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812B6455-60E9-441B-81FE-BE5CE7D6760D}" xr6:coauthVersionLast="47" xr6:coauthVersionMax="47" xr10:uidLastSave="{00000000-0000-0000-0000-000000000000}"/>
  <bookViews>
    <workbookView xWindow="-120" yWindow="-120" windowWidth="21840" windowHeight="13140" tabRatio="875" firstSheet="11"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土地案例" sheetId="75"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剩余法-待开发" sheetId="12" r:id="rId32"/>
    <sheet name="不动产收益法" sheetId="15" r:id="rId33"/>
    <sheet name="不动产收益法-酒店模型" sheetId="68" state="hidden" r:id="rId34"/>
    <sheet name="成本逼近法" sheetId="11" state="hidden" r:id="rId35"/>
    <sheet name="不动产比较法-住宅" sheetId="21" state="hidden" r:id="rId36"/>
    <sheet name="Sheet2" sheetId="73" r:id="rId37"/>
    <sheet name="sheet1" sheetId="72" r:id="rId38"/>
    <sheet name="Sheet3" sheetId="76"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D30" i="9" l="1"/>
  <c r="D28" i="9"/>
  <c r="D27" i="9"/>
  <c r="C14" i="66"/>
  <c r="B14" i="66"/>
  <c r="C12" i="39"/>
  <c r="L20" i="1"/>
  <c r="I48" i="39"/>
  <c r="I40" i="39"/>
  <c r="I9" i="39"/>
  <c r="I7" i="39"/>
  <c r="G7" i="39"/>
  <c r="G48" i="39"/>
  <c r="G40" i="39"/>
  <c r="G9" i="39"/>
  <c r="E48" i="39"/>
  <c r="E40" i="39"/>
  <c r="E9" i="39"/>
  <c r="E7" i="39"/>
  <c r="AH13" i="3"/>
  <c r="C33" i="21"/>
  <c r="I7" i="21"/>
  <c r="G7" i="21"/>
  <c r="E7" i="21"/>
  <c r="D72" i="39"/>
  <c r="E72" i="39" s="1"/>
  <c r="F72" i="39" s="1"/>
  <c r="G72" i="39" s="1"/>
  <c r="H72" i="39" s="1"/>
  <c r="I72" i="39" s="1"/>
  <c r="J72" i="39" s="1"/>
  <c r="K72" i="39" s="1"/>
  <c r="L72" i="39" s="1"/>
  <c r="M72" i="39" s="1"/>
  <c r="N72" i="39" s="1"/>
  <c r="G35" i="9" l="1"/>
  <c r="D3" i="4"/>
  <c r="G14" i="65" l="1"/>
  <c r="F14" i="65"/>
  <c r="E14" i="65"/>
  <c r="AN35" i="70" l="1"/>
  <c r="AN36" i="70" s="1"/>
  <c r="AN37" i="70" s="1"/>
  <c r="AN38" i="70" s="1"/>
  <c r="AN39" i="70" s="1"/>
  <c r="AN40" i="70" s="1"/>
  <c r="AN41" i="70" s="1"/>
  <c r="AN42" i="70" s="1"/>
  <c r="AN43" i="70" s="1"/>
  <c r="AN44" i="70" s="1"/>
  <c r="AN45" i="70" s="1"/>
  <c r="AN46" i="70" s="1"/>
  <c r="AN47" i="70" s="1"/>
  <c r="AN48" i="70" s="1"/>
  <c r="AN49" i="70" s="1"/>
  <c r="AN50" i="70" s="1"/>
  <c r="AN51" i="70" s="1"/>
  <c r="AN52" i="70" s="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3" i="70"/>
  <c r="AG33"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R35" i="68"/>
  <c r="U34" i="68" s="1"/>
  <c r="F26" i="43"/>
  <c r="C32" i="68" l="1"/>
  <c r="C38" i="68" s="1"/>
  <c r="C39" i="68" s="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B59" i="63" s="1"/>
  <c r="A6" i="54"/>
  <c r="B49" i="63" s="1"/>
  <c r="A8" i="54"/>
  <c r="A7" i="54"/>
  <c r="A27" i="51"/>
  <c r="B20" i="63" s="1"/>
  <c r="Q27" i="59"/>
  <c r="AB27" i="59" s="1"/>
  <c r="O27" i="59"/>
  <c r="N28" i="59"/>
  <c r="O28" i="59"/>
  <c r="P28" i="59"/>
  <c r="AA3" i="59" s="1"/>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D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B52"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D35"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B53" i="59"/>
  <c r="S53" i="59" s="1"/>
  <c r="S69" i="59"/>
  <c r="AA40" i="59"/>
  <c r="F48" i="59"/>
  <c r="F49" i="59" s="1"/>
  <c r="V49" i="59" s="1"/>
  <c r="F60" i="59"/>
  <c r="F61" i="59" s="1"/>
  <c r="V61" i="59" s="1"/>
  <c r="F64" i="59"/>
  <c r="F65" i="59" s="1"/>
  <c r="V65" i="59" s="1"/>
  <c r="D47" i="59"/>
  <c r="C52" i="59"/>
  <c r="C53" i="59" s="1"/>
  <c r="C60" i="59"/>
  <c r="D60" i="59" s="1"/>
  <c r="D59" i="59"/>
  <c r="C36" i="59"/>
  <c r="C37" i="59" s="1"/>
  <c r="T69" i="59"/>
  <c r="O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12"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G493" i="3" s="1"/>
  <c r="AC493" i="3"/>
  <c r="BB493" i="3"/>
  <c r="BC493" i="3"/>
  <c r="BA493" i="3" s="1"/>
  <c r="BD493" i="3"/>
  <c r="BE493" i="3"/>
  <c r="BF493" i="3"/>
  <c r="BG493" i="3"/>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A498" i="3" s="1"/>
  <c r="AZ498" i="3" s="1"/>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AZ551" i="3" s="1"/>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AZ558" i="3" s="1"/>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A569" i="3" s="1"/>
  <c r="AZ569" i="3" s="1"/>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D96" i="39"/>
  <c r="E96" i="39" s="1"/>
  <c r="F96" i="39" s="1"/>
  <c r="D94" i="39"/>
  <c r="E94" i="39" s="1"/>
  <c r="F94" i="39" s="1"/>
  <c r="G94" i="39" s="1"/>
  <c r="D92" i="39"/>
  <c r="E92" i="39" s="1"/>
  <c r="F92" i="39" s="1"/>
  <c r="G92" i="39" s="1"/>
  <c r="D90" i="39"/>
  <c r="E90" i="39" s="1"/>
  <c r="F90" i="39" s="1"/>
  <c r="B87" i="39"/>
  <c r="B85" i="39"/>
  <c r="J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H39" i="37" s="1"/>
  <c r="AB39" i="37" s="1"/>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D70" i="36"/>
  <c r="H22" i="36"/>
  <c r="U22" i="36" s="1"/>
  <c r="D68" i="36"/>
  <c r="E68" i="36" s="1"/>
  <c r="D64" i="36"/>
  <c r="E64" i="36" s="1"/>
  <c r="F64" i="36" s="1"/>
  <c r="G64" i="36" s="1"/>
  <c r="J16" i="36"/>
  <c r="D62" i="36"/>
  <c r="E62" i="36" s="1"/>
  <c r="B59" i="36"/>
  <c r="J13" i="36" s="1"/>
  <c r="W13" i="36" s="1"/>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s="1"/>
  <c r="H8" i="36"/>
  <c r="AB8" i="36" s="1"/>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F36" i="35" s="1"/>
  <c r="S36" i="35" s="1"/>
  <c r="B99" i="35"/>
  <c r="B97" i="35"/>
  <c r="B77" i="35"/>
  <c r="F25" i="35" s="1"/>
  <c r="AA25" i="35" s="1"/>
  <c r="B75" i="35"/>
  <c r="J24" i="35" s="1"/>
  <c r="AC24" i="35" s="1"/>
  <c r="B73" i="35"/>
  <c r="B57" i="35"/>
  <c r="B61" i="35"/>
  <c r="F13" i="35" s="1"/>
  <c r="S13" i="35" s="1"/>
  <c r="B59" i="35"/>
  <c r="H12" i="35" s="1"/>
  <c r="B131" i="34"/>
  <c r="B129" i="34"/>
  <c r="B127" i="34"/>
  <c r="F45" i="34" s="1"/>
  <c r="AA45" i="34" s="1"/>
  <c r="B99" i="34"/>
  <c r="B97" i="34"/>
  <c r="B95" i="34"/>
  <c r="B93" i="34"/>
  <c r="J29" i="34" s="1"/>
  <c r="AC29" i="34" s="1"/>
  <c r="B75" i="34"/>
  <c r="B73" i="34"/>
  <c r="B71" i="34"/>
  <c r="B130" i="33"/>
  <c r="H46" i="33" s="1"/>
  <c r="AB46" i="33" s="1"/>
  <c r="B128" i="33"/>
  <c r="H45" i="33" s="1"/>
  <c r="U45" i="33" s="1"/>
  <c r="B126" i="33"/>
  <c r="J44" i="33" s="1"/>
  <c r="AC44" i="33" s="1"/>
  <c r="B98" i="33"/>
  <c r="B96" i="33"/>
  <c r="B94" i="33"/>
  <c r="J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D81" i="21"/>
  <c r="E81" i="21" s="1"/>
  <c r="F81" i="21" s="1"/>
  <c r="G81" i="21" s="1"/>
  <c r="D77" i="21"/>
  <c r="E77" i="21" s="1"/>
  <c r="F77" i="21" s="1"/>
  <c r="B130" i="21"/>
  <c r="F46" i="21" s="1"/>
  <c r="S46" i="21" s="1"/>
  <c r="B128" i="21"/>
  <c r="B126" i="21"/>
  <c r="B98" i="21"/>
  <c r="F31" i="21" s="1"/>
  <c r="S31" i="21" s="1"/>
  <c r="B96" i="21"/>
  <c r="J30" i="21" s="1"/>
  <c r="B94" i="21"/>
  <c r="B92" i="21"/>
  <c r="B90" i="21"/>
  <c r="H27" i="21" s="1"/>
  <c r="AB27" i="21" s="1"/>
  <c r="B74" i="21"/>
  <c r="J14" i="21" s="1"/>
  <c r="AC14" i="21" s="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s="1"/>
  <c r="Q43" i="21"/>
  <c r="Z43" i="21" s="1"/>
  <c r="Q44" i="21"/>
  <c r="Z44" i="21"/>
  <c r="Q45" i="21"/>
  <c r="Z45" i="21" s="1"/>
  <c r="Q46" i="21"/>
  <c r="Z46" i="21"/>
  <c r="P47" i="21"/>
  <c r="R47" i="21"/>
  <c r="T47" i="21"/>
  <c r="V47" i="21"/>
  <c r="P48" i="21"/>
  <c r="P49" i="21"/>
  <c r="F8" i="21"/>
  <c r="S8" i="21" s="1"/>
  <c r="AA8" i="21"/>
  <c r="E13" i="11"/>
  <c r="E12" i="11"/>
  <c r="BB12" i="3"/>
  <c r="F9" i="12"/>
  <c r="D9" i="12"/>
  <c r="E9" i="12"/>
  <c r="G9" i="12"/>
  <c r="K5" i="3"/>
  <c r="J5" i="3"/>
  <c r="BE10" i="3"/>
  <c r="BD13" i="3"/>
  <c r="BE13" i="3"/>
  <c r="BF13" i="3"/>
  <c r="BG13" i="3"/>
  <c r="BH13" i="3"/>
  <c r="BI13" i="3"/>
  <c r="BJ13" i="3"/>
  <c r="BJ5" i="3" s="1"/>
  <c r="BK13" i="3"/>
  <c r="BM13" i="3"/>
  <c r="BN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c r="F26" i="21"/>
  <c r="AA26" i="21" s="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c r="W24" i="35"/>
  <c r="W31" i="35"/>
  <c r="F36" i="34"/>
  <c r="S36" i="34" s="1"/>
  <c r="S34" i="34"/>
  <c r="H39" i="33"/>
  <c r="AB39" i="33"/>
  <c r="F26" i="33"/>
  <c r="AA26" i="33" s="1"/>
  <c r="U33" i="33"/>
  <c r="W38" i="33"/>
  <c r="S40" i="33"/>
  <c r="U38" i="33"/>
  <c r="AB27" i="35"/>
  <c r="W10" i="40"/>
  <c r="U11" i="40"/>
  <c r="U36" i="40"/>
  <c r="C23" i="39"/>
  <c r="U36" i="39"/>
  <c r="H32" i="33"/>
  <c r="AB32" i="33"/>
  <c r="J27" i="36"/>
  <c r="W27" i="36" s="1"/>
  <c r="J34" i="36"/>
  <c r="W34" i="36"/>
  <c r="J30" i="35"/>
  <c r="W30" i="35" s="1"/>
  <c r="F22" i="35"/>
  <c r="AA22" i="35" s="1"/>
  <c r="H10" i="35"/>
  <c r="U10" i="35" s="1"/>
  <c r="J29" i="36"/>
  <c r="AC29" i="36" s="1"/>
  <c r="F12" i="36"/>
  <c r="S12" i="36" s="1"/>
  <c r="F34" i="36"/>
  <c r="S34" i="36" s="1"/>
  <c r="H16" i="35"/>
  <c r="U16" i="35"/>
  <c r="H33" i="35"/>
  <c r="AB33" i="35" s="1"/>
  <c r="AC8" i="35"/>
  <c r="F35" i="37"/>
  <c r="E101" i="37"/>
  <c r="F101" i="37" s="1"/>
  <c r="G101" i="37" s="1"/>
  <c r="H101" i="37" s="1"/>
  <c r="I101" i="37" s="1"/>
  <c r="J101" i="37" s="1"/>
  <c r="K101" i="37" s="1"/>
  <c r="L101" i="37" s="1"/>
  <c r="M101" i="37" s="1"/>
  <c r="J34" i="37"/>
  <c r="W34" i="37"/>
  <c r="AA39" i="37"/>
  <c r="H43" i="34"/>
  <c r="AB43" i="34" s="1"/>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W19" i="33" s="1"/>
  <c r="F125" i="21"/>
  <c r="G125" i="21"/>
  <c r="AB30" i="36"/>
  <c r="AC34" i="36"/>
  <c r="S22" i="35"/>
  <c r="H29" i="35"/>
  <c r="U34" i="37"/>
  <c r="S34" i="37"/>
  <c r="AA34" i="37"/>
  <c r="AC43" i="34"/>
  <c r="AB42" i="34"/>
  <c r="AB40" i="34"/>
  <c r="W36" i="34"/>
  <c r="J19" i="34"/>
  <c r="AC19" i="34" s="1"/>
  <c r="H37" i="33"/>
  <c r="AB37" i="33" s="1"/>
  <c r="S37" i="33"/>
  <c r="W43" i="34"/>
  <c r="AC42" i="34"/>
  <c r="W42" i="34"/>
  <c r="AA42" i="34"/>
  <c r="S42" i="34"/>
  <c r="AC38" i="34"/>
  <c r="AA38" i="34"/>
  <c r="S38" i="34"/>
  <c r="J37" i="33"/>
  <c r="W37" i="33" s="1"/>
  <c r="J42" i="21"/>
  <c r="AC42" i="21" s="1"/>
  <c r="J44" i="34"/>
  <c r="AC44" i="34" s="1"/>
  <c r="F44" i="34"/>
  <c r="S44" i="34" s="1"/>
  <c r="J10" i="35"/>
  <c r="W10" i="35" s="1"/>
  <c r="AL5" i="3"/>
  <c r="BQ13" i="3"/>
  <c r="BL572" i="3"/>
  <c r="H14" i="21"/>
  <c r="H28" i="21"/>
  <c r="AB28" i="21" s="1"/>
  <c r="F28" i="21"/>
  <c r="J28" i="21"/>
  <c r="AC28" i="21" s="1"/>
  <c r="J44" i="21"/>
  <c r="AC44" i="21"/>
  <c r="H44" i="21"/>
  <c r="AB44" i="21" s="1"/>
  <c r="U44" i="21"/>
  <c r="F44" i="21"/>
  <c r="AA44" i="21" s="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29" i="21"/>
  <c r="AC29" i="21" s="1"/>
  <c r="H29" i="21"/>
  <c r="U29" i="21" s="1"/>
  <c r="F29" i="21"/>
  <c r="S29" i="21" s="1"/>
  <c r="J31" i="21"/>
  <c r="AC31" i="21" s="1"/>
  <c r="H31" i="21"/>
  <c r="U31" i="21" s="1"/>
  <c r="J45" i="21"/>
  <c r="W45" i="21" s="1"/>
  <c r="F45" i="21"/>
  <c r="AA45" i="21" s="1"/>
  <c r="H45" i="21"/>
  <c r="U45" i="21" s="1"/>
  <c r="F27" i="33"/>
  <c r="S27" i="33" s="1"/>
  <c r="F13" i="33"/>
  <c r="S13" i="33" s="1"/>
  <c r="H31" i="33"/>
  <c r="U31" i="33" s="1"/>
  <c r="J45" i="33"/>
  <c r="W45" i="33" s="1"/>
  <c r="F45" i="33"/>
  <c r="S45" i="33"/>
  <c r="F11" i="35"/>
  <c r="S11" i="35" s="1"/>
  <c r="H28" i="36"/>
  <c r="U28" i="36"/>
  <c r="H32" i="36"/>
  <c r="AB32" i="36" s="1"/>
  <c r="J32" i="36"/>
  <c r="AC32"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30" i="33"/>
  <c r="AB30" i="33"/>
  <c r="F30" i="33"/>
  <c r="S30" i="33"/>
  <c r="J30" i="33"/>
  <c r="F44" i="33"/>
  <c r="S44" i="33" s="1"/>
  <c r="J46" i="33"/>
  <c r="AC46" i="33" s="1"/>
  <c r="F46" i="33"/>
  <c r="H13" i="34"/>
  <c r="U13" i="34" s="1"/>
  <c r="J13" i="34"/>
  <c r="W13" i="34" s="1"/>
  <c r="F13" i="34"/>
  <c r="AA13" i="34" s="1"/>
  <c r="F29" i="34"/>
  <c r="S29" i="34" s="1"/>
  <c r="H29" i="34"/>
  <c r="U29" i="34" s="1"/>
  <c r="J31" i="34"/>
  <c r="W31" i="34" s="1"/>
  <c r="H31" i="34"/>
  <c r="AB31" i="34" s="1"/>
  <c r="F31" i="34"/>
  <c r="S31" i="34" s="1"/>
  <c r="H45" i="34"/>
  <c r="U45" i="34" s="1"/>
  <c r="J45" i="34"/>
  <c r="W45" i="34" s="1"/>
  <c r="H47" i="34"/>
  <c r="U47" i="34" s="1"/>
  <c r="F47" i="34"/>
  <c r="AA47" i="34" s="1"/>
  <c r="J47" i="34"/>
  <c r="AC47" i="34" s="1"/>
  <c r="J13" i="35"/>
  <c r="AC13" i="35" s="1"/>
  <c r="H13" i="35"/>
  <c r="U13" i="35" s="1"/>
  <c r="J25" i="35"/>
  <c r="AC25" i="35" s="1"/>
  <c r="H25" i="35"/>
  <c r="AB25" i="35" s="1"/>
  <c r="J35" i="35"/>
  <c r="AC35" i="35" s="1"/>
  <c r="F35" i="35"/>
  <c r="S35" i="35" s="1"/>
  <c r="H35" i="35"/>
  <c r="U35" i="35" s="1"/>
  <c r="J25" i="36"/>
  <c r="W25" i="36"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AB13" i="35"/>
  <c r="U30" i="33"/>
  <c r="J36" i="37"/>
  <c r="AC36" i="37" s="1"/>
  <c r="AB28" i="36"/>
  <c r="AB31" i="21"/>
  <c r="S28" i="21"/>
  <c r="AA28" i="21"/>
  <c r="U36" i="37"/>
  <c r="S45" i="21"/>
  <c r="G529" i="3"/>
  <c r="G521" i="3"/>
  <c r="G517" i="3"/>
  <c r="G508" i="3"/>
  <c r="G499" i="3"/>
  <c r="G485" i="3"/>
  <c r="G17" i="3"/>
  <c r="G565" i="3"/>
  <c r="G557" i="3"/>
  <c r="G545" i="3"/>
  <c r="BL569" i="3"/>
  <c r="BL561" i="3"/>
  <c r="BL535" i="3"/>
  <c r="BL527" i="3"/>
  <c r="BL491" i="3"/>
  <c r="G16" i="3"/>
  <c r="BL555" i="3"/>
  <c r="BL551" i="3"/>
  <c r="BL525" i="3"/>
  <c r="G518" i="3"/>
  <c r="G514" i="3"/>
  <c r="BL495" i="3"/>
  <c r="BL485" i="3"/>
  <c r="G18" i="3"/>
  <c r="BA565" i="3"/>
  <c r="BA561" i="3"/>
  <c r="AZ561" i="3" s="1"/>
  <c r="BA557" i="3"/>
  <c r="BA555" i="3"/>
  <c r="BA543" i="3"/>
  <c r="BA541" i="3"/>
  <c r="BA531" i="3"/>
  <c r="BA521" i="3"/>
  <c r="BA509" i="3"/>
  <c r="BA505" i="3"/>
  <c r="BA487" i="3"/>
  <c r="BA19" i="3"/>
  <c r="BA562" i="3"/>
  <c r="BA560" i="3"/>
  <c r="BA554" i="3"/>
  <c r="BA550" i="3"/>
  <c r="BA540" i="3"/>
  <c r="BA536" i="3"/>
  <c r="BA532" i="3"/>
  <c r="BA528" i="3"/>
  <c r="BA524" i="3"/>
  <c r="BA520" i="3"/>
  <c r="BA508" i="3"/>
  <c r="AZ508" i="3" s="1"/>
  <c r="BA502" i="3"/>
  <c r="BA488" i="3"/>
  <c r="BA484" i="3"/>
  <c r="BA20" i="3"/>
  <c r="G566" i="3"/>
  <c r="G562" i="3"/>
  <c r="G560" i="3"/>
  <c r="G558" i="3"/>
  <c r="G554" i="3"/>
  <c r="G550" i="3"/>
  <c r="G546" i="3"/>
  <c r="BA542" i="3"/>
  <c r="AC542" i="3"/>
  <c r="BQ542" i="3"/>
  <c r="BL542" i="3"/>
  <c r="BQ568" i="3"/>
  <c r="BQ566" i="3"/>
  <c r="BQ564" i="3"/>
  <c r="BQ562" i="3"/>
  <c r="BL562" i="3" s="1"/>
  <c r="AZ562" i="3" s="1"/>
  <c r="BQ560" i="3"/>
  <c r="BQ558" i="3"/>
  <c r="BL558" i="3"/>
  <c r="BQ556" i="3"/>
  <c r="BQ554" i="3"/>
  <c r="BQ552" i="3"/>
  <c r="BL552" i="3" s="1"/>
  <c r="BQ550" i="3"/>
  <c r="BL550" i="3" s="1"/>
  <c r="BQ548" i="3"/>
  <c r="BQ546" i="3"/>
  <c r="BQ544" i="3"/>
  <c r="BL544" i="3" s="1"/>
  <c r="G544" i="3"/>
  <c r="G538" i="3"/>
  <c r="G534" i="3"/>
  <c r="G530" i="3"/>
  <c r="G526" i="3"/>
  <c r="G522" i="3"/>
  <c r="BQ540" i="3"/>
  <c r="BL540" i="3"/>
  <c r="AZ540" i="3" s="1"/>
  <c r="BQ538" i="3"/>
  <c r="BQ536" i="3"/>
  <c r="BQ534" i="3"/>
  <c r="BL534" i="3" s="1"/>
  <c r="BQ532" i="3"/>
  <c r="BL532" i="3" s="1"/>
  <c r="BQ530" i="3"/>
  <c r="BQ528" i="3"/>
  <c r="BQ526" i="3"/>
  <c r="BL526" i="3" s="1"/>
  <c r="BQ524" i="3"/>
  <c r="BL524" i="3" s="1"/>
  <c r="BQ522" i="3"/>
  <c r="BQ520" i="3"/>
  <c r="BL520" i="3"/>
  <c r="AZ520" i="3" s="1"/>
  <c r="BQ518" i="3"/>
  <c r="BQ516" i="3"/>
  <c r="BQ514" i="3"/>
  <c r="BQ512" i="3"/>
  <c r="BL512" i="3" s="1"/>
  <c r="AZ512" i="3" s="1"/>
  <c r="BQ510" i="3"/>
  <c r="BQ508" i="3"/>
  <c r="BL508" i="3"/>
  <c r="AC506" i="3"/>
  <c r="G506" i="3" s="1"/>
  <c r="BQ506" i="3"/>
  <c r="G502" i="3"/>
  <c r="G498" i="3"/>
  <c r="BQ504" i="3"/>
  <c r="BQ502" i="3"/>
  <c r="BL502" i="3"/>
  <c r="BQ500" i="3"/>
  <c r="BQ498" i="3"/>
  <c r="BQ496" i="3"/>
  <c r="BL496" i="3" s="1"/>
  <c r="AC494" i="3"/>
  <c r="BQ494"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H42" i="33"/>
  <c r="U42" i="33" s="1"/>
  <c r="J43" i="33"/>
  <c r="AC43" i="33" s="1"/>
  <c r="G79" i="37"/>
  <c r="J23" i="37"/>
  <c r="W23" i="37" s="1"/>
  <c r="F17" i="37"/>
  <c r="AA17" i="37" s="1"/>
  <c r="AB43" i="33"/>
  <c r="AC33" i="36"/>
  <c r="AC12" i="35"/>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H19" i="34"/>
  <c r="AB19" i="34"/>
  <c r="J10" i="37"/>
  <c r="AC10" i="37" s="1"/>
  <c r="J9" i="37"/>
  <c r="W9" i="37" s="1"/>
  <c r="H9" i="37"/>
  <c r="F9" i="37"/>
  <c r="S9" i="37" s="1"/>
  <c r="F11" i="37"/>
  <c r="S11" i="37"/>
  <c r="J12" i="37"/>
  <c r="AC12" i="37" s="1"/>
  <c r="H12" i="37"/>
  <c r="AB12" i="37"/>
  <c r="F12" i="37"/>
  <c r="AA12" i="37" s="1"/>
  <c r="H15" i="37"/>
  <c r="AB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BL375" i="3"/>
  <c r="G376" i="3"/>
  <c r="BA378" i="3"/>
  <c r="BL379" i="3"/>
  <c r="AZ379" i="3"/>
  <c r="G380" i="3"/>
  <c r="BA382" i="3"/>
  <c r="BL383" i="3"/>
  <c r="AZ383" i="3" s="1"/>
  <c r="G384" i="3"/>
  <c r="AZ311" i="3"/>
  <c r="AZ361" i="3"/>
  <c r="F37" i="46"/>
  <c r="AB16" i="35"/>
  <c r="AA43" i="21"/>
  <c r="AA13" i="40"/>
  <c r="F77" i="40"/>
  <c r="G77" i="40" s="1"/>
  <c r="H77" i="40"/>
  <c r="I77" i="40" s="1"/>
  <c r="J77" i="40" s="1"/>
  <c r="K77" i="40" s="1"/>
  <c r="L77" i="40" s="1"/>
  <c r="M77" i="40" s="1"/>
  <c r="BH5" i="3"/>
  <c r="R16" i="4"/>
  <c r="D3" i="35"/>
  <c r="G4" i="4"/>
  <c r="S37" i="34"/>
  <c r="J16" i="35"/>
  <c r="W16" i="35"/>
  <c r="AC26" i="36"/>
  <c r="W25" i="35"/>
  <c r="AA36" i="35"/>
  <c r="H11" i="37"/>
  <c r="AB11" i="37" s="1"/>
  <c r="AA30" i="33"/>
  <c r="AA36" i="37"/>
  <c r="S42" i="33"/>
  <c r="U32" i="33"/>
  <c r="AB17" i="37"/>
  <c r="AA45" i="33"/>
  <c r="AC11" i="36"/>
  <c r="AB45" i="34"/>
  <c r="AB35" i="35"/>
  <c r="S25" i="35"/>
  <c r="W44" i="33"/>
  <c r="AC30" i="33"/>
  <c r="W30" i="33"/>
  <c r="AC29" i="37"/>
  <c r="W32" i="36"/>
  <c r="U28" i="33"/>
  <c r="AB28" i="33"/>
  <c r="J33" i="34"/>
  <c r="AC33" i="34" s="1"/>
  <c r="AB36" i="34"/>
  <c r="J40" i="34"/>
  <c r="W40" i="34"/>
  <c r="F16" i="35"/>
  <c r="AA16" i="35" s="1"/>
  <c r="W42" i="33"/>
  <c r="J35" i="34"/>
  <c r="S30" i="36"/>
  <c r="H16" i="36"/>
  <c r="AB16" i="36" s="1"/>
  <c r="H35" i="37"/>
  <c r="AB35" i="37" s="1"/>
  <c r="AB12" i="21"/>
  <c r="H32" i="21"/>
  <c r="AB26" i="21"/>
  <c r="U26" i="21"/>
  <c r="U39"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AB39" i="34"/>
  <c r="F11" i="34"/>
  <c r="AA11" i="34" s="1"/>
  <c r="E80" i="34"/>
  <c r="F80" i="34" s="1"/>
  <c r="H17" i="34"/>
  <c r="AB28" i="35"/>
  <c r="U28" i="35"/>
  <c r="J13" i="33"/>
  <c r="W13" i="33" s="1"/>
  <c r="H13" i="33"/>
  <c r="U13" i="33"/>
  <c r="H29" i="33"/>
  <c r="AB29" i="33" s="1"/>
  <c r="J12" i="34"/>
  <c r="H12" i="34"/>
  <c r="U12" i="34" s="1"/>
  <c r="F12" i="34"/>
  <c r="S12" i="34" s="1"/>
  <c r="J14" i="34"/>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F99" i="37"/>
  <c r="AC27" i="37"/>
  <c r="U25" i="35"/>
  <c r="S45" i="34"/>
  <c r="U31" i="34"/>
  <c r="AC40" i="37"/>
  <c r="W40" i="37"/>
  <c r="AC45" i="21"/>
  <c r="S28" i="33"/>
  <c r="AA44" i="34"/>
  <c r="AB29" i="35"/>
  <c r="U29" i="35"/>
  <c r="AC19" i="33"/>
  <c r="AC34" i="37"/>
  <c r="S35" i="37"/>
  <c r="AA35" i="37"/>
  <c r="U38" i="21"/>
  <c r="BL571" i="3"/>
  <c r="BA571" i="3"/>
  <c r="AZ571" i="3" s="1"/>
  <c r="BL570" i="3"/>
  <c r="F42" i="21"/>
  <c r="AA42" i="21" s="1"/>
  <c r="AB40" i="33"/>
  <c r="U40" i="33"/>
  <c r="AA35" i="34"/>
  <c r="S35" i="34"/>
  <c r="E90" i="34"/>
  <c r="H27" i="34"/>
  <c r="AB8" i="35"/>
  <c r="U8" i="35"/>
  <c r="S9" i="35"/>
  <c r="J14" i="35"/>
  <c r="F14" i="35"/>
  <c r="S14" i="35" s="1"/>
  <c r="H14" i="35"/>
  <c r="U14" i="35" s="1"/>
  <c r="E80" i="35"/>
  <c r="E94" i="35"/>
  <c r="F94" i="35" s="1"/>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s="1"/>
  <c r="U34" i="36"/>
  <c r="AB34" i="36"/>
  <c r="H33" i="36"/>
  <c r="U33" i="36" s="1"/>
  <c r="F33" i="36"/>
  <c r="H27" i="36"/>
  <c r="AB27" i="36" s="1"/>
  <c r="AA31" i="36"/>
  <c r="AC25" i="37"/>
  <c r="AC26" i="37"/>
  <c r="W26" i="37"/>
  <c r="AB29" i="37"/>
  <c r="AA30" i="37"/>
  <c r="S30" i="37"/>
  <c r="AC30" i="37"/>
  <c r="AC31" i="37"/>
  <c r="W31" i="37"/>
  <c r="AB14" i="37"/>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AC39" i="39" s="1"/>
  <c r="J29" i="35"/>
  <c r="F29" i="35"/>
  <c r="S29" i="35" s="1"/>
  <c r="W30" i="36"/>
  <c r="AC30" i="36"/>
  <c r="F37" i="39"/>
  <c r="S37" i="39" s="1"/>
  <c r="H37" i="39"/>
  <c r="U37" i="39" s="1"/>
  <c r="J37" i="39"/>
  <c r="W37" i="39" s="1"/>
  <c r="BL568" i="3"/>
  <c r="BA568" i="3"/>
  <c r="AZ568" i="3" s="1"/>
  <c r="BL567" i="3"/>
  <c r="BA567" i="3"/>
  <c r="BL566" i="3"/>
  <c r="BL565" i="3"/>
  <c r="BA564" i="3"/>
  <c r="BA563" i="3"/>
  <c r="BL554" i="3"/>
  <c r="BA553" i="3"/>
  <c r="BA552" i="3"/>
  <c r="AZ552" i="3" s="1"/>
  <c r="BL549" i="3"/>
  <c r="BA549" i="3"/>
  <c r="BL548" i="3"/>
  <c r="BA548" i="3"/>
  <c r="BL547" i="3"/>
  <c r="AZ547" i="3" s="1"/>
  <c r="BA547" i="3"/>
  <c r="BL539" i="3"/>
  <c r="BA539" i="3"/>
  <c r="BA538" i="3"/>
  <c r="AZ538" i="3" s="1"/>
  <c r="BL537" i="3"/>
  <c r="BA537" i="3"/>
  <c r="BL536" i="3"/>
  <c r="AZ536" i="3" s="1"/>
  <c r="BA535" i="3"/>
  <c r="BA534" i="3"/>
  <c r="BA533" i="3"/>
  <c r="BL531" i="3"/>
  <c r="AZ531" i="3" s="1"/>
  <c r="BL530" i="3"/>
  <c r="BA530" i="3"/>
  <c r="BL529" i="3"/>
  <c r="BA529" i="3"/>
  <c r="BL528" i="3"/>
  <c r="AZ528" i="3" s="1"/>
  <c r="BA527" i="3"/>
  <c r="AZ527" i="3" s="1"/>
  <c r="BA526" i="3"/>
  <c r="BA525" i="3"/>
  <c r="AZ525" i="3" s="1"/>
  <c r="BL523" i="3"/>
  <c r="BA523" i="3"/>
  <c r="BL522" i="3"/>
  <c r="BA522" i="3"/>
  <c r="BL521" i="3"/>
  <c r="AZ521" i="3" s="1"/>
  <c r="BA519" i="3"/>
  <c r="BL518" i="3"/>
  <c r="BA518" i="3"/>
  <c r="BL517" i="3"/>
  <c r="BA517" i="3"/>
  <c r="AZ517" i="3"/>
  <c r="BL515" i="3"/>
  <c r="BA515" i="3"/>
  <c r="BA514" i="3"/>
  <c r="BL513" i="3"/>
  <c r="BA513" i="3"/>
  <c r="BA511" i="3"/>
  <c r="BA510" i="3"/>
  <c r="AZ510" i="3" s="1"/>
  <c r="BL509" i="3"/>
  <c r="BL507" i="3"/>
  <c r="BA507" i="3"/>
  <c r="AZ507" i="3"/>
  <c r="BL506" i="3"/>
  <c r="BA506" i="3"/>
  <c r="BL505" i="3"/>
  <c r="AZ505" i="3" s="1"/>
  <c r="BL504" i="3"/>
  <c r="AZ504" i="3" s="1"/>
  <c r="BA504" i="3"/>
  <c r="BA503" i="3"/>
  <c r="BA500" i="3"/>
  <c r="BL499" i="3"/>
  <c r="BA499" i="3"/>
  <c r="BL498" i="3"/>
  <c r="BL497" i="3"/>
  <c r="AZ497" i="3" s="1"/>
  <c r="BA497" i="3"/>
  <c r="BA496" i="3"/>
  <c r="BA495" i="3"/>
  <c r="AZ495" i="3" s="1"/>
  <c r="BL494" i="3"/>
  <c r="BA494" i="3"/>
  <c r="AZ494" i="3" s="1"/>
  <c r="G494" i="3"/>
  <c r="BA491" i="3"/>
  <c r="BL490" i="3"/>
  <c r="BA490" i="3"/>
  <c r="AZ490" i="3"/>
  <c r="BL489" i="3"/>
  <c r="BA489" i="3"/>
  <c r="BL487" i="3"/>
  <c r="AZ487" i="3" s="1"/>
  <c r="BL486" i="3"/>
  <c r="AZ486" i="3" s="1"/>
  <c r="BA486" i="3"/>
  <c r="BA485" i="3"/>
  <c r="AZ485" i="3" s="1"/>
  <c r="BA483" i="3"/>
  <c r="BA482" i="3"/>
  <c r="AZ482" i="3" s="1"/>
  <c r="BL481" i="3"/>
  <c r="BA481" i="3"/>
  <c r="BL19" i="3"/>
  <c r="AZ19" i="3" s="1"/>
  <c r="BA18" i="3"/>
  <c r="F114" i="34"/>
  <c r="G114" i="34" s="1"/>
  <c r="H114" i="34" s="1"/>
  <c r="I114" i="34" s="1"/>
  <c r="J114" i="34" s="1"/>
  <c r="K114" i="34" s="1"/>
  <c r="L114" i="34" s="1"/>
  <c r="M114" i="34" s="1"/>
  <c r="H38" i="34"/>
  <c r="U38" i="34" s="1"/>
  <c r="H30" i="40"/>
  <c r="AB30" i="40" s="1"/>
  <c r="G99" i="40"/>
  <c r="J30" i="40"/>
  <c r="AC30" i="40" s="1"/>
  <c r="F38" i="40"/>
  <c r="AA38" i="40" s="1"/>
  <c r="AC12" i="21"/>
  <c r="W12" i="21"/>
  <c r="AB33" i="21"/>
  <c r="S35" i="21"/>
  <c r="AB10" i="21"/>
  <c r="U8" i="21"/>
  <c r="S34" i="21"/>
  <c r="AB8" i="33"/>
  <c r="U8" i="33"/>
  <c r="E106" i="33"/>
  <c r="H34" i="33"/>
  <c r="F34" i="33"/>
  <c r="S34" i="33" s="1"/>
  <c r="E121" i="33"/>
  <c r="F41" i="33"/>
  <c r="S41" i="33" s="1"/>
  <c r="AC34" i="34"/>
  <c r="W34" i="34"/>
  <c r="AA39" i="34"/>
  <c r="S39" i="34"/>
  <c r="S43" i="34"/>
  <c r="E78" i="34"/>
  <c r="F15" i="34"/>
  <c r="AC28" i="35"/>
  <c r="W28" i="35"/>
  <c r="J20" i="35"/>
  <c r="AC20" i="35"/>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F15" i="40"/>
  <c r="AA15" i="40" s="1"/>
  <c r="J15" i="40"/>
  <c r="W15" i="40" s="1"/>
  <c r="H15" i="40"/>
  <c r="AB15" i="40" s="1"/>
  <c r="E91" i="40"/>
  <c r="F91" i="40" s="1"/>
  <c r="G91" i="40" s="1"/>
  <c r="H23" i="40"/>
  <c r="U23" i="40" s="1"/>
  <c r="H41" i="40"/>
  <c r="AB41" i="40" s="1"/>
  <c r="F41" i="40"/>
  <c r="S41" i="40" s="1"/>
  <c r="AA41" i="40"/>
  <c r="J41" i="40"/>
  <c r="AC41" i="40" s="1"/>
  <c r="H36" i="33"/>
  <c r="AB36" i="33" s="1"/>
  <c r="H37" i="34"/>
  <c r="F15" i="39"/>
  <c r="AA15" i="39" s="1"/>
  <c r="H15" i="39"/>
  <c r="U15" i="39" s="1"/>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c r="F61" i="46"/>
  <c r="H61" i="46" s="1"/>
  <c r="AZ252" i="3"/>
  <c r="AZ276" i="3"/>
  <c r="F72" i="46"/>
  <c r="H74" i="46" s="1"/>
  <c r="J13" i="40"/>
  <c r="AB14" i="40"/>
  <c r="AC14" i="40"/>
  <c r="W41" i="40"/>
  <c r="U41" i="40"/>
  <c r="J23" i="40"/>
  <c r="AC23" i="40" s="1"/>
  <c r="F23" i="40"/>
  <c r="S23" i="40" s="1"/>
  <c r="AC15" i="40"/>
  <c r="AB16" i="39"/>
  <c r="H20" i="35"/>
  <c r="F20" i="35"/>
  <c r="AA20" i="35" s="1"/>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515" i="3"/>
  <c r="AZ549" i="3"/>
  <c r="AB37" i="39"/>
  <c r="AA29" i="35"/>
  <c r="J29" i="39"/>
  <c r="AB33" i="36"/>
  <c r="G99" i="37"/>
  <c r="H99" i="37" s="1"/>
  <c r="I99" i="37" s="1"/>
  <c r="J99" i="37" s="1"/>
  <c r="K99" i="37" s="1"/>
  <c r="L99" i="37" s="1"/>
  <c r="M99" i="37" s="1"/>
  <c r="F33" i="37"/>
  <c r="AA33" i="37" s="1"/>
  <c r="U46" i="34"/>
  <c r="AC30" i="34"/>
  <c r="AA14" i="34"/>
  <c r="U29" i="33"/>
  <c r="AC13" i="33"/>
  <c r="W32" i="33"/>
  <c r="H15" i="33"/>
  <c r="U15" i="33" s="1"/>
  <c r="AA11" i="33"/>
  <c r="AB34" i="40"/>
  <c r="U42" i="40"/>
  <c r="W32" i="40"/>
  <c r="H25" i="40"/>
  <c r="AB25" i="40" s="1"/>
  <c r="F93" i="40"/>
  <c r="G93" i="40"/>
  <c r="J37" i="34"/>
  <c r="AC37" i="34" s="1"/>
  <c r="J36" i="33"/>
  <c r="W36" i="33" s="1"/>
  <c r="AB23" i="40"/>
  <c r="S16" i="39"/>
  <c r="AA41" i="33"/>
  <c r="AA34" i="33"/>
  <c r="F106" i="33"/>
  <c r="G106" i="33" s="1"/>
  <c r="H106" i="33" s="1"/>
  <c r="I106" i="33" s="1"/>
  <c r="J106" i="33" s="1"/>
  <c r="K106" i="33" s="1"/>
  <c r="L106" i="33" s="1"/>
  <c r="M106" i="33" s="1"/>
  <c r="J34" i="33"/>
  <c r="AC34" i="33" s="1"/>
  <c r="U30" i="40"/>
  <c r="AA37" i="39"/>
  <c r="AB46" i="39"/>
  <c r="AC33" i="39"/>
  <c r="U11" i="36"/>
  <c r="F80" i="35"/>
  <c r="G80" i="35" s="1"/>
  <c r="H80" i="35" s="1"/>
  <c r="I80" i="35" s="1"/>
  <c r="J80" i="35" s="1"/>
  <c r="K80" i="35" s="1"/>
  <c r="L80" i="35" s="1"/>
  <c r="M80" i="35" s="1"/>
  <c r="F90" i="34"/>
  <c r="G90" i="34" s="1"/>
  <c r="H90" i="34" s="1"/>
  <c r="I90" i="34" s="1"/>
  <c r="J90" i="34" s="1"/>
  <c r="K90" i="34" s="1"/>
  <c r="L90" i="34" s="1"/>
  <c r="M90" i="34" s="1"/>
  <c r="F27" i="34"/>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AC16" i="35"/>
  <c r="J11" i="34"/>
  <c r="AC11" i="34" s="1"/>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s="1"/>
  <c r="J20" i="36"/>
  <c r="AC20" i="36" s="1"/>
  <c r="F20" i="36"/>
  <c r="AA20" i="36" s="1"/>
  <c r="S20" i="36"/>
  <c r="F62" i="36"/>
  <c r="G62" i="36" s="1"/>
  <c r="J14" i="36"/>
  <c r="H14" i="36"/>
  <c r="AB14" i="36" s="1"/>
  <c r="F14" i="36"/>
  <c r="AA14" i="36" s="1"/>
  <c r="U27" i="36"/>
  <c r="AB12" i="36"/>
  <c r="U9" i="36"/>
  <c r="AA27" i="36"/>
  <c r="S16" i="36"/>
  <c r="S29" i="36"/>
  <c r="AC33" i="35"/>
  <c r="U22" i="35"/>
  <c r="AA13" i="35"/>
  <c r="S8" i="35"/>
  <c r="U33" i="35"/>
  <c r="W20" i="35"/>
  <c r="S23" i="35"/>
  <c r="AB14" i="35"/>
  <c r="U9" i="35"/>
  <c r="W13" i="35"/>
  <c r="AC18" i="35"/>
  <c r="W18" i="35"/>
  <c r="U18" i="35"/>
  <c r="AB18" i="35"/>
  <c r="S30" i="35"/>
  <c r="AA35" i="35"/>
  <c r="AB30" i="35"/>
  <c r="S27" i="35"/>
  <c r="S28" i="35"/>
  <c r="J26" i="35"/>
  <c r="F26" i="35"/>
  <c r="H26" i="35"/>
  <c r="AB26" i="35" s="1"/>
  <c r="W12" i="37"/>
  <c r="AA9" i="37"/>
  <c r="S17" i="37"/>
  <c r="W28" i="37"/>
  <c r="AB37" i="37"/>
  <c r="AA31" i="37"/>
  <c r="S33" i="37"/>
  <c r="U32" i="37"/>
  <c r="AA32" i="37"/>
  <c r="J33" i="37"/>
  <c r="W33" i="37" s="1"/>
  <c r="S29" i="37"/>
  <c r="J19" i="37"/>
  <c r="G75" i="37"/>
  <c r="F19" i="37"/>
  <c r="AA19" i="37" s="1"/>
  <c r="H19" i="37"/>
  <c r="J17" i="37"/>
  <c r="W17" i="37" s="1"/>
  <c r="S15" i="37"/>
  <c r="AC21" i="37"/>
  <c r="W21" i="37"/>
  <c r="AC11" i="37"/>
  <c r="AC9" i="37"/>
  <c r="U35" i="37"/>
  <c r="U8" i="37"/>
  <c r="AB25" i="37"/>
  <c r="AB21" i="37"/>
  <c r="U21" i="37"/>
  <c r="S37" i="37"/>
  <c r="S40" i="37"/>
  <c r="AA11" i="37"/>
  <c r="W46" i="34"/>
  <c r="AC45" i="34"/>
  <c r="AA40" i="34"/>
  <c r="W33" i="34"/>
  <c r="U30" i="34"/>
  <c r="S32" i="34"/>
  <c r="AB33" i="34"/>
  <c r="AA12" i="34"/>
  <c r="AA30" i="34"/>
  <c r="AC32" i="34"/>
  <c r="U44" i="34"/>
  <c r="U34" i="34"/>
  <c r="U28" i="34"/>
  <c r="J25" i="34"/>
  <c r="H25" i="34"/>
  <c r="F25" i="34"/>
  <c r="S25" i="34" s="1"/>
  <c r="J23" i="34"/>
  <c r="F86" i="34"/>
  <c r="G86" i="34" s="1"/>
  <c r="F23" i="34"/>
  <c r="S23" i="34" s="1"/>
  <c r="H23" i="34"/>
  <c r="AB23" i="34" s="1"/>
  <c r="W17" i="34"/>
  <c r="U11" i="34"/>
  <c r="W37" i="34"/>
  <c r="AC40" i="34"/>
  <c r="W19" i="34"/>
  <c r="W29" i="34"/>
  <c r="AC21" i="34"/>
  <c r="W21" i="34"/>
  <c r="U15" i="34"/>
  <c r="AB21" i="34"/>
  <c r="U21" i="34"/>
  <c r="U19" i="34"/>
  <c r="AB41" i="34"/>
  <c r="S13" i="34"/>
  <c r="AA41" i="34"/>
  <c r="U39" i="33"/>
  <c r="S35" i="33"/>
  <c r="W34" i="33"/>
  <c r="AB41" i="33"/>
  <c r="U36" i="33"/>
  <c r="W43" i="33"/>
  <c r="U46" i="33"/>
  <c r="W39" i="33"/>
  <c r="U35" i="33"/>
  <c r="W26" i="33"/>
  <c r="AB26" i="33"/>
  <c r="H25" i="33"/>
  <c r="J25" i="33"/>
  <c r="W25" i="33" s="1"/>
  <c r="F87" i="33"/>
  <c r="G87" i="33" s="1"/>
  <c r="H87" i="33" s="1"/>
  <c r="I87" i="33" s="1"/>
  <c r="J87" i="33" s="1"/>
  <c r="K87" i="33" s="1"/>
  <c r="L87" i="33" s="1"/>
  <c r="M87" i="33" s="1"/>
  <c r="F25" i="33"/>
  <c r="J23" i="33"/>
  <c r="W23" i="33" s="1"/>
  <c r="F23" i="33"/>
  <c r="S23" i="33" s="1"/>
  <c r="H23" i="33"/>
  <c r="AB23" i="33" s="1"/>
  <c r="U19" i="33"/>
  <c r="F79" i="33"/>
  <c r="G79" i="33" s="1"/>
  <c r="F17" i="33"/>
  <c r="S17" i="33" s="1"/>
  <c r="H17" i="33"/>
  <c r="J17" i="33"/>
  <c r="AB15" i="33"/>
  <c r="AC11" i="33"/>
  <c r="AC21" i="33"/>
  <c r="W21" i="33"/>
  <c r="AB21" i="33"/>
  <c r="U21" i="33"/>
  <c r="AA21" i="33"/>
  <c r="S21" i="33"/>
  <c r="AA36" i="33"/>
  <c r="S44" i="21"/>
  <c r="W39" i="21"/>
  <c r="AC34" i="21"/>
  <c r="W43" i="21"/>
  <c r="AA37" i="21"/>
  <c r="W28" i="21"/>
  <c r="AC26" i="21"/>
  <c r="W13" i="21"/>
  <c r="AC21" i="21"/>
  <c r="W21" i="21"/>
  <c r="W44" i="21"/>
  <c r="W10" i="21"/>
  <c r="AC38" i="21"/>
  <c r="AB21" i="21"/>
  <c r="U21" i="21"/>
  <c r="AB29" i="21"/>
  <c r="AA31" i="21"/>
  <c r="W33" i="40"/>
  <c r="S35" i="40"/>
  <c r="U15" i="40"/>
  <c r="S14" i="40"/>
  <c r="S15" i="40"/>
  <c r="AB13" i="40"/>
  <c r="S16" i="40"/>
  <c r="W11" i="40"/>
  <c r="U21" i="40"/>
  <c r="W25" i="40"/>
  <c r="U25" i="40"/>
  <c r="U35" i="40"/>
  <c r="F37" i="40"/>
  <c r="AA37" i="40" s="1"/>
  <c r="J37" i="40"/>
  <c r="AC37" i="40" s="1"/>
  <c r="H37" i="40"/>
  <c r="G112" i="40"/>
  <c r="H112" i="40" s="1"/>
  <c r="I112" i="40" s="1"/>
  <c r="J112" i="40" s="1"/>
  <c r="K112" i="40" s="1"/>
  <c r="L112" i="40" s="1"/>
  <c r="M112" i="40" s="1"/>
  <c r="F39" i="40"/>
  <c r="AA39" i="40" s="1"/>
  <c r="H39" i="40"/>
  <c r="U39" i="40" s="1"/>
  <c r="J39" i="40"/>
  <c r="W38" i="40"/>
  <c r="F29" i="40"/>
  <c r="H29" i="40"/>
  <c r="U29" i="40" s="1"/>
  <c r="J29" i="40"/>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W21" i="40"/>
  <c r="U10" i="40"/>
  <c r="U27" i="40"/>
  <c r="AB27" i="40"/>
  <c r="S11" i="39"/>
  <c r="S14" i="39"/>
  <c r="U11" i="39"/>
  <c r="AB38" i="39"/>
  <c r="U31" i="39"/>
  <c r="AB31" i="39"/>
  <c r="S38" i="39"/>
  <c r="S22" i="31"/>
  <c r="B20" i="31" s="1"/>
  <c r="D96" i="9"/>
  <c r="A18" i="64"/>
  <c r="B74" i="63" s="1"/>
  <c r="C53" i="10"/>
  <c r="A25" i="64" s="1"/>
  <c r="A18" i="51"/>
  <c r="B14" i="63" s="1"/>
  <c r="BA16" i="3"/>
  <c r="BA17" i="3"/>
  <c r="AZ17" i="3" s="1"/>
  <c r="AZ15" i="3"/>
  <c r="BK5" i="3"/>
  <c r="BP5" i="3"/>
  <c r="BN5" i="3"/>
  <c r="BL18" i="3"/>
  <c r="AZ18" i="3" s="1"/>
  <c r="BC5" i="3"/>
  <c r="BD5" i="3"/>
  <c r="BR5" i="3"/>
  <c r="BS5" i="3"/>
  <c r="BQ5" i="3"/>
  <c r="F28" i="6" s="1"/>
  <c r="BL16" i="3"/>
  <c r="BM5" i="3"/>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32" i="36"/>
  <c r="AA22" i="36"/>
  <c r="AA13" i="36"/>
  <c r="W29" i="36"/>
  <c r="W9" i="36"/>
  <c r="W8" i="36"/>
  <c r="AC30" i="35"/>
  <c r="U24" i="35"/>
  <c r="W32" i="35"/>
  <c r="S24" i="35"/>
  <c r="AA33" i="35"/>
  <c r="U32" i="35"/>
  <c r="W22" i="35"/>
  <c r="S32" i="35"/>
  <c r="W35" i="37"/>
  <c r="AC33" i="37"/>
  <c r="AC15" i="37"/>
  <c r="AA13" i="37"/>
  <c r="W38" i="37"/>
  <c r="W36" i="37"/>
  <c r="AB28" i="37"/>
  <c r="S28" i="37"/>
  <c r="W13" i="37"/>
  <c r="U38" i="37"/>
  <c r="AA31" i="34"/>
  <c r="AB35" i="34"/>
  <c r="W47" i="34"/>
  <c r="AB29" i="34"/>
  <c r="AB47" i="34"/>
  <c r="AB13" i="34"/>
  <c r="AC13" i="34"/>
  <c r="S47" i="34"/>
  <c r="AA29" i="34"/>
  <c r="S19" i="34"/>
  <c r="S8" i="34"/>
  <c r="AA19" i="33"/>
  <c r="AC25" i="33"/>
  <c r="S43" i="33"/>
  <c r="AB42" i="33"/>
  <c r="S26" i="33"/>
  <c r="S15" i="33"/>
  <c r="AB25" i="21"/>
  <c r="AB45" i="21"/>
  <c r="W25" i="21"/>
  <c r="AA25" i="21"/>
  <c r="AC37" i="21"/>
  <c r="AA29" i="21"/>
  <c r="U27" i="21"/>
  <c r="W31" i="21"/>
  <c r="S27" i="21"/>
  <c r="AC27" i="21"/>
  <c r="W29" i="21"/>
  <c r="G95" i="40"/>
  <c r="J27" i="40"/>
  <c r="W27" i="40" s="1"/>
  <c r="W37" i="40"/>
  <c r="W30" i="40"/>
  <c r="S34" i="40"/>
  <c r="U38" i="40"/>
  <c r="S40" i="40"/>
  <c r="S42" i="40"/>
  <c r="G104" i="39"/>
  <c r="J31" i="39"/>
  <c r="W31" i="39" s="1"/>
  <c r="S34" i="39"/>
  <c r="W42" i="39"/>
  <c r="W36" i="39"/>
  <c r="U14" i="39"/>
  <c r="AA46" i="39"/>
  <c r="W34" i="39"/>
  <c r="W10" i="39"/>
  <c r="W11" i="39"/>
  <c r="U42" i="39"/>
  <c r="S32" i="40"/>
  <c r="C27" i="39"/>
  <c r="C17" i="40"/>
  <c r="C19" i="40"/>
  <c r="C17" i="39"/>
  <c r="C19" i="39"/>
  <c r="C21" i="39"/>
  <c r="C23" i="40"/>
  <c r="B51" i="46"/>
  <c r="B54" i="46"/>
  <c r="B58" i="46"/>
  <c r="B62" i="46"/>
  <c r="B65" i="46"/>
  <c r="B69" i="46"/>
  <c r="B56" i="46"/>
  <c r="B67" i="46"/>
  <c r="D24" i="15"/>
  <c r="S14" i="36"/>
  <c r="AB20" i="36"/>
  <c r="AC14" i="36"/>
  <c r="W14" i="36"/>
  <c r="U14" i="36"/>
  <c r="AA26" i="35"/>
  <c r="S26" i="35"/>
  <c r="U26" i="35"/>
  <c r="W26" i="35"/>
  <c r="AC26" i="35"/>
  <c r="S19" i="37"/>
  <c r="AB19" i="37"/>
  <c r="U19" i="37"/>
  <c r="AC17" i="37"/>
  <c r="U25" i="34"/>
  <c r="AB25" i="34"/>
  <c r="W25" i="34"/>
  <c r="AC25" i="34"/>
  <c r="U23" i="34"/>
  <c r="AA23" i="34"/>
  <c r="AC23" i="34"/>
  <c r="W23" i="34"/>
  <c r="AA25" i="33"/>
  <c r="S25" i="33"/>
  <c r="U23" i="33"/>
  <c r="AC23" i="33"/>
  <c r="W17" i="33"/>
  <c r="AC17" i="33"/>
  <c r="U17" i="33"/>
  <c r="AB17" i="33"/>
  <c r="AB39" i="40"/>
  <c r="AC39" i="40"/>
  <c r="W39" i="40"/>
  <c r="S39" i="40"/>
  <c r="U37" i="40"/>
  <c r="AB37" i="40"/>
  <c r="S37" i="40"/>
  <c r="AB29" i="40"/>
  <c r="AC29" i="40"/>
  <c r="W29" i="40"/>
  <c r="AA29" i="40"/>
  <c r="S29" i="40"/>
  <c r="W19" i="40"/>
  <c r="AC19" i="40"/>
  <c r="S19" i="40"/>
  <c r="R22" i="31"/>
  <c r="B21" i="31"/>
  <c r="A17" i="51"/>
  <c r="B13" i="63" s="1"/>
  <c r="AT6" i="3"/>
  <c r="AZ16" i="3"/>
  <c r="E4" i="4"/>
  <c r="B21" i="55" s="1"/>
  <c r="B72" i="63" s="1"/>
  <c r="C4" i="4"/>
  <c r="B20" i="55" s="1"/>
  <c r="B70" i="63" s="1"/>
  <c r="J18" i="36"/>
  <c r="W18" i="36"/>
  <c r="AC18" i="36"/>
  <c r="L20" i="6"/>
  <c r="C45" i="9"/>
  <c r="B7" i="66" s="1"/>
  <c r="N76" i="9"/>
  <c r="C46" i="9"/>
  <c r="O41" i="9" s="1"/>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E13" i="67"/>
  <c r="B10" i="67"/>
  <c r="B11" i="67"/>
  <c r="B14" i="67"/>
  <c r="E8" i="67"/>
  <c r="F11" i="67"/>
  <c r="J3" i="65"/>
  <c r="F8" i="67"/>
  <c r="I5" i="65"/>
  <c r="B8" i="67"/>
  <c r="N5" i="65"/>
  <c r="J4" i="65"/>
  <c r="F14" i="67"/>
  <c r="N3" i="65"/>
  <c r="E10" i="67"/>
  <c r="F12" i="67"/>
  <c r="J6" i="65"/>
  <c r="E12" i="67"/>
  <c r="E14" i="67"/>
  <c r="I3" i="65"/>
  <c r="N4" i="65"/>
  <c r="F10" i="67"/>
  <c r="F9" i="67"/>
  <c r="B12" i="67"/>
  <c r="E11" i="67"/>
  <c r="B9" i="67"/>
  <c r="I6" i="65"/>
  <c r="J5" i="65"/>
  <c r="B13" i="67"/>
  <c r="F13" i="67"/>
  <c r="E9" i="67"/>
  <c r="N7" i="65"/>
  <c r="N6" i="65"/>
  <c r="S15" i="39" l="1"/>
  <c r="AB15" i="39"/>
  <c r="AC46" i="39"/>
  <c r="W39" i="39"/>
  <c r="AC38" i="39"/>
  <c r="AA33" i="39"/>
  <c r="U34" i="39"/>
  <c r="U39" i="39"/>
  <c r="AB33" i="39"/>
  <c r="AA39" i="39"/>
  <c r="K1" i="43"/>
  <c r="B6" i="1"/>
  <c r="E6" i="1" s="1"/>
  <c r="AC19" i="39"/>
  <c r="C18" i="9"/>
  <c r="AC19" i="21"/>
  <c r="F69" i="21"/>
  <c r="G69" i="21" s="1"/>
  <c r="H69" i="21" s="1"/>
  <c r="I69" i="21" s="1"/>
  <c r="J69" i="21" s="1"/>
  <c r="K69" i="21" s="1"/>
  <c r="L69" i="21" s="1"/>
  <c r="M69" i="21" s="1"/>
  <c r="J11" i="21"/>
  <c r="W11" i="21" s="1"/>
  <c r="F11" i="21"/>
  <c r="H11" i="21"/>
  <c r="U19" i="21"/>
  <c r="U42" i="21"/>
  <c r="W42" i="21"/>
  <c r="AC36" i="21"/>
  <c r="AA36" i="21"/>
  <c r="AB36" i="21"/>
  <c r="U35" i="21"/>
  <c r="AB34" i="21"/>
  <c r="W32" i="21"/>
  <c r="S32" i="21"/>
  <c r="AC11" i="21"/>
  <c r="AC40" i="21"/>
  <c r="AA41" i="21"/>
  <c r="S39" i="21"/>
  <c r="AA40" i="21"/>
  <c r="AA38" i="21"/>
  <c r="AB37" i="21"/>
  <c r="S33" i="21"/>
  <c r="S42" i="21"/>
  <c r="U43" i="21"/>
  <c r="AC33" i="21"/>
  <c r="G85" i="21"/>
  <c r="J23" i="21"/>
  <c r="AC23" i="21" s="1"/>
  <c r="F23" i="21"/>
  <c r="S23" i="21" s="1"/>
  <c r="H23" i="21"/>
  <c r="U23" i="21" s="1"/>
  <c r="G77" i="21"/>
  <c r="J15" i="21"/>
  <c r="W15" i="21" s="1"/>
  <c r="F15" i="21"/>
  <c r="AA15" i="21" s="1"/>
  <c r="H15" i="21"/>
  <c r="AB15" i="21" s="1"/>
  <c r="S19" i="21"/>
  <c r="U17" i="21"/>
  <c r="W17" i="21"/>
  <c r="AA17" i="21"/>
  <c r="S41" i="39"/>
  <c r="G100" i="39"/>
  <c r="F27" i="39"/>
  <c r="AA27" i="39" s="1"/>
  <c r="H27" i="39"/>
  <c r="AB27" i="39" s="1"/>
  <c r="J27" i="39"/>
  <c r="AC27" i="39" s="1"/>
  <c r="G98" i="39"/>
  <c r="J25" i="39"/>
  <c r="AC25" i="39" s="1"/>
  <c r="F25" i="39"/>
  <c r="S25" i="39" s="1"/>
  <c r="H25" i="39"/>
  <c r="U25" i="39" s="1"/>
  <c r="G96" i="39"/>
  <c r="J23" i="39"/>
  <c r="AC23" i="39" s="1"/>
  <c r="H23" i="39"/>
  <c r="AB23" i="39" s="1"/>
  <c r="F23" i="39"/>
  <c r="AA23" i="39" s="1"/>
  <c r="G90" i="39"/>
  <c r="J17" i="39"/>
  <c r="W17" i="39" s="1"/>
  <c r="F17" i="39"/>
  <c r="H17" i="39"/>
  <c r="AB17" i="39" s="1"/>
  <c r="W41" i="39"/>
  <c r="W45" i="39"/>
  <c r="S45" i="39"/>
  <c r="AB45" i="39"/>
  <c r="AC44" i="39"/>
  <c r="AB44" i="39"/>
  <c r="AA44" i="39"/>
  <c r="AB43" i="39"/>
  <c r="AC43" i="39"/>
  <c r="S43" i="39"/>
  <c r="AB29" i="39"/>
  <c r="S29" i="39"/>
  <c r="U21" i="39"/>
  <c r="AA21" i="39"/>
  <c r="AA19" i="39"/>
  <c r="B77" i="46"/>
  <c r="F3" i="35"/>
  <c r="G1" i="44"/>
  <c r="G1" i="15"/>
  <c r="G29" i="6"/>
  <c r="K33" i="9"/>
  <c r="K34" i="9" s="1"/>
  <c r="F72" i="9"/>
  <c r="M18" i="15"/>
  <c r="W35" i="34"/>
  <c r="AC35" i="34"/>
  <c r="AC21" i="39"/>
  <c r="AC19" i="37"/>
  <c r="W19" i="37"/>
  <c r="W35" i="33"/>
  <c r="AC35" i="33"/>
  <c r="W13" i="40"/>
  <c r="AC13" i="40"/>
  <c r="AC34" i="40"/>
  <c r="W34" i="40"/>
  <c r="AB37" i="34"/>
  <c r="U37" i="34"/>
  <c r="U34" i="33"/>
  <c r="AB34" i="33"/>
  <c r="AB17" i="34"/>
  <c r="U17" i="34"/>
  <c r="AC9" i="34"/>
  <c r="W9" i="34"/>
  <c r="AZ559" i="3"/>
  <c r="AC14" i="35"/>
  <c r="W14" i="35"/>
  <c r="AZ545" i="3"/>
  <c r="AA23" i="33"/>
  <c r="AC37" i="39"/>
  <c r="S12" i="37"/>
  <c r="AB25" i="33"/>
  <c r="U25" i="33"/>
  <c r="S27" i="34"/>
  <c r="AA27" i="34"/>
  <c r="U23" i="35"/>
  <c r="S47" i="39"/>
  <c r="U40" i="40"/>
  <c r="AB33" i="40"/>
  <c r="U33" i="40"/>
  <c r="AB47" i="39"/>
  <c r="U47" i="39"/>
  <c r="AC15" i="39"/>
  <c r="W15" i="39"/>
  <c r="AC29" i="35"/>
  <c r="W29" i="35"/>
  <c r="AA33" i="36"/>
  <c r="S33" i="36"/>
  <c r="AC12" i="34"/>
  <c r="W12" i="34"/>
  <c r="U40" i="21"/>
  <c r="AB40" i="21"/>
  <c r="S21" i="40"/>
  <c r="AA21" i="40"/>
  <c r="W30" i="21"/>
  <c r="AC30" i="21"/>
  <c r="W29" i="33"/>
  <c r="AC29" i="33"/>
  <c r="AC29" i="39"/>
  <c r="W29" i="39"/>
  <c r="AA30" i="40"/>
  <c r="S30" i="40"/>
  <c r="AB27" i="34"/>
  <c r="U27" i="34"/>
  <c r="AZ157" i="3"/>
  <c r="U33" i="37"/>
  <c r="AB19" i="40"/>
  <c r="AA17" i="33"/>
  <c r="AA25" i="34"/>
  <c r="S20" i="35"/>
  <c r="AC42" i="40"/>
  <c r="W42" i="40"/>
  <c r="AB41" i="39"/>
  <c r="U41" i="39"/>
  <c r="AC16" i="39"/>
  <c r="W16" i="39"/>
  <c r="AA15" i="34"/>
  <c r="S15" i="34"/>
  <c r="AZ530" i="3"/>
  <c r="U19" i="39"/>
  <c r="AB19" i="39"/>
  <c r="W14" i="34"/>
  <c r="AC14" i="34"/>
  <c r="AC15" i="33"/>
  <c r="W15" i="33"/>
  <c r="U32" i="21"/>
  <c r="AB32" i="21"/>
  <c r="AZ363" i="3"/>
  <c r="U9" i="37"/>
  <c r="AB9" i="37"/>
  <c r="AZ501" i="3"/>
  <c r="AZ493" i="3"/>
  <c r="S38" i="40"/>
  <c r="U37" i="33"/>
  <c r="AA33" i="34"/>
  <c r="W32" i="37"/>
  <c r="S16" i="35"/>
  <c r="AA14" i="35"/>
  <c r="AZ489" i="3"/>
  <c r="AZ503" i="3"/>
  <c r="AZ523" i="3"/>
  <c r="AZ554" i="3"/>
  <c r="AZ566" i="3"/>
  <c r="F11" i="36"/>
  <c r="U43" i="34"/>
  <c r="AB12" i="34"/>
  <c r="F29" i="33"/>
  <c r="AC27" i="34"/>
  <c r="S11" i="34"/>
  <c r="S26" i="21"/>
  <c r="AC14" i="37"/>
  <c r="AZ378" i="3"/>
  <c r="AZ380" i="3"/>
  <c r="AZ123" i="3"/>
  <c r="AZ377" i="3"/>
  <c r="AZ343" i="3"/>
  <c r="AZ303" i="3"/>
  <c r="U15" i="37"/>
  <c r="S25" i="37"/>
  <c r="AC41" i="34"/>
  <c r="AB27" i="37"/>
  <c r="AZ488" i="3"/>
  <c r="BL516" i="3"/>
  <c r="U28" i="21"/>
  <c r="AC13" i="36"/>
  <c r="W14" i="21"/>
  <c r="AA46" i="33"/>
  <c r="S46" i="33"/>
  <c r="F30" i="21"/>
  <c r="F14" i="21"/>
  <c r="U29" i="36"/>
  <c r="U9" i="21"/>
  <c r="W35" i="21"/>
  <c r="AC35" i="21"/>
  <c r="F9" i="21"/>
  <c r="J9" i="21"/>
  <c r="AA33" i="33"/>
  <c r="S33" i="33"/>
  <c r="AC40" i="33"/>
  <c r="W40" i="33"/>
  <c r="H27" i="33"/>
  <c r="J27" i="33"/>
  <c r="F31" i="33"/>
  <c r="J31" i="33"/>
  <c r="W27" i="35"/>
  <c r="AC27" i="35"/>
  <c r="G541" i="3"/>
  <c r="BL533" i="3"/>
  <c r="G481" i="3"/>
  <c r="G19" i="3"/>
  <c r="AZ491" i="3"/>
  <c r="AZ509" i="3"/>
  <c r="AZ533" i="3"/>
  <c r="AZ563" i="3"/>
  <c r="AZ151" i="3"/>
  <c r="AZ541" i="3"/>
  <c r="AC28" i="33"/>
  <c r="H46" i="21"/>
  <c r="H30" i="21"/>
  <c r="U30" i="21" s="1"/>
  <c r="S10" i="21"/>
  <c r="B99" i="46"/>
  <c r="B76" i="46"/>
  <c r="C29" i="39"/>
  <c r="H14" i="33"/>
  <c r="J14" i="33"/>
  <c r="BL553" i="3"/>
  <c r="BL483" i="3"/>
  <c r="AZ492" i="3"/>
  <c r="AZ544" i="3"/>
  <c r="AZ557" i="3"/>
  <c r="U14" i="21"/>
  <c r="AB14" i="21"/>
  <c r="H9" i="34"/>
  <c r="F9" i="34"/>
  <c r="H36" i="35"/>
  <c r="J36" i="35"/>
  <c r="AC39" i="37"/>
  <c r="W39" i="37"/>
  <c r="U41" i="21"/>
  <c r="AB41" i="21"/>
  <c r="BL519" i="3"/>
  <c r="AZ519" i="3" s="1"/>
  <c r="AA44" i="33"/>
  <c r="W44" i="34"/>
  <c r="U32" i="36"/>
  <c r="AB38" i="34"/>
  <c r="AC40" i="40"/>
  <c r="AA36" i="34"/>
  <c r="AZ481" i="3"/>
  <c r="AZ483" i="3"/>
  <c r="AZ496" i="3"/>
  <c r="AZ500" i="3"/>
  <c r="AZ511" i="3"/>
  <c r="AZ522" i="3"/>
  <c r="AZ529" i="3"/>
  <c r="AZ535" i="3"/>
  <c r="AZ548" i="3"/>
  <c r="AZ553" i="3"/>
  <c r="AZ565" i="3"/>
  <c r="W37" i="37"/>
  <c r="AZ374" i="3"/>
  <c r="AZ328" i="3"/>
  <c r="AZ381" i="3"/>
  <c r="AZ331" i="3"/>
  <c r="AZ115" i="3"/>
  <c r="AZ322" i="3"/>
  <c r="BL514" i="3"/>
  <c r="BL546" i="3"/>
  <c r="BL564" i="3"/>
  <c r="AZ564" i="3" s="1"/>
  <c r="AB45" i="33"/>
  <c r="H44" i="33"/>
  <c r="F14" i="33"/>
  <c r="H13" i="36"/>
  <c r="J46" i="21"/>
  <c r="G571" i="3"/>
  <c r="AC33" i="33"/>
  <c r="W33" i="33"/>
  <c r="AC39" i="34"/>
  <c r="W39" i="34"/>
  <c r="AA31" i="35"/>
  <c r="U8" i="36"/>
  <c r="AB22" i="36"/>
  <c r="J24" i="36"/>
  <c r="H24" i="36"/>
  <c r="F24" i="36"/>
  <c r="G490" i="3"/>
  <c r="G564" i="3"/>
  <c r="G551" i="3"/>
  <c r="G533" i="3"/>
  <c r="G505" i="3"/>
  <c r="G496" i="3"/>
  <c r="G495" i="3"/>
  <c r="G489" i="3"/>
  <c r="G15" i="3"/>
  <c r="G548" i="3"/>
  <c r="G519"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BL431" i="3"/>
  <c r="BA447" i="3"/>
  <c r="BL449" i="3"/>
  <c r="BA456" i="3"/>
  <c r="BA462" i="3"/>
  <c r="BL464" i="3"/>
  <c r="BA467" i="3"/>
  <c r="BL469" i="3"/>
  <c r="BL389" i="3"/>
  <c r="G392" i="3"/>
  <c r="G393" i="3"/>
  <c r="BA396" i="3"/>
  <c r="G400" i="3"/>
  <c r="BA402" i="3"/>
  <c r="BL404" i="3"/>
  <c r="G405" i="3"/>
  <c r="G411" i="3"/>
  <c r="BA411" i="3"/>
  <c r="BA413" i="3"/>
  <c r="BL413" i="3"/>
  <c r="BA416" i="3"/>
  <c r="G420" i="3"/>
  <c r="G421" i="3"/>
  <c r="G427" i="3"/>
  <c r="BA427" i="3"/>
  <c r="AZ427" i="3" s="1"/>
  <c r="BA433" i="3"/>
  <c r="BL433" i="3"/>
  <c r="BA436" i="3"/>
  <c r="G440" i="3"/>
  <c r="G443" i="3"/>
  <c r="BA443" i="3"/>
  <c r="BL448" i="3"/>
  <c r="G449" i="3"/>
  <c r="G455" i="3"/>
  <c r="BL455" i="3"/>
  <c r="BA457" i="3"/>
  <c r="BL457" i="3"/>
  <c r="AZ457" i="3" s="1"/>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G370" i="3"/>
  <c r="BA371" i="3"/>
  <c r="BA205" i="3"/>
  <c r="BL206" i="3"/>
  <c r="BA212" i="3"/>
  <c r="BL215" i="3"/>
  <c r="G216" i="3"/>
  <c r="G217" i="3"/>
  <c r="BL218" i="3"/>
  <c r="G237" i="3"/>
  <c r="BA395" i="3"/>
  <c r="BA397" i="3"/>
  <c r="BL397" i="3"/>
  <c r="BA400" i="3"/>
  <c r="BL407" i="3"/>
  <c r="BL412" i="3"/>
  <c r="BA415" i="3"/>
  <c r="BA417" i="3"/>
  <c r="BL417" i="3"/>
  <c r="BL423" i="3"/>
  <c r="BL429" i="3"/>
  <c r="BL435" i="3"/>
  <c r="BA437" i="3"/>
  <c r="AZ437" i="3" s="1"/>
  <c r="BL437" i="3"/>
  <c r="BA440" i="3"/>
  <c r="BL472" i="3"/>
  <c r="BA475" i="3"/>
  <c r="BL477" i="3"/>
  <c r="BA480" i="3"/>
  <c r="BA341" i="3"/>
  <c r="AZ341" i="3" s="1"/>
  <c r="BA350" i="3"/>
  <c r="BA385" i="3"/>
  <c r="BL386" i="3"/>
  <c r="BL207" i="3"/>
  <c r="G208" i="3"/>
  <c r="G209" i="3"/>
  <c r="BA211" i="3"/>
  <c r="G215" i="3"/>
  <c r="BA217" i="3"/>
  <c r="G220" i="3"/>
  <c r="G221" i="3"/>
  <c r="BL222" i="3"/>
  <c r="G230" i="3"/>
  <c r="G228" i="3"/>
  <c r="G229" i="3"/>
  <c r="BA231" i="3"/>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G22" i="3"/>
  <c r="BA23" i="3"/>
  <c r="G28" i="3"/>
  <c r="G32" i="3"/>
  <c r="G36" i="3"/>
  <c r="BA38" i="3"/>
  <c r="G43" i="3"/>
  <c r="BA45" i="3"/>
  <c r="BL46" i="3"/>
  <c r="BL47" i="3"/>
  <c r="BA49" i="3"/>
  <c r="BL50" i="3"/>
  <c r="BL51" i="3"/>
  <c r="BA52" i="3"/>
  <c r="D63" i="59"/>
  <c r="C64" i="59"/>
  <c r="AZ64" i="3"/>
  <c r="AA21" i="21"/>
  <c r="S21" i="21"/>
  <c r="G226" i="3"/>
  <c r="BA227" i="3"/>
  <c r="AZ227" i="3" s="1"/>
  <c r="BL231" i="3"/>
  <c r="G234" i="3"/>
  <c r="BL234" i="3"/>
  <c r="BA241" i="3"/>
  <c r="BA244" i="3"/>
  <c r="AZ244" i="3" s="1"/>
  <c r="BL244" i="3"/>
  <c r="BA247" i="3"/>
  <c r="AZ247" i="3" s="1"/>
  <c r="G254" i="3"/>
  <c r="BL254" i="3"/>
  <c r="BA256" i="3"/>
  <c r="BL256" i="3"/>
  <c r="BA261" i="3"/>
  <c r="BL263" i="3"/>
  <c r="G266" i="3"/>
  <c r="BL266" i="3"/>
  <c r="BL272" i="3"/>
  <c r="G282" i="3"/>
  <c r="BL282" i="3"/>
  <c r="BL288" i="3"/>
  <c r="G291" i="3"/>
  <c r="G292" i="3"/>
  <c r="BA113" i="3"/>
  <c r="BA117" i="3"/>
  <c r="BA119" i="3"/>
  <c r="AZ119" i="3" s="1"/>
  <c r="G123" i="3"/>
  <c r="BA123" i="3"/>
  <c r="BL125" i="3"/>
  <c r="G126" i="3"/>
  <c r="G131" i="3"/>
  <c r="BA132" i="3"/>
  <c r="G135" i="3"/>
  <c r="G141" i="3"/>
  <c r="G147" i="3"/>
  <c r="BA148" i="3"/>
  <c r="G151" i="3"/>
  <c r="G153" i="3"/>
  <c r="BL157" i="3"/>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BA204" i="3"/>
  <c r="G25" i="3"/>
  <c r="BA26" i="3"/>
  <c r="G31" i="3"/>
  <c r="BA31" i="3"/>
  <c r="AZ31" i="3" s="1"/>
  <c r="G35" i="3"/>
  <c r="BA35" i="3"/>
  <c r="AZ35" i="3" s="1"/>
  <c r="BL53" i="3"/>
  <c r="BA54" i="3"/>
  <c r="G58" i="3"/>
  <c r="BL60" i="3"/>
  <c r="G63" i="3"/>
  <c r="BA63" i="3"/>
  <c r="AZ63" i="3" s="1"/>
  <c r="BA67" i="3"/>
  <c r="AZ67" i="3" s="1"/>
  <c r="BA69" i="3"/>
  <c r="G211" i="3"/>
  <c r="BA213" i="3"/>
  <c r="BL214" i="3"/>
  <c r="BA219" i="3"/>
  <c r="G223" i="3"/>
  <c r="BA225" i="3"/>
  <c r="BA233" i="3"/>
  <c r="BA236" i="3"/>
  <c r="AZ236" i="3" s="1"/>
  <c r="BL236" i="3"/>
  <c r="BA239" i="3"/>
  <c r="AZ239" i="3" s="1"/>
  <c r="G243" i="3"/>
  <c r="G244" i="3"/>
  <c r="G246" i="3"/>
  <c r="BL246" i="3"/>
  <c r="BA248" i="3"/>
  <c r="AZ248" i="3" s="1"/>
  <c r="BL248" i="3"/>
  <c r="BA253" i="3"/>
  <c r="BL255" i="3"/>
  <c r="AZ255" i="3" s="1"/>
  <c r="G256" i="3"/>
  <c r="G258" i="3"/>
  <c r="BL258" i="3"/>
  <c r="G263" i="3"/>
  <c r="BA265" i="3"/>
  <c r="BA268" i="3"/>
  <c r="AZ268" i="3" s="1"/>
  <c r="BL268" i="3"/>
  <c r="G271" i="3"/>
  <c r="G272" i="3"/>
  <c r="G278" i="3"/>
  <c r="BL278" i="3"/>
  <c r="BA284" i="3"/>
  <c r="BL284" i="3"/>
  <c r="G287" i="3"/>
  <c r="G288" i="3"/>
  <c r="BL290" i="3"/>
  <c r="BA294" i="3"/>
  <c r="G115" i="3"/>
  <c r="BA116" i="3"/>
  <c r="G119" i="3"/>
  <c r="G125" i="3"/>
  <c r="BL128" i="3"/>
  <c r="BL130" i="3"/>
  <c r="AZ130" i="3" s="1"/>
  <c r="BA131" i="3"/>
  <c r="AZ131" i="3" s="1"/>
  <c r="G134" i="3"/>
  <c r="BA141" i="3"/>
  <c r="BA143" i="3"/>
  <c r="AZ143" i="3" s="1"/>
  <c r="G146" i="3"/>
  <c r="BL146" i="3"/>
  <c r="AZ146" i="3" s="1"/>
  <c r="BA147" i="3"/>
  <c r="AZ147" i="3" s="1"/>
  <c r="G150" i="3"/>
  <c r="BA151" i="3"/>
  <c r="G156" i="3"/>
  <c r="G157" i="3"/>
  <c r="G164" i="3"/>
  <c r="BL167" i="3"/>
  <c r="BL169" i="3"/>
  <c r="AZ169" i="3" s="1"/>
  <c r="BA170" i="3"/>
  <c r="AZ170" i="3" s="1"/>
  <c r="BL172" i="3"/>
  <c r="G173" i="3"/>
  <c r="G178" i="3"/>
  <c r="BA183" i="3"/>
  <c r="BA187" i="3"/>
  <c r="BA191" i="3"/>
  <c r="BA195" i="3"/>
  <c r="BA199" i="3"/>
  <c r="G202" i="3"/>
  <c r="BA203" i="3"/>
  <c r="AZ203" i="3" s="1"/>
  <c r="BA39" i="3"/>
  <c r="C44" i="59"/>
  <c r="C45" i="59" s="1"/>
  <c r="D43" i="59"/>
  <c r="D55" i="59"/>
  <c r="C56" i="59"/>
  <c r="BA42" i="3"/>
  <c r="G47" i="3"/>
  <c r="BA47" i="3"/>
  <c r="G51" i="3"/>
  <c r="BA51" i="3"/>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Q68" i="59"/>
  <c r="AA27" i="59"/>
  <c r="X32" i="59"/>
  <c r="X33" i="59"/>
  <c r="E48" i="59"/>
  <c r="E49" i="59" s="1"/>
  <c r="U49" i="59" s="1"/>
  <c r="B60" i="59"/>
  <c r="B61" i="59" s="1"/>
  <c r="S61" i="59" s="1"/>
  <c r="BA24" i="3"/>
  <c r="BL28" i="3"/>
  <c r="BL32" i="3"/>
  <c r="G38" i="3"/>
  <c r="G39" i="3"/>
  <c r="BA40" i="3"/>
  <c r="BL44" i="3"/>
  <c r="BL48" i="3"/>
  <c r="G54" i="3"/>
  <c r="G55" i="3"/>
  <c r="BA56" i="3"/>
  <c r="G59" i="3"/>
  <c r="G60" i="3"/>
  <c r="G64" i="3"/>
  <c r="G66" i="3"/>
  <c r="G67" i="3"/>
  <c r="G75" i="3"/>
  <c r="BL79" i="3"/>
  <c r="G81" i="3"/>
  <c r="G82" i="3"/>
  <c r="BA82" i="3"/>
  <c r="G86" i="3"/>
  <c r="G87" i="3"/>
  <c r="BA88" i="3"/>
  <c r="BA90" i="3"/>
  <c r="BL92" i="3"/>
  <c r="BL95" i="3"/>
  <c r="G99" i="3"/>
  <c r="BL104" i="3"/>
  <c r="G105" i="3"/>
  <c r="G107" i="3"/>
  <c r="BA107" i="3"/>
  <c r="BL109" i="3"/>
  <c r="BL111" i="3"/>
  <c r="BA112" i="3"/>
  <c r="D52" i="59"/>
  <c r="C75" i="59"/>
  <c r="D75" i="59" s="1"/>
  <c r="C67" i="59"/>
  <c r="C88" i="59"/>
  <c r="Q69" i="59"/>
  <c r="AA30" i="59"/>
  <c r="Y31" i="59"/>
  <c r="Z31" i="59" s="1"/>
  <c r="Y32" i="59"/>
  <c r="Z32" i="59" s="1"/>
  <c r="Y33" i="59"/>
  <c r="Z33" i="59" s="1"/>
  <c r="B35" i="59"/>
  <c r="B36" i="59" s="1"/>
  <c r="B37" i="59" s="1"/>
  <c r="S37" i="59" s="1"/>
  <c r="Y38" i="59"/>
  <c r="Z38" i="59" s="1"/>
  <c r="F39" i="59"/>
  <c r="F40" i="59" s="1"/>
  <c r="F41" i="59" s="1"/>
  <c r="V41" i="59" s="1"/>
  <c r="B76" i="59"/>
  <c r="B75" i="59" s="1"/>
  <c r="S25" i="59"/>
  <c r="BA73" i="3"/>
  <c r="AZ73" i="3" s="1"/>
  <c r="BA76" i="3"/>
  <c r="BL77" i="3"/>
  <c r="BL78" i="3"/>
  <c r="BA84" i="3"/>
  <c r="BL88" i="3"/>
  <c r="BL89" i="3"/>
  <c r="BA96" i="3"/>
  <c r="BL96" i="3"/>
  <c r="AZ96" i="3" s="1"/>
  <c r="BL97" i="3"/>
  <c r="BA104" i="3"/>
  <c r="BA110" i="3"/>
  <c r="BL112" i="3"/>
  <c r="D36" i="59"/>
  <c r="E32" i="59"/>
  <c r="E33" i="59" s="1"/>
  <c r="U33" i="59" s="1"/>
  <c r="AA29" i="59"/>
  <c r="AB30" i="59"/>
  <c r="AB31" i="59"/>
  <c r="AB32" i="59"/>
  <c r="AB33"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AZ223" i="3" s="1"/>
  <c r="BL224" i="3"/>
  <c r="BL228" i="3"/>
  <c r="AZ228" i="3" s="1"/>
  <c r="BL229" i="3"/>
  <c r="G231" i="3"/>
  <c r="BA389" i="3"/>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AZ432" i="3" s="1"/>
  <c r="BA435" i="3"/>
  <c r="AZ435" i="3" s="1"/>
  <c r="BL444" i="3"/>
  <c r="AZ444" i="3" s="1"/>
  <c r="BL452" i="3"/>
  <c r="AZ452" i="3" s="1"/>
  <c r="BA455" i="3"/>
  <c r="AZ455" i="3" s="1"/>
  <c r="BL318" i="3"/>
  <c r="AZ318" i="3" s="1"/>
  <c r="BL334" i="3"/>
  <c r="BL350" i="3"/>
  <c r="BA375" i="3"/>
  <c r="AZ375" i="3" s="1"/>
  <c r="BA386" i="3"/>
  <c r="AZ386" i="3" s="1"/>
  <c r="BL387" i="3"/>
  <c r="AZ387" i="3" s="1"/>
  <c r="BA206" i="3"/>
  <c r="BA210" i="3"/>
  <c r="AZ210" i="3" s="1"/>
  <c r="BL211" i="3"/>
  <c r="BA214" i="3"/>
  <c r="BA218" i="3"/>
  <c r="AZ218" i="3" s="1"/>
  <c r="BL219" i="3"/>
  <c r="AZ219" i="3" s="1"/>
  <c r="BA222" i="3"/>
  <c r="AZ222" i="3" s="1"/>
  <c r="BA226" i="3"/>
  <c r="AZ226" i="3" s="1"/>
  <c r="BL227" i="3"/>
  <c r="AZ113" i="3"/>
  <c r="AZ117" i="3"/>
  <c r="AZ125" i="3"/>
  <c r="AZ133" i="3"/>
  <c r="AZ141" i="3"/>
  <c r="BA149" i="3"/>
  <c r="AZ149" i="3" s="1"/>
  <c r="BL233" i="3"/>
  <c r="BL237" i="3"/>
  <c r="AZ237" i="3" s="1"/>
  <c r="BL241" i="3"/>
  <c r="AZ241" i="3" s="1"/>
  <c r="BL245" i="3"/>
  <c r="AZ245" i="3" s="1"/>
  <c r="BL249" i="3"/>
  <c r="AZ249" i="3" s="1"/>
  <c r="BL253" i="3"/>
  <c r="AZ253" i="3" s="1"/>
  <c r="BL257" i="3"/>
  <c r="AZ257" i="3" s="1"/>
  <c r="BL261" i="3"/>
  <c r="BL265" i="3"/>
  <c r="BA272" i="3"/>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AZ238" i="3" s="1"/>
  <c r="BA242" i="3"/>
  <c r="AZ242" i="3" s="1"/>
  <c r="BL243" i="3"/>
  <c r="BA246" i="3"/>
  <c r="AZ246" i="3" s="1"/>
  <c r="BA250" i="3"/>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BL43" i="3"/>
  <c r="AZ43" i="3" s="1"/>
  <c r="BA46" i="3"/>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BA66" i="3"/>
  <c r="AZ66" i="3" s="1"/>
  <c r="BL67" i="3"/>
  <c r="BL71" i="3"/>
  <c r="AZ71" i="3" s="1"/>
  <c r="BL74" i="3"/>
  <c r="AZ74" i="3" s="1"/>
  <c r="BA77" i="3"/>
  <c r="AZ77" i="3" s="1"/>
  <c r="BA81" i="3"/>
  <c r="AZ81" i="3" s="1"/>
  <c r="G88" i="3"/>
  <c r="BA92" i="3"/>
  <c r="BA94" i="3"/>
  <c r="G104" i="3"/>
  <c r="T37" i="59"/>
  <c r="D37" i="59"/>
  <c r="T53" i="59"/>
  <c r="D53" i="59"/>
  <c r="BA158" i="3"/>
  <c r="AZ158" i="3" s="1"/>
  <c r="BA160" i="3"/>
  <c r="AZ160" i="3" s="1"/>
  <c r="BL171" i="3"/>
  <c r="AZ171" i="3" s="1"/>
  <c r="BL177" i="3"/>
  <c r="AZ177" i="3" s="1"/>
  <c r="BL187" i="3"/>
  <c r="AZ187" i="3" s="1"/>
  <c r="BL195" i="3"/>
  <c r="BA21" i="3"/>
  <c r="AZ21" i="3" s="1"/>
  <c r="BL22" i="3"/>
  <c r="AZ22" i="3" s="1"/>
  <c r="BA25" i="3"/>
  <c r="AZ25" i="3" s="1"/>
  <c r="BL26" i="3"/>
  <c r="AZ26" i="3" s="1"/>
  <c r="BA37" i="3"/>
  <c r="AZ37" i="3" s="1"/>
  <c r="BL38" i="3"/>
  <c r="AZ38" i="3" s="1"/>
  <c r="BA41" i="3"/>
  <c r="AZ41" i="3" s="1"/>
  <c r="BL42" i="3"/>
  <c r="AZ42" i="3" s="1"/>
  <c r="BA53" i="3"/>
  <c r="AZ53" i="3" s="1"/>
  <c r="BL54" i="3"/>
  <c r="AZ54" i="3" s="1"/>
  <c r="BL84" i="3"/>
  <c r="AZ88" i="3"/>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AZ20" i="3"/>
  <c r="AZ484" i="3"/>
  <c r="AZ395" i="3"/>
  <c r="AZ397" i="3"/>
  <c r="AZ405" i="3"/>
  <c r="AZ413" i="3"/>
  <c r="AZ417" i="3"/>
  <c r="AZ443" i="3"/>
  <c r="AZ447" i="3"/>
  <c r="AZ451" i="3"/>
  <c r="AZ465" i="3"/>
  <c r="AZ473" i="3"/>
  <c r="AZ206" i="3"/>
  <c r="BT5" i="3"/>
  <c r="G28" i="6" s="1"/>
  <c r="G30" i="6" s="1"/>
  <c r="G31" i="6" s="1"/>
  <c r="BI5" i="3"/>
  <c r="BG5" i="3"/>
  <c r="AZ211" i="3"/>
  <c r="AZ243" i="3"/>
  <c r="AZ251" i="3"/>
  <c r="AZ259" i="3"/>
  <c r="AZ271" i="3"/>
  <c r="AZ287" i="3"/>
  <c r="AZ168" i="3"/>
  <c r="AZ176" i="3"/>
  <c r="AZ186" i="3"/>
  <c r="AZ190" i="3"/>
  <c r="AZ29" i="3"/>
  <c r="AZ33" i="3"/>
  <c r="AZ45" i="3"/>
  <c r="AZ69" i="3"/>
  <c r="AZ76" i="3"/>
  <c r="AZ80"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F34" i="44"/>
  <c r="F24" i="43"/>
  <c r="C24" i="43" s="1"/>
  <c r="C25" i="43"/>
  <c r="C2" i="65"/>
  <c r="I1" i="65" s="1"/>
  <c r="G20" i="43"/>
  <c r="G26" i="12"/>
  <c r="F70" i="9"/>
  <c r="F66" i="9"/>
  <c r="P72" i="9" s="1"/>
  <c r="F28" i="15"/>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C28" i="15"/>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C4" i="65"/>
  <c r="B39" i="1" s="1"/>
  <c r="M28" i="15"/>
  <c r="M8" i="44"/>
  <c r="F38" i="15"/>
  <c r="F10" i="44"/>
  <c r="M26" i="15"/>
  <c r="F43" i="44"/>
  <c r="F15" i="44"/>
  <c r="F6" i="15"/>
  <c r="M9" i="15"/>
  <c r="M24" i="15"/>
  <c r="F13" i="15"/>
  <c r="M23" i="15"/>
  <c r="M8" i="15"/>
  <c r="F9" i="15"/>
  <c r="F8" i="15"/>
  <c r="M31" i="44"/>
  <c r="F11" i="44"/>
  <c r="F36" i="15"/>
  <c r="M28" i="44"/>
  <c r="F37" i="15"/>
  <c r="M22" i="15"/>
  <c r="I4" i="65"/>
  <c r="L49" i="44"/>
  <c r="M11" i="44"/>
  <c r="J36" i="15"/>
  <c r="M25" i="44"/>
  <c r="F8" i="44"/>
  <c r="F40" i="44"/>
  <c r="M24" i="44"/>
  <c r="M10" i="44"/>
  <c r="J17" i="44"/>
  <c r="M26" i="44"/>
  <c r="L47" i="15"/>
  <c r="L48" i="44"/>
  <c r="J7" i="65"/>
  <c r="F39" i="44"/>
  <c r="J15" i="15"/>
  <c r="F28" i="44"/>
  <c r="I7" i="65"/>
  <c r="F26" i="15"/>
  <c r="F18" i="44"/>
  <c r="L48" i="15"/>
  <c r="F42" i="15"/>
  <c r="M6" i="15"/>
  <c r="F9" i="44"/>
  <c r="F45" i="44"/>
  <c r="E2" i="65"/>
  <c r="F40" i="15"/>
  <c r="F16" i="15"/>
  <c r="M30" i="44"/>
  <c r="F38" i="44"/>
  <c r="E3" i="65"/>
  <c r="I54" i="15" l="1"/>
  <c r="U17" i="39"/>
  <c r="D21" i="12"/>
  <c r="C21" i="12" s="1"/>
  <c r="AP10" i="1"/>
  <c r="M43" i="9"/>
  <c r="D18" i="9"/>
  <c r="M44" i="9" s="1"/>
  <c r="U15" i="21"/>
  <c r="U11" i="21"/>
  <c r="AB11" i="21"/>
  <c r="S11" i="21"/>
  <c r="AA11" i="21"/>
  <c r="W23" i="21"/>
  <c r="AA23" i="21"/>
  <c r="AB23" i="21"/>
  <c r="S15" i="21"/>
  <c r="AC15" i="21"/>
  <c r="AC17" i="39"/>
  <c r="AB25" i="39"/>
  <c r="W25" i="39"/>
  <c r="S23" i="39"/>
  <c r="S27" i="39"/>
  <c r="W27" i="39"/>
  <c r="U27" i="39"/>
  <c r="AA25" i="39"/>
  <c r="W23" i="39"/>
  <c r="U23" i="39"/>
  <c r="AA17" i="39"/>
  <c r="S17" i="39"/>
  <c r="L59" i="15"/>
  <c r="Q75" i="15" s="1"/>
  <c r="L58" i="15"/>
  <c r="Q61" i="15" s="1"/>
  <c r="F65" i="15"/>
  <c r="L56" i="15"/>
  <c r="J53" i="15"/>
  <c r="F1" i="15" s="1"/>
  <c r="J57" i="15"/>
  <c r="J55" i="15" s="1"/>
  <c r="J58" i="15" s="1"/>
  <c r="Q51" i="15" s="1"/>
  <c r="F63" i="15"/>
  <c r="C27" i="15"/>
  <c r="F67" i="15"/>
  <c r="F64" i="15"/>
  <c r="F48" i="15"/>
  <c r="Q72" i="15"/>
  <c r="F50" i="15"/>
  <c r="J54" i="44"/>
  <c r="F1" i="44" s="1"/>
  <c r="L57" i="44"/>
  <c r="J58" i="44"/>
  <c r="J56" i="44" s="1"/>
  <c r="J59" i="44" s="1"/>
  <c r="Q52" i="44" s="1"/>
  <c r="I55" i="44"/>
  <c r="L59" i="44"/>
  <c r="Q62" i="44" s="1"/>
  <c r="L60" i="44"/>
  <c r="Q76" i="44" s="1"/>
  <c r="M9" i="44"/>
  <c r="J8" i="44" s="1"/>
  <c r="J20" i="44" s="1"/>
  <c r="C8" i="44"/>
  <c r="C34" i="44" s="1"/>
  <c r="Q73" i="44"/>
  <c r="C29" i="44"/>
  <c r="O66" i="59"/>
  <c r="D67" i="59"/>
  <c r="C57" i="59"/>
  <c r="D56" i="59"/>
  <c r="AZ164" i="3"/>
  <c r="AA24" i="36"/>
  <c r="S24" i="36"/>
  <c r="AB13" i="36"/>
  <c r="U13" i="36"/>
  <c r="AA9" i="34"/>
  <c r="S9" i="34"/>
  <c r="U46" i="21"/>
  <c r="AB46" i="21"/>
  <c r="AB27" i="33"/>
  <c r="U27" i="33"/>
  <c r="S30" i="21"/>
  <c r="AA30" i="21"/>
  <c r="S11" i="36"/>
  <c r="AA11" i="36"/>
  <c r="C66" i="40"/>
  <c r="G10" i="1"/>
  <c r="AZ91" i="3"/>
  <c r="AZ40" i="3"/>
  <c r="AZ39" i="3"/>
  <c r="AZ272" i="3"/>
  <c r="AZ350" i="3"/>
  <c r="AZ431" i="3"/>
  <c r="AZ475" i="3"/>
  <c r="AZ389" i="3"/>
  <c r="AZ82" i="3"/>
  <c r="T61" i="59"/>
  <c r="D61" i="59"/>
  <c r="AZ47" i="3"/>
  <c r="AZ284" i="3"/>
  <c r="C65" i="59"/>
  <c r="D64" i="59"/>
  <c r="AZ260" i="3"/>
  <c r="AZ240" i="3"/>
  <c r="AZ231" i="3"/>
  <c r="AB24" i="36"/>
  <c r="U24" i="36"/>
  <c r="AA14" i="33"/>
  <c r="S14" i="33"/>
  <c r="AB9" i="34"/>
  <c r="U9" i="34"/>
  <c r="AC14" i="33"/>
  <c r="W14" i="33"/>
  <c r="AC31" i="33"/>
  <c r="W31" i="33"/>
  <c r="AC9" i="21"/>
  <c r="W9" i="21"/>
  <c r="AA29" i="33"/>
  <c r="S29" i="33"/>
  <c r="O67" i="59"/>
  <c r="AZ111" i="3"/>
  <c r="AZ105" i="3"/>
  <c r="AZ84" i="3"/>
  <c r="AZ195" i="3"/>
  <c r="AZ92" i="3"/>
  <c r="AZ62" i="3"/>
  <c r="AZ28" i="3"/>
  <c r="AZ250" i="3"/>
  <c r="AZ265" i="3"/>
  <c r="AZ233" i="3"/>
  <c r="AZ214" i="3"/>
  <c r="AZ217" i="3"/>
  <c r="AZ205" i="3"/>
  <c r="AZ462" i="3"/>
  <c r="AZ256" i="3"/>
  <c r="W24" i="36"/>
  <c r="AC24" i="36"/>
  <c r="U44" i="33"/>
  <c r="AB44" i="33"/>
  <c r="W36" i="35"/>
  <c r="AC36" i="35"/>
  <c r="U14" i="33"/>
  <c r="AB14" i="33"/>
  <c r="AA31" i="33"/>
  <c r="S31" i="33"/>
  <c r="S9" i="21"/>
  <c r="AA9" i="21"/>
  <c r="R7" i="54"/>
  <c r="B52" i="63" s="1"/>
  <c r="AZ46" i="3"/>
  <c r="AZ261" i="3"/>
  <c r="D88" i="59"/>
  <c r="C87" i="59"/>
  <c r="D87" i="59" s="1"/>
  <c r="AZ112" i="3"/>
  <c r="AZ51" i="3"/>
  <c r="AZ263" i="3"/>
  <c r="W46" i="21"/>
  <c r="AC46" i="21"/>
  <c r="AB36" i="35"/>
  <c r="U36" i="35"/>
  <c r="AC27" i="33"/>
  <c r="W27" i="33"/>
  <c r="AA14" i="21"/>
  <c r="S14"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J7" i="21"/>
  <c r="AC7" i="21" s="1"/>
  <c r="E61" i="46"/>
  <c r="B59" i="46" s="1"/>
  <c r="E50" i="46"/>
  <c r="B48" i="46" s="1"/>
  <c r="C28" i="46" s="1"/>
  <c r="E17" i="46"/>
  <c r="C17" i="46" s="1"/>
  <c r="C7" i="46"/>
  <c r="E28" i="6"/>
  <c r="K14" i="1"/>
  <c r="H7" i="34"/>
  <c r="U7" i="34" s="1"/>
  <c r="F7" i="34"/>
  <c r="AA7" i="34" s="1"/>
  <c r="R49" i="34" s="1"/>
  <c r="J7" i="34"/>
  <c r="W7" i="34"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M32" i="46"/>
  <c r="P32" i="46"/>
  <c r="O32" i="46"/>
  <c r="N32" i="46"/>
  <c r="AE12" i="1"/>
  <c r="AE7" i="1"/>
  <c r="AE8" i="1"/>
  <c r="AE9" i="1"/>
  <c r="AE10" i="1"/>
  <c r="AE11" i="1"/>
  <c r="F46" i="44"/>
  <c r="AE6" i="1"/>
  <c r="C12" i="44" l="1"/>
  <c r="C7" i="44" s="1"/>
  <c r="C40" i="44" s="1"/>
  <c r="T48" i="21"/>
  <c r="G48" i="21" s="1"/>
  <c r="R48" i="21"/>
  <c r="E48" i="21" s="1"/>
  <c r="V48" i="21"/>
  <c r="I48" i="21" s="1"/>
  <c r="G53" i="21" s="1"/>
  <c r="H53" i="21" s="1"/>
  <c r="W7" i="21"/>
  <c r="Q62" i="15"/>
  <c r="Q75" i="44"/>
  <c r="Q54" i="44"/>
  <c r="Q63" i="44"/>
  <c r="Q74" i="15"/>
  <c r="Q53" i="15"/>
  <c r="J7" i="44"/>
  <c r="J26" i="44" s="1"/>
  <c r="J60" i="44"/>
  <c r="J61" i="44" s="1"/>
  <c r="Q50" i="44" s="1"/>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AC7" i="34"/>
  <c r="V49" i="34" s="1"/>
  <c r="I49" i="34" s="1"/>
  <c r="J10" i="15"/>
  <c r="AG8" i="1"/>
  <c r="AG9" i="1"/>
  <c r="AG11" i="1"/>
  <c r="AG12" i="1"/>
  <c r="AG10" i="1"/>
  <c r="AG7" i="1"/>
  <c r="AG6" i="1"/>
  <c r="D5" i="46"/>
  <c r="C5" i="46"/>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G52" i="21"/>
  <c r="H52" i="21" s="1"/>
  <c r="R50" i="34"/>
  <c r="E49" i="34"/>
  <c r="I52" i="33"/>
  <c r="J52" i="33" s="1"/>
  <c r="E66" i="40"/>
  <c r="F64" i="40"/>
  <c r="C52" i="15"/>
  <c r="C20" i="11"/>
  <c r="C21" i="11" s="1"/>
  <c r="M29" i="44"/>
  <c r="M27" i="15"/>
  <c r="F41" i="15"/>
  <c r="I52" i="21" l="1"/>
  <c r="J52" i="21" s="1"/>
  <c r="F68" i="15"/>
  <c r="R49" i="2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F9" i="59"/>
  <c r="V9" i="59" s="1"/>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F7" i="67"/>
  <c r="E40" i="46" l="1"/>
  <c r="E12" i="59"/>
  <c r="E11" i="59" s="1"/>
  <c r="E10" i="59" s="1"/>
  <c r="U13" i="59"/>
  <c r="C16" i="59"/>
  <c r="T17" i="59"/>
  <c r="D17" i="59"/>
  <c r="E41" i="46"/>
  <c r="G37" i="46"/>
  <c r="I37" i="46" s="1"/>
  <c r="E39" i="46"/>
  <c r="G42" i="46"/>
  <c r="I42" i="46" s="1"/>
  <c r="E38" i="46"/>
  <c r="G38" i="46"/>
  <c r="I38" i="46" s="1"/>
  <c r="S7" i="1"/>
  <c r="S12" i="1"/>
  <c r="S9" i="1"/>
  <c r="S11" i="1"/>
  <c r="S10" i="1"/>
  <c r="F8" i="59"/>
  <c r="E9" i="59"/>
  <c r="U9" i="59" s="1"/>
  <c r="B9" i="59"/>
  <c r="S9" i="59" s="1"/>
  <c r="P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D16" i="59" l="1"/>
  <c r="C15" i="59"/>
  <c r="F7" i="59"/>
  <c r="B8" i="59"/>
  <c r="E8" i="59"/>
  <c r="I64" i="40"/>
  <c r="H66" i="40"/>
  <c r="H71" i="39"/>
  <c r="I69" i="39"/>
  <c r="N46" i="36"/>
  <c r="E3" i="67"/>
  <c r="B2" i="67"/>
  <c r="D15" i="59" l="1"/>
  <c r="C14" i="59"/>
  <c r="E7" i="59"/>
  <c r="B7" i="59"/>
  <c r="F6" i="59"/>
  <c r="O46" i="36"/>
  <c r="J7" i="36" s="1"/>
  <c r="F7" i="36"/>
  <c r="H7" i="36"/>
  <c r="J64" i="40"/>
  <c r="I66" i="40"/>
  <c r="J69" i="39"/>
  <c r="I71" i="39"/>
  <c r="B3" i="67"/>
  <c r="B4" i="67"/>
  <c r="C13" i="59" l="1"/>
  <c r="D14" i="59"/>
  <c r="F5" i="59"/>
  <c r="V5" i="59" s="1"/>
  <c r="B6" i="59"/>
  <c r="E6" i="59"/>
  <c r="K69" i="39"/>
  <c r="J71" i="39"/>
  <c r="U7" i="36"/>
  <c r="AB7" i="36"/>
  <c r="T36" i="36" s="1"/>
  <c r="G36" i="36" s="1"/>
  <c r="AC7" i="36"/>
  <c r="V36" i="36" s="1"/>
  <c r="I36" i="36" s="1"/>
  <c r="W7" i="36"/>
  <c r="J66" i="40"/>
  <c r="K64" i="40"/>
  <c r="S7" i="36"/>
  <c r="AA7" i="36"/>
  <c r="R36" i="36" s="1"/>
  <c r="C12" i="59" l="1"/>
  <c r="T13" i="59"/>
  <c r="D13" i="59"/>
  <c r="E5" i="59"/>
  <c r="U5" i="59" s="1"/>
  <c r="B5" i="59"/>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W9" i="39"/>
  <c r="AC9" i="39"/>
  <c r="U9" i="40"/>
  <c r="AB9" i="40"/>
  <c r="T44" i="40" s="1"/>
  <c r="G44" i="40" s="1"/>
  <c r="U9" i="39"/>
  <c r="AB9" i="39"/>
  <c r="S9" i="40"/>
  <c r="AA9" i="40"/>
  <c r="R44" i="40" s="1"/>
  <c r="AC9" i="40"/>
  <c r="V44" i="40" s="1"/>
  <c r="I44" i="40" s="1"/>
  <c r="I48" i="40" s="1"/>
  <c r="J48" i="40" s="1"/>
  <c r="W9" i="40"/>
  <c r="C7" i="59" l="1"/>
  <c r="D8" i="59"/>
  <c r="R45" i="40"/>
  <c r="E44" i="40"/>
  <c r="G48" i="40"/>
  <c r="H48" i="40" s="1"/>
  <c r="G49" i="40"/>
  <c r="H49" i="40" s="1"/>
  <c r="C6" i="59" l="1"/>
  <c r="D7" i="59"/>
  <c r="I49" i="40"/>
  <c r="J49" i="40" s="1"/>
  <c r="E49" i="40"/>
  <c r="F49" i="40" s="1"/>
  <c r="E48" i="40"/>
  <c r="F48" i="40" s="1"/>
  <c r="C44" i="40"/>
  <c r="C45" i="40"/>
  <c r="D6" i="59" l="1"/>
  <c r="C5" i="59"/>
  <c r="B60" i="40"/>
  <c r="B57" i="40"/>
  <c r="B55" i="40"/>
  <c r="F55" i="40" s="1"/>
  <c r="B56" i="40"/>
  <c r="F56" i="40" s="1"/>
  <c r="B58" i="40"/>
  <c r="B53" i="40"/>
  <c r="B59" i="40"/>
  <c r="B54" i="40"/>
  <c r="F54" i="40" s="1"/>
  <c r="B61" i="40"/>
  <c r="D5" i="59" l="1"/>
  <c r="T5" i="59"/>
  <c r="M24" i="46"/>
  <c r="F20" i="43" l="1"/>
  <c r="D20" i="43" s="1"/>
  <c r="F26" i="12"/>
  <c r="F26" i="44"/>
  <c r="F24" i="15"/>
  <c r="C24" i="15" l="1"/>
  <c r="C27" i="12"/>
  <c r="D26" i="12" s="1"/>
  <c r="C32" i="12" s="1"/>
  <c r="D30" i="12" s="1"/>
  <c r="C26" i="44"/>
  <c r="C35" i="44" l="1"/>
  <c r="J21" i="44"/>
  <c r="L46" i="15" l="1"/>
  <c r="R7" i="1" l="1"/>
  <c r="L60" i="15"/>
  <c r="Q67" i="15" s="1"/>
  <c r="J28" i="44"/>
  <c r="J31" i="44" s="1"/>
  <c r="D66" i="9"/>
  <c r="N72" i="9"/>
  <c r="M23" i="44"/>
  <c r="F37" i="44"/>
  <c r="C36" i="44" l="1"/>
  <c r="C33" i="44" s="1"/>
  <c r="Q58" i="15"/>
  <c r="Q58" i="44"/>
  <c r="Q49" i="44"/>
  <c r="Q55" i="44" s="1"/>
  <c r="Q67" i="44"/>
  <c r="J22" i="44"/>
  <c r="J19" i="44" s="1"/>
  <c r="G3" i="46"/>
  <c r="E26" i="46"/>
  <c r="D26" i="46" s="1"/>
  <c r="C25" i="46" s="1"/>
  <c r="C33" i="46" s="1"/>
  <c r="G26" i="46"/>
  <c r="F26" i="46"/>
  <c r="S8" i="1"/>
  <c r="R8" i="1"/>
  <c r="R10" i="1"/>
  <c r="R12" i="1"/>
  <c r="R11" i="1"/>
  <c r="R9" i="1"/>
  <c r="B2" i="66"/>
  <c r="B1" i="66"/>
  <c r="C7" i="66"/>
  <c r="M17" i="15"/>
  <c r="B117" i="46"/>
  <c r="B120" i="46" s="1"/>
  <c r="C120" i="46" s="1"/>
  <c r="B121" i="46"/>
  <c r="C121" i="46" s="1"/>
  <c r="B119" i="46"/>
  <c r="C119" i="46" s="1"/>
  <c r="D121" i="46"/>
  <c r="E121" i="46" s="1"/>
  <c r="F121" i="46" s="1"/>
  <c r="G121" i="46" s="1"/>
  <c r="H121" i="46" s="1"/>
  <c r="D122" i="46"/>
  <c r="E122" i="46"/>
  <c r="F122" i="46" s="1"/>
  <c r="I123" i="46"/>
  <c r="J123" i="46" s="1"/>
  <c r="K123" i="46" s="1"/>
  <c r="L123" i="46" s="1"/>
  <c r="M123" i="46" s="1"/>
  <c r="D119" i="46"/>
  <c r="E119" i="46"/>
  <c r="F119" i="46" s="1"/>
  <c r="G119" i="46" s="1"/>
  <c r="H119" i="46" s="1"/>
  <c r="I121" i="46"/>
  <c r="J121" i="46" s="1"/>
  <c r="K121" i="46" s="1"/>
  <c r="L121" i="46" s="1"/>
  <c r="M121" i="46" s="1"/>
  <c r="G122" i="46"/>
  <c r="H122" i="46" s="1"/>
  <c r="I119" i="46"/>
  <c r="J119" i="46" s="1"/>
  <c r="K119" i="46" s="1"/>
  <c r="L119" i="46" s="1"/>
  <c r="M119" i="46" s="1"/>
  <c r="I122" i="46"/>
  <c r="J122" i="46"/>
  <c r="K122" i="46" s="1"/>
  <c r="L122" i="46" s="1"/>
  <c r="M122" i="46" s="1"/>
  <c r="I120" i="46"/>
  <c r="J120" i="46" s="1"/>
  <c r="K120" i="46" s="1"/>
  <c r="L120" i="46" s="1"/>
  <c r="M120" i="46" s="1"/>
  <c r="B123" i="46"/>
  <c r="C123" i="46"/>
  <c r="D117" i="46"/>
  <c r="B122" i="46"/>
  <c r="C122" i="46" s="1"/>
  <c r="D123" i="46"/>
  <c r="E123" i="46" s="1"/>
  <c r="F123" i="46" s="1"/>
  <c r="G123" i="46" s="1"/>
  <c r="H123" i="46" s="1"/>
  <c r="H26" i="46"/>
  <c r="J26" i="46"/>
  <c r="Z7" i="46"/>
  <c r="AC13" i="3"/>
  <c r="AC5" i="3" s="1"/>
  <c r="BO13" i="3"/>
  <c r="BL13" i="3" s="1"/>
  <c r="BL5" i="3" s="1"/>
  <c r="AH5" i="3"/>
  <c r="D7" i="66" l="1"/>
  <c r="D8" i="66"/>
  <c r="C8" i="66"/>
  <c r="C34" i="46"/>
  <c r="E34" i="46" s="1"/>
  <c r="C31" i="46" s="1"/>
  <c r="E33" i="46"/>
  <c r="C30" i="46" s="1"/>
  <c r="B2" i="46" s="1"/>
  <c r="BO5" i="3"/>
  <c r="F29" i="6" s="1"/>
  <c r="F30" i="6" s="1"/>
  <c r="D120" i="46"/>
  <c r="E120" i="46" s="1"/>
  <c r="F120" i="46" s="1"/>
  <c r="G120" i="46" s="1"/>
  <c r="H120" i="46" s="1"/>
  <c r="E29" i="6" l="1"/>
  <c r="D4" i="46"/>
  <c r="B4" i="46"/>
  <c r="B3" i="46"/>
  <c r="K15" i="1"/>
  <c r="E30" i="6"/>
  <c r="I13" i="3"/>
  <c r="F19" i="6" s="1"/>
  <c r="H13" i="3" l="1"/>
  <c r="I5" i="3"/>
  <c r="BB13" i="3"/>
  <c r="E19" i="6"/>
  <c r="I4" i="6" l="1"/>
  <c r="H5" i="3"/>
  <c r="G13" i="3"/>
  <c r="BB5" i="3"/>
  <c r="BA13" i="3"/>
  <c r="E32" i="6"/>
  <c r="L19" i="6" s="1"/>
  <c r="L27" i="6" s="1"/>
  <c r="C9" i="12"/>
  <c r="D3" i="21"/>
  <c r="B2" i="21" s="1"/>
  <c r="K6" i="1"/>
  <c r="F43" i="15"/>
  <c r="M29" i="15"/>
  <c r="F7" i="15"/>
  <c r="F70" i="15" l="1"/>
  <c r="M7" i="15"/>
  <c r="J6" i="15" s="1"/>
  <c r="F49" i="15"/>
  <c r="C48" i="15" s="1"/>
  <c r="C6" i="15"/>
  <c r="C10" i="15" s="1"/>
  <c r="G5" i="3"/>
  <c r="B3" i="3" s="1"/>
  <c r="H16" i="1"/>
  <c r="K16" i="1"/>
  <c r="Q16" i="1"/>
  <c r="AP16" i="1"/>
  <c r="F22" i="11" s="1"/>
  <c r="C22" i="11" s="1"/>
  <c r="C23" i="11" s="1"/>
  <c r="B2" i="11" s="1"/>
  <c r="G16" i="1"/>
  <c r="BA5" i="3"/>
  <c r="E27" i="6" s="1"/>
  <c r="AZ13" i="3"/>
  <c r="AZ5" i="3" s="1"/>
  <c r="E10" i="6"/>
  <c r="E15" i="6"/>
  <c r="E12" i="6"/>
  <c r="E8" i="6"/>
  <c r="E14" i="6"/>
  <c r="E11" i="6"/>
  <c r="E13" i="6"/>
  <c r="K26" i="6" l="1"/>
  <c r="M26" i="6" s="1"/>
  <c r="I26" i="6" s="1"/>
  <c r="S26" i="6" s="1"/>
  <c r="K20" i="6"/>
  <c r="M20" i="6" s="1"/>
  <c r="I20" i="6" s="1"/>
  <c r="S20" i="6" s="1"/>
  <c r="K22" i="6"/>
  <c r="M22" i="6" s="1"/>
  <c r="I22" i="6" s="1"/>
  <c r="S22" i="6" s="1"/>
  <c r="K23" i="6"/>
  <c r="M23" i="6" s="1"/>
  <c r="I23" i="6" s="1"/>
  <c r="S23" i="6" s="1"/>
  <c r="K21" i="6"/>
  <c r="M21" i="6" s="1"/>
  <c r="I21" i="6" s="1"/>
  <c r="S21" i="6" s="1"/>
  <c r="K25" i="6"/>
  <c r="M25" i="6" s="1"/>
  <c r="I25" i="6" s="1"/>
  <c r="S25" i="6" s="1"/>
  <c r="K24" i="6"/>
  <c r="M24" i="6" s="1"/>
  <c r="I24" i="6" s="1"/>
  <c r="S24" i="6" s="1"/>
  <c r="E31" i="6"/>
  <c r="K19" i="6"/>
  <c r="F33" i="12"/>
  <c r="C34" i="12" s="1"/>
  <c r="D33" i="12" s="1"/>
  <c r="F21" i="43"/>
  <c r="C33" i="15"/>
  <c r="C32" i="15"/>
  <c r="C5" i="15"/>
  <c r="E58" i="39"/>
  <c r="E16" i="6"/>
  <c r="E53" i="40"/>
  <c r="F53" i="40" s="1"/>
  <c r="F27" i="6"/>
  <c r="F31" i="6" s="1"/>
  <c r="E64" i="39"/>
  <c r="E59" i="40"/>
  <c r="F59" i="40" s="1"/>
  <c r="E63" i="39"/>
  <c r="E58" i="40"/>
  <c r="F58" i="40" s="1"/>
  <c r="E62" i="39"/>
  <c r="E57" i="40"/>
  <c r="F57" i="40" s="1"/>
  <c r="E66" i="39"/>
  <c r="E61" i="40"/>
  <c r="F61" i="40" s="1"/>
  <c r="J12" i="40"/>
  <c r="F12" i="40"/>
  <c r="H12" i="40"/>
  <c r="J12" i="39"/>
  <c r="H12" i="39"/>
  <c r="F12" i="39"/>
  <c r="C60" i="15"/>
  <c r="C47" i="15"/>
  <c r="E65" i="39"/>
  <c r="E60" i="40"/>
  <c r="F60" i="40" s="1"/>
  <c r="C15" i="43"/>
  <c r="E387" i="3"/>
  <c r="E70" i="3"/>
  <c r="E113" i="3"/>
  <c r="O6" i="3"/>
  <c r="E196" i="3"/>
  <c r="E225" i="3"/>
  <c r="E560" i="3"/>
  <c r="E480" i="3"/>
  <c r="E505" i="3"/>
  <c r="E287" i="3"/>
  <c r="E551" i="3"/>
  <c r="E95" i="3"/>
  <c r="E315" i="3"/>
  <c r="E384" i="3"/>
  <c r="S6" i="3"/>
  <c r="E20" i="3"/>
  <c r="E545" i="3"/>
  <c r="E116" i="3"/>
  <c r="E96" i="3"/>
  <c r="E427" i="3"/>
  <c r="E343" i="3"/>
  <c r="E412" i="3"/>
  <c r="E245" i="3"/>
  <c r="E305" i="3"/>
  <c r="Y6" i="3"/>
  <c r="E174" i="3"/>
  <c r="E172" i="3"/>
  <c r="E58" i="3"/>
  <c r="E433" i="3"/>
  <c r="E530" i="3"/>
  <c r="E177" i="3"/>
  <c r="E106" i="3"/>
  <c r="E351" i="3"/>
  <c r="E504" i="3"/>
  <c r="E301" i="3"/>
  <c r="E54" i="3"/>
  <c r="E507" i="3"/>
  <c r="R6" i="3"/>
  <c r="E313" i="3"/>
  <c r="E401" i="3"/>
  <c r="E258" i="3"/>
  <c r="E370" i="3"/>
  <c r="E442" i="3"/>
  <c r="E39" i="3"/>
  <c r="E448" i="3"/>
  <c r="E123" i="3"/>
  <c r="E271" i="3"/>
  <c r="E81" i="3"/>
  <c r="E212" i="3"/>
  <c r="E312" i="3"/>
  <c r="E567" i="3"/>
  <c r="E17" i="3"/>
  <c r="E472" i="3"/>
  <c r="E533" i="3"/>
  <c r="E154" i="3"/>
  <c r="E134" i="3"/>
  <c r="E27" i="3"/>
  <c r="E110" i="3"/>
  <c r="E355" i="3"/>
  <c r="E516" i="3"/>
  <c r="E486" i="3"/>
  <c r="AF6" i="3"/>
  <c r="E324" i="3"/>
  <c r="E171" i="3"/>
  <c r="E350" i="3"/>
  <c r="E86" i="3"/>
  <c r="E231" i="3"/>
  <c r="E82" i="3"/>
  <c r="E320" i="3"/>
  <c r="E518" i="3"/>
  <c r="E318" i="3"/>
  <c r="E437" i="3"/>
  <c r="E299" i="3"/>
  <c r="E250" i="3"/>
  <c r="E100" i="3"/>
  <c r="E179" i="3"/>
  <c r="AN6" i="3"/>
  <c r="E469" i="3"/>
  <c r="E98" i="3"/>
  <c r="E125" i="3"/>
  <c r="E151" i="3"/>
  <c r="E425" i="3"/>
  <c r="E204" i="3"/>
  <c r="E259" i="3"/>
  <c r="E490" i="3"/>
  <c r="E261" i="3"/>
  <c r="E517" i="3"/>
  <c r="E419" i="3"/>
  <c r="E188" i="3"/>
  <c r="E246" i="3"/>
  <c r="E498" i="3"/>
  <c r="E323" i="3"/>
  <c r="E310" i="3"/>
  <c r="E511" i="3"/>
  <c r="E337" i="3"/>
  <c r="N6" i="3"/>
  <c r="E465" i="3"/>
  <c r="E160" i="3"/>
  <c r="E94" i="3"/>
  <c r="E410" i="3"/>
  <c r="E247" i="3"/>
  <c r="E52" i="3"/>
  <c r="E73" i="3"/>
  <c r="E390" i="3"/>
  <c r="E398" i="3"/>
  <c r="E417" i="3"/>
  <c r="E197" i="3"/>
  <c r="E529" i="3"/>
  <c r="E538" i="3"/>
  <c r="E307" i="3"/>
  <c r="E169" i="3"/>
  <c r="AL6" i="3"/>
  <c r="E406" i="3"/>
  <c r="E484" i="3"/>
  <c r="E397" i="3"/>
  <c r="E467" i="3"/>
  <c r="E84" i="3"/>
  <c r="E405" i="3"/>
  <c r="E272" i="3"/>
  <c r="E479" i="3"/>
  <c r="E526" i="3"/>
  <c r="E129" i="3"/>
  <c r="E288" i="3"/>
  <c r="E74" i="3"/>
  <c r="E66" i="3"/>
  <c r="E508" i="3"/>
  <c r="E277" i="3"/>
  <c r="E35" i="3"/>
  <c r="E514" i="3"/>
  <c r="E329" i="3"/>
  <c r="E18" i="3"/>
  <c r="E452" i="3"/>
  <c r="E303" i="3"/>
  <c r="E309" i="3"/>
  <c r="AP6" i="3"/>
  <c r="E166" i="3"/>
  <c r="E78" i="3"/>
  <c r="E393" i="3"/>
  <c r="E386" i="3"/>
  <c r="E385" i="3"/>
  <c r="E501" i="3"/>
  <c r="E358" i="3"/>
  <c r="L6" i="3"/>
  <c r="E133" i="3"/>
  <c r="E148" i="3"/>
  <c r="U6" i="3"/>
  <c r="E218" i="3"/>
  <c r="E400" i="3"/>
  <c r="E379" i="3"/>
  <c r="E210" i="3"/>
  <c r="E510" i="3"/>
  <c r="E158" i="3"/>
  <c r="E534" i="3"/>
  <c r="E79" i="3"/>
  <c r="E276" i="3"/>
  <c r="E111" i="3"/>
  <c r="E224" i="3"/>
  <c r="E108" i="3"/>
  <c r="E267" i="3"/>
  <c r="E322" i="3"/>
  <c r="E482" i="3"/>
  <c r="E540" i="3"/>
  <c r="E332" i="3"/>
  <c r="E453" i="3"/>
  <c r="E364" i="3"/>
  <c r="V6" i="3"/>
  <c r="E559" i="3"/>
  <c r="E236" i="3"/>
  <c r="E352" i="3"/>
  <c r="E22" i="3"/>
  <c r="E263" i="3"/>
  <c r="E284" i="3"/>
  <c r="E542" i="3"/>
  <c r="E446" i="3"/>
  <c r="E103" i="3"/>
  <c r="E44" i="3"/>
  <c r="E317" i="3"/>
  <c r="E464" i="3"/>
  <c r="E527" i="3"/>
  <c r="E120" i="3"/>
  <c r="E342" i="3"/>
  <c r="E275" i="3"/>
  <c r="E290" i="3"/>
  <c r="E554" i="3"/>
  <c r="E546" i="3"/>
  <c r="E532" i="3"/>
  <c r="E541" i="3"/>
  <c r="E55" i="3"/>
  <c r="E388" i="3"/>
  <c r="E396" i="3"/>
  <c r="E506" i="3"/>
  <c r="E268" i="3"/>
  <c r="E132" i="3"/>
  <c r="E127" i="3"/>
  <c r="AK6" i="3"/>
  <c r="E304" i="3"/>
  <c r="E28" i="3"/>
  <c r="AM6" i="3"/>
  <c r="E468" i="3"/>
  <c r="E187" i="3"/>
  <c r="E191" i="3"/>
  <c r="E522" i="3"/>
  <c r="E67" i="3"/>
  <c r="E440" i="3"/>
  <c r="E314" i="3"/>
  <c r="E474" i="3"/>
  <c r="E330" i="3"/>
  <c r="E523" i="3"/>
  <c r="E117" i="3"/>
  <c r="E53" i="3"/>
  <c r="E207" i="3"/>
  <c r="E63" i="3"/>
  <c r="E105" i="3"/>
  <c r="E306" i="3"/>
  <c r="E298" i="3"/>
  <c r="E487" i="3"/>
  <c r="E537" i="3"/>
  <c r="E243" i="3"/>
  <c r="E294" i="3"/>
  <c r="E568" i="3"/>
  <c r="E126" i="3"/>
  <c r="E420" i="3"/>
  <c r="E285" i="3"/>
  <c r="E403" i="3"/>
  <c r="E226" i="3"/>
  <c r="E244" i="3"/>
  <c r="E184" i="3"/>
  <c r="E431" i="3"/>
  <c r="E102" i="3"/>
  <c r="E296" i="3"/>
  <c r="E88" i="3"/>
  <c r="E76" i="3"/>
  <c r="E524" i="3"/>
  <c r="E512" i="3"/>
  <c r="E509" i="3"/>
  <c r="E429" i="3"/>
  <c r="AI6" i="3"/>
  <c r="E291" i="3"/>
  <c r="E229" i="3"/>
  <c r="E240" i="3"/>
  <c r="E513" i="3"/>
  <c r="E228" i="3"/>
  <c r="E531" i="3"/>
  <c r="E519" i="3"/>
  <c r="E459" i="3"/>
  <c r="E99" i="3"/>
  <c r="E181" i="3"/>
  <c r="E341" i="3"/>
  <c r="E221" i="3"/>
  <c r="E62" i="3"/>
  <c r="E237" i="3"/>
  <c r="E444" i="3"/>
  <c r="E278" i="3"/>
  <c r="AR6" i="3"/>
  <c r="E499" i="3"/>
  <c r="E227" i="3"/>
  <c r="E543" i="3"/>
  <c r="E234" i="3"/>
  <c r="E525" i="3"/>
  <c r="E251" i="3"/>
  <c r="E521" i="3"/>
  <c r="E476" i="3"/>
  <c r="E570" i="3"/>
  <c r="E146" i="3"/>
  <c r="E392" i="3"/>
  <c r="E497" i="3"/>
  <c r="E565" i="3"/>
  <c r="E91" i="3"/>
  <c r="E215" i="3"/>
  <c r="E41" i="3"/>
  <c r="E404" i="3"/>
  <c r="E168" i="3"/>
  <c r="E280" i="3"/>
  <c r="E136" i="3"/>
  <c r="E190" i="3"/>
  <c r="E558" i="3"/>
  <c r="E488" i="3"/>
  <c r="E264" i="3"/>
  <c r="E331" i="3"/>
  <c r="E502" i="3"/>
  <c r="E354" i="3"/>
  <c r="E496" i="3"/>
  <c r="E68" i="3"/>
  <c r="E528" i="3"/>
  <c r="E164" i="3"/>
  <c r="E42" i="3"/>
  <c r="E494" i="3"/>
  <c r="M6" i="3"/>
  <c r="E457" i="3"/>
  <c r="E389" i="3"/>
  <c r="E36" i="3"/>
  <c r="E478" i="3"/>
  <c r="E104" i="3"/>
  <c r="W6" i="3"/>
  <c r="E449" i="3"/>
  <c r="E422" i="3"/>
  <c r="AG6" i="3"/>
  <c r="E180" i="3"/>
  <c r="E361" i="3"/>
  <c r="AB6" i="3"/>
  <c r="E536" i="3"/>
  <c r="E416" i="3"/>
  <c r="E64" i="3"/>
  <c r="E539" i="3"/>
  <c r="E211" i="3"/>
  <c r="E203" i="3"/>
  <c r="E61" i="3"/>
  <c r="E217" i="3"/>
  <c r="E163" i="3"/>
  <c r="E137" i="3"/>
  <c r="E232" i="3"/>
  <c r="E38" i="3"/>
  <c r="E25" i="3"/>
  <c r="E423" i="3"/>
  <c r="E220" i="3"/>
  <c r="E24" i="3"/>
  <c r="E19" i="3"/>
  <c r="E371" i="3"/>
  <c r="E564" i="3"/>
  <c r="E372" i="3"/>
  <c r="E239" i="3"/>
  <c r="E336" i="3"/>
  <c r="E436" i="3"/>
  <c r="E253" i="3"/>
  <c r="E72" i="3"/>
  <c r="E334" i="3"/>
  <c r="E344" i="3"/>
  <c r="E544" i="3"/>
  <c r="E470" i="3"/>
  <c r="E101" i="3"/>
  <c r="E338" i="3"/>
  <c r="E413" i="3"/>
  <c r="E31" i="3"/>
  <c r="E230" i="3"/>
  <c r="E223" i="3"/>
  <c r="E561" i="3"/>
  <c r="E142" i="3"/>
  <c r="E255" i="3"/>
  <c r="E260" i="3"/>
  <c r="E382" i="3"/>
  <c r="E466" i="3"/>
  <c r="E128" i="3"/>
  <c r="K6" i="3"/>
  <c r="E122" i="3"/>
  <c r="E461" i="3"/>
  <c r="E114" i="3"/>
  <c r="E409" i="3"/>
  <c r="E434" i="3"/>
  <c r="E360" i="3"/>
  <c r="E553" i="3"/>
  <c r="AO6" i="3"/>
  <c r="E359" i="3"/>
  <c r="E548" i="3"/>
  <c r="E92" i="3"/>
  <c r="E441" i="3"/>
  <c r="E407" i="3"/>
  <c r="E157" i="3"/>
  <c r="E445" i="3"/>
  <c r="E145" i="3"/>
  <c r="E432" i="3"/>
  <c r="P6" i="3"/>
  <c r="E302" i="3"/>
  <c r="E37" i="3"/>
  <c r="E199" i="3"/>
  <c r="E368" i="3"/>
  <c r="E43" i="3"/>
  <c r="E182" i="3"/>
  <c r="E140" i="3"/>
  <c r="E40" i="3"/>
  <c r="E186" i="3"/>
  <c r="AA6" i="3"/>
  <c r="E139" i="3"/>
  <c r="E198" i="3"/>
  <c r="E155" i="3"/>
  <c r="E144" i="3"/>
  <c r="E454" i="3"/>
  <c r="E376" i="3"/>
  <c r="E326" i="3"/>
  <c r="E362" i="3"/>
  <c r="E495" i="3"/>
  <c r="E147" i="3"/>
  <c r="E424" i="3"/>
  <c r="E269" i="3"/>
  <c r="E316" i="3"/>
  <c r="E46" i="3"/>
  <c r="E143" i="3"/>
  <c r="E374" i="3"/>
  <c r="E383" i="3"/>
  <c r="E85" i="3"/>
  <c r="E369" i="3"/>
  <c r="E130" i="3"/>
  <c r="E373" i="3"/>
  <c r="E418" i="3"/>
  <c r="E492" i="3"/>
  <c r="E447" i="3"/>
  <c r="E535" i="3"/>
  <c r="E216" i="3"/>
  <c r="E463" i="3"/>
  <c r="E347" i="3"/>
  <c r="E29" i="3"/>
  <c r="E348" i="3"/>
  <c r="E273" i="3"/>
  <c r="E414" i="3"/>
  <c r="E149" i="3"/>
  <c r="E60" i="3"/>
  <c r="E156" i="3"/>
  <c r="E571" i="3"/>
  <c r="E426" i="3"/>
  <c r="E235" i="3"/>
  <c r="E256" i="3"/>
  <c r="E394" i="3"/>
  <c r="E112" i="3"/>
  <c r="E131" i="3"/>
  <c r="E295" i="3"/>
  <c r="E33" i="3"/>
  <c r="E381" i="3"/>
  <c r="E87" i="3"/>
  <c r="E411" i="3"/>
  <c r="E283" i="3"/>
  <c r="E257" i="3"/>
  <c r="E16" i="3"/>
  <c r="E242" i="3"/>
  <c r="E279" i="3"/>
  <c r="E356" i="3"/>
  <c r="E293" i="3"/>
  <c r="E26" i="3"/>
  <c r="E402" i="3"/>
  <c r="E353" i="3"/>
  <c r="E286" i="3"/>
  <c r="E408" i="3"/>
  <c r="AQ6" i="3"/>
  <c r="E176" i="3"/>
  <c r="E93" i="3"/>
  <c r="E563" i="3"/>
  <c r="E202" i="3"/>
  <c r="E365" i="3"/>
  <c r="E47" i="3"/>
  <c r="E150" i="3"/>
  <c r="E335" i="3"/>
  <c r="E439" i="3"/>
  <c r="E262" i="3"/>
  <c r="E562" i="3"/>
  <c r="E380" i="3"/>
  <c r="X6" i="3"/>
  <c r="E471" i="3"/>
  <c r="E205" i="3"/>
  <c r="E443" i="3"/>
  <c r="E233" i="3"/>
  <c r="E458" i="3"/>
  <c r="E192" i="3"/>
  <c r="E566" i="3"/>
  <c r="E30" i="3"/>
  <c r="E89" i="3"/>
  <c r="Q6" i="3"/>
  <c r="E435" i="3"/>
  <c r="E333" i="3"/>
  <c r="J6" i="3"/>
  <c r="E153" i="3"/>
  <c r="E456" i="3"/>
  <c r="E83" i="3"/>
  <c r="E475" i="3"/>
  <c r="E367" i="3"/>
  <c r="E549" i="3"/>
  <c r="E178" i="3"/>
  <c r="E214" i="3"/>
  <c r="E266" i="3"/>
  <c r="E438" i="3"/>
  <c r="E378" i="3"/>
  <c r="AJ6" i="3"/>
  <c r="E222" i="3"/>
  <c r="E206" i="3"/>
  <c r="E80" i="3"/>
  <c r="E201" i="3"/>
  <c r="E119" i="3"/>
  <c r="E185" i="3"/>
  <c r="E340" i="3"/>
  <c r="E395" i="3"/>
  <c r="E308" i="3"/>
  <c r="E159" i="3"/>
  <c r="E109" i="3"/>
  <c r="E300" i="3"/>
  <c r="E193" i="3"/>
  <c r="E121" i="3"/>
  <c r="E462" i="3"/>
  <c r="E339" i="3"/>
  <c r="E366" i="3"/>
  <c r="E515" i="3"/>
  <c r="E399" i="3"/>
  <c r="E14" i="3"/>
  <c r="E569" i="3"/>
  <c r="E124" i="3"/>
  <c r="E421" i="3"/>
  <c r="E415" i="3"/>
  <c r="E162" i="3"/>
  <c r="E65" i="3"/>
  <c r="E489" i="3"/>
  <c r="E138" i="3"/>
  <c r="E349" i="3"/>
  <c r="E183" i="3"/>
  <c r="E167" i="3"/>
  <c r="E69" i="3"/>
  <c r="E327" i="3"/>
  <c r="E238" i="3"/>
  <c r="E357" i="3"/>
  <c r="E297" i="3"/>
  <c r="E173" i="3"/>
  <c r="E319" i="3"/>
  <c r="E375" i="3"/>
  <c r="E503" i="3"/>
  <c r="E34" i="3"/>
  <c r="E170" i="3"/>
  <c r="E500" i="3"/>
  <c r="E491" i="3"/>
  <c r="E165" i="3"/>
  <c r="E49" i="3"/>
  <c r="E481" i="3"/>
  <c r="E208" i="3"/>
  <c r="E552" i="3"/>
  <c r="E195" i="3"/>
  <c r="E550" i="3"/>
  <c r="I3" i="6"/>
  <c r="E48" i="3"/>
  <c r="E15" i="3"/>
  <c r="E141" i="3"/>
  <c r="E21" i="3"/>
  <c r="E473" i="3"/>
  <c r="E483" i="3"/>
  <c r="E325" i="3"/>
  <c r="E321" i="3"/>
  <c r="E265" i="3"/>
  <c r="E274" i="3"/>
  <c r="E97" i="3"/>
  <c r="E555" i="3"/>
  <c r="E430" i="3"/>
  <c r="E460" i="3"/>
  <c r="AD6" i="3"/>
  <c r="E377" i="3"/>
  <c r="E493" i="3"/>
  <c r="E241" i="3"/>
  <c r="E57" i="3"/>
  <c r="E345" i="3"/>
  <c r="E45" i="3"/>
  <c r="E428" i="3"/>
  <c r="E56" i="3"/>
  <c r="E32" i="3"/>
  <c r="E556" i="3"/>
  <c r="Z6" i="3"/>
  <c r="E282" i="3"/>
  <c r="E346" i="3"/>
  <c r="E547" i="3"/>
  <c r="E75" i="3"/>
  <c r="E451" i="3"/>
  <c r="E477" i="3"/>
  <c r="E194" i="3"/>
  <c r="E391" i="3"/>
  <c r="E50" i="3"/>
  <c r="E254" i="3"/>
  <c r="AS6" i="3"/>
  <c r="E77" i="3"/>
  <c r="AE6" i="3"/>
  <c r="E51" i="3"/>
  <c r="E209" i="3"/>
  <c r="E249" i="3"/>
  <c r="E219" i="3"/>
  <c r="E289" i="3"/>
  <c r="E90" i="3"/>
  <c r="E189" i="3"/>
  <c r="E213" i="3"/>
  <c r="E23" i="3"/>
  <c r="E252" i="3"/>
  <c r="E152" i="3"/>
  <c r="E59" i="3"/>
  <c r="E115" i="3"/>
  <c r="E557" i="3"/>
  <c r="E328" i="3"/>
  <c r="E292" i="3"/>
  <c r="E248" i="3"/>
  <c r="E520" i="3"/>
  <c r="E572" i="3"/>
  <c r="AH6" i="3"/>
  <c r="E135" i="3"/>
  <c r="E200" i="3"/>
  <c r="T6" i="3"/>
  <c r="E175" i="3"/>
  <c r="E485" i="3"/>
  <c r="E71" i="3"/>
  <c r="E455" i="3"/>
  <c r="E107" i="3"/>
  <c r="E118" i="3"/>
  <c r="E270" i="3"/>
  <c r="E281" i="3"/>
  <c r="E363" i="3"/>
  <c r="E311" i="3"/>
  <c r="E450" i="3"/>
  <c r="E161" i="3"/>
  <c r="I6" i="3"/>
  <c r="H6" i="3" s="1"/>
  <c r="J19" i="15"/>
  <c r="J5" i="15"/>
  <c r="J18" i="15"/>
  <c r="E3" i="6"/>
  <c r="AY6" i="3"/>
  <c r="E13" i="3"/>
  <c r="C15" i="12" l="1"/>
  <c r="S12" i="39"/>
  <c r="AA12" i="39"/>
  <c r="AA12" i="40"/>
  <c r="S12" i="40"/>
  <c r="D45" i="9"/>
  <c r="D46" i="9"/>
  <c r="C21" i="4"/>
  <c r="O5" i="54" s="1"/>
  <c r="B45" i="63" s="1"/>
  <c r="L38" i="9"/>
  <c r="D16" i="43"/>
  <c r="C16" i="43" s="1"/>
  <c r="L19" i="1"/>
  <c r="D16" i="12"/>
  <c r="E6" i="6"/>
  <c r="B3" i="11"/>
  <c r="J24" i="15"/>
  <c r="J26" i="15"/>
  <c r="J29" i="15" s="1"/>
  <c r="U12" i="39"/>
  <c r="AB12" i="39"/>
  <c r="W12" i="40"/>
  <c r="AC12" i="40"/>
  <c r="AY427" i="3"/>
  <c r="AY413" i="3"/>
  <c r="AY185" i="3"/>
  <c r="AY210" i="3"/>
  <c r="AY460" i="3"/>
  <c r="AY383" i="3"/>
  <c r="AY328" i="3"/>
  <c r="AY353" i="3"/>
  <c r="AY510" i="3"/>
  <c r="AY545" i="3"/>
  <c r="AY271" i="3"/>
  <c r="AY20" i="3"/>
  <c r="AY281" i="3"/>
  <c r="AY228" i="3"/>
  <c r="AY255" i="3"/>
  <c r="AY531" i="3"/>
  <c r="AY213" i="3"/>
  <c r="AY98" i="3"/>
  <c r="AY358" i="3"/>
  <c r="AY296" i="3"/>
  <c r="AY397" i="3"/>
  <c r="AY275" i="3"/>
  <c r="AY184" i="3"/>
  <c r="AY119" i="3"/>
  <c r="AY130" i="3"/>
  <c r="AY355" i="3"/>
  <c r="AY323" i="3"/>
  <c r="AY146" i="3"/>
  <c r="AY175" i="3"/>
  <c r="AY81" i="3"/>
  <c r="AY518" i="3"/>
  <c r="AY108" i="3"/>
  <c r="AY205" i="3"/>
  <c r="AY261" i="3"/>
  <c r="AY21" i="3"/>
  <c r="AY195" i="3"/>
  <c r="AY301" i="3"/>
  <c r="AY565" i="3"/>
  <c r="AY26" i="3"/>
  <c r="AY75" i="3"/>
  <c r="AY153" i="3"/>
  <c r="AY393" i="3"/>
  <c r="AY568" i="3"/>
  <c r="AY121" i="3"/>
  <c r="AY199" i="3"/>
  <c r="AY532" i="3"/>
  <c r="AY352" i="3"/>
  <c r="AY235" i="3"/>
  <c r="AY373" i="3"/>
  <c r="AY135" i="3"/>
  <c r="AY120" i="3"/>
  <c r="AY535" i="3"/>
  <c r="AY513" i="3"/>
  <c r="AY418" i="3"/>
  <c r="AY163" i="3"/>
  <c r="AY154" i="3"/>
  <c r="AY88" i="3"/>
  <c r="AY467" i="3"/>
  <c r="AY116" i="3"/>
  <c r="AY388" i="3"/>
  <c r="AY483" i="3"/>
  <c r="AY468" i="3"/>
  <c r="AY444" i="3"/>
  <c r="AY256" i="3"/>
  <c r="AY71" i="3"/>
  <c r="AY419" i="3"/>
  <c r="BT6" i="3"/>
  <c r="AY455" i="3"/>
  <c r="AY97" i="3"/>
  <c r="AY450" i="3"/>
  <c r="BL6" i="3"/>
  <c r="AY94" i="3"/>
  <c r="AY263" i="3"/>
  <c r="AY567" i="3"/>
  <c r="AY489" i="3"/>
  <c r="AY92" i="3"/>
  <c r="AY83" i="3"/>
  <c r="AY456" i="3"/>
  <c r="AY438" i="3"/>
  <c r="AY502" i="3"/>
  <c r="AY307" i="3"/>
  <c r="AY51" i="3"/>
  <c r="AY327" i="3"/>
  <c r="AY35" i="3"/>
  <c r="AY286" i="3"/>
  <c r="AY420" i="3"/>
  <c r="AY293" i="3"/>
  <c r="AY503" i="3"/>
  <c r="AY40" i="3"/>
  <c r="AY423" i="3"/>
  <c r="AY570" i="3"/>
  <c r="AY367" i="3"/>
  <c r="AY547" i="3"/>
  <c r="AY69" i="3"/>
  <c r="AY90" i="3"/>
  <c r="AY214" i="3"/>
  <c r="AY245" i="3"/>
  <c r="AY559" i="3"/>
  <c r="AY297" i="3"/>
  <c r="AY312" i="3"/>
  <c r="AY476" i="3"/>
  <c r="AY63" i="3"/>
  <c r="AY284" i="3"/>
  <c r="AY471" i="3"/>
  <c r="AY299" i="3"/>
  <c r="AY399" i="3"/>
  <c r="AY279" i="3"/>
  <c r="BG6" i="3"/>
  <c r="BP6" i="3"/>
  <c r="AY73" i="3"/>
  <c r="AY233" i="3"/>
  <c r="AY164" i="3"/>
  <c r="AY107" i="3"/>
  <c r="AY504" i="3"/>
  <c r="AY336" i="3"/>
  <c r="AY208" i="3"/>
  <c r="BO6" i="3"/>
  <c r="AY196" i="3"/>
  <c r="AY485" i="3"/>
  <c r="AY212" i="3"/>
  <c r="AY553" i="3"/>
  <c r="AY338" i="3"/>
  <c r="AY372" i="3"/>
  <c r="AY131" i="3"/>
  <c r="AY470" i="3"/>
  <c r="AY478" i="3"/>
  <c r="AY500" i="3"/>
  <c r="AY361" i="3"/>
  <c r="AY548" i="3"/>
  <c r="AY440" i="3"/>
  <c r="AY198" i="3"/>
  <c r="AY370" i="3"/>
  <c r="AY492" i="3"/>
  <c r="AY128" i="3"/>
  <c r="AY230" i="3"/>
  <c r="AY232" i="3"/>
  <c r="AY13" i="3"/>
  <c r="AY249" i="3"/>
  <c r="AY59" i="3"/>
  <c r="AY125" i="3"/>
  <c r="AY505" i="3"/>
  <c r="AY127" i="3"/>
  <c r="AY324" i="3"/>
  <c r="AY31" i="3"/>
  <c r="AY350" i="3"/>
  <c r="AY501" i="3"/>
  <c r="AY76" i="3"/>
  <c r="AY288" i="3"/>
  <c r="AY311" i="3"/>
  <c r="AY158" i="3"/>
  <c r="BB6" i="3"/>
  <c r="AY32" i="3"/>
  <c r="AY143" i="3"/>
  <c r="AY360" i="3"/>
  <c r="AY527" i="3"/>
  <c r="AY55" i="3"/>
  <c r="AY197" i="3"/>
  <c r="AY46" i="3"/>
  <c r="AY260" i="3"/>
  <c r="AY491" i="3"/>
  <c r="AY77" i="3"/>
  <c r="AY472" i="3"/>
  <c r="AY469" i="3"/>
  <c r="AY458" i="3"/>
  <c r="AY95" i="3"/>
  <c r="AY241" i="3"/>
  <c r="AY52" i="3"/>
  <c r="AY389" i="3"/>
  <c r="AY27" i="3"/>
  <c r="AY167" i="3"/>
  <c r="AY499" i="3"/>
  <c r="AY276" i="3"/>
  <c r="AY519" i="3"/>
  <c r="AY386" i="3"/>
  <c r="AY58" i="3"/>
  <c r="AY250" i="3"/>
  <c r="AY272" i="3"/>
  <c r="AY374" i="3"/>
  <c r="AY34" i="3"/>
  <c r="BI6" i="3"/>
  <c r="AY544" i="3"/>
  <c r="AY283" i="3"/>
  <c r="AY242" i="3"/>
  <c r="AY109" i="3"/>
  <c r="AY180" i="3"/>
  <c r="AY17" i="3"/>
  <c r="AY80" i="3"/>
  <c r="AY183" i="3"/>
  <c r="AY515" i="3"/>
  <c r="AY395" i="3"/>
  <c r="AY571" i="3"/>
  <c r="AY474" i="3"/>
  <c r="AY14" i="3"/>
  <c r="AY300" i="3"/>
  <c r="AY417" i="3"/>
  <c r="AY82" i="3"/>
  <c r="BK6" i="3"/>
  <c r="AY528" i="3"/>
  <c r="AY294" i="3"/>
  <c r="AY424" i="3"/>
  <c r="AY477" i="3"/>
  <c r="AY48" i="3"/>
  <c r="AY192" i="3"/>
  <c r="AY186" i="3"/>
  <c r="AY430" i="3"/>
  <c r="AY486" i="3"/>
  <c r="AY402" i="3"/>
  <c r="AY161" i="3"/>
  <c r="AY333" i="3"/>
  <c r="AY428" i="3"/>
  <c r="AY562" i="3"/>
  <c r="AY359" i="3"/>
  <c r="AY148" i="3"/>
  <c r="AY316" i="3"/>
  <c r="AY529" i="3"/>
  <c r="AY267" i="3"/>
  <c r="AY453" i="3"/>
  <c r="AY335" i="3"/>
  <c r="AY550" i="3"/>
  <c r="AY507" i="3"/>
  <c r="AY258" i="3"/>
  <c r="AY408" i="3"/>
  <c r="AY280" i="3"/>
  <c r="AY189" i="3"/>
  <c r="AY554" i="3"/>
  <c r="AY112" i="3"/>
  <c r="AY200" i="3"/>
  <c r="AY433" i="3"/>
  <c r="AY155" i="3"/>
  <c r="AY511" i="3"/>
  <c r="AY538" i="3"/>
  <c r="AY187" i="3"/>
  <c r="AY139" i="3"/>
  <c r="AY111" i="3"/>
  <c r="AY447" i="3"/>
  <c r="BM6" i="3"/>
  <c r="AY521" i="3"/>
  <c r="AY174" i="3"/>
  <c r="AY482" i="3"/>
  <c r="AY344" i="3"/>
  <c r="AY466" i="3"/>
  <c r="AY330" i="3"/>
  <c r="AY151" i="3"/>
  <c r="AY19" i="3"/>
  <c r="AY497" i="3"/>
  <c r="AY166" i="3"/>
  <c r="AY203" i="3"/>
  <c r="AY506" i="3"/>
  <c r="AY426" i="3"/>
  <c r="AY379" i="3"/>
  <c r="AY345" i="3"/>
  <c r="AY152" i="3"/>
  <c r="AY264" i="3"/>
  <c r="AY157" i="3"/>
  <c r="AY326" i="3"/>
  <c r="AY38" i="3"/>
  <c r="AY452" i="3"/>
  <c r="AY61" i="3"/>
  <c r="AY410" i="3"/>
  <c r="AY222" i="3"/>
  <c r="AY259" i="3"/>
  <c r="AY129" i="3"/>
  <c r="AY317" i="3"/>
  <c r="AY346" i="3"/>
  <c r="AY36" i="3"/>
  <c r="AY86" i="3"/>
  <c r="AY162" i="3"/>
  <c r="AY254" i="3"/>
  <c r="AY219" i="3"/>
  <c r="AY193" i="3"/>
  <c r="AY37" i="3"/>
  <c r="AY136" i="3"/>
  <c r="AY522" i="3"/>
  <c r="AY224" i="3"/>
  <c r="AY310" i="3"/>
  <c r="AY44" i="3"/>
  <c r="AY124" i="3"/>
  <c r="AY165" i="3"/>
  <c r="AY480" i="3"/>
  <c r="AY463" i="3"/>
  <c r="AY523" i="3"/>
  <c r="AY434" i="3"/>
  <c r="AY409" i="3"/>
  <c r="AY384" i="3"/>
  <c r="AY542" i="3"/>
  <c r="AY537" i="3"/>
  <c r="BC6" i="3"/>
  <c r="AY96" i="3"/>
  <c r="AY33" i="3"/>
  <c r="AY298" i="3"/>
  <c r="AY68" i="3"/>
  <c r="AY552" i="3"/>
  <c r="AY295" i="3"/>
  <c r="AY100" i="3"/>
  <c r="AY141" i="3"/>
  <c r="AY442" i="3"/>
  <c r="AY25" i="3"/>
  <c r="AY176" i="3"/>
  <c r="AY432" i="3"/>
  <c r="AY494" i="3"/>
  <c r="AY396" i="3"/>
  <c r="AY39" i="3"/>
  <c r="AY381" i="3"/>
  <c r="AY23" i="3"/>
  <c r="AY325" i="3"/>
  <c r="AY209" i="3"/>
  <c r="AY526" i="3"/>
  <c r="AY371" i="3"/>
  <c r="AY566" i="3"/>
  <c r="AY366" i="3"/>
  <c r="AY262" i="3"/>
  <c r="AY520" i="3"/>
  <c r="AY331" i="3"/>
  <c r="AY239" i="3"/>
  <c r="AY182" i="3"/>
  <c r="AY435" i="3"/>
  <c r="AY87" i="3"/>
  <c r="AY302" i="3"/>
  <c r="BD6" i="3"/>
  <c r="AY541" i="3"/>
  <c r="AY454" i="3"/>
  <c r="AY84" i="3"/>
  <c r="AY461" i="3"/>
  <c r="AY525" i="3"/>
  <c r="AY159" i="3"/>
  <c r="AY343" i="3"/>
  <c r="AY305" i="3"/>
  <c r="AY123" i="3"/>
  <c r="AY218" i="3"/>
  <c r="AY204" i="3"/>
  <c r="AY493" i="3"/>
  <c r="AY446" i="3"/>
  <c r="AY375" i="3"/>
  <c r="AY351" i="3"/>
  <c r="AY441" i="3"/>
  <c r="AY533" i="3"/>
  <c r="AY45" i="3"/>
  <c r="AY114" i="3"/>
  <c r="AY113" i="3"/>
  <c r="AY126" i="3"/>
  <c r="BH6" i="3"/>
  <c r="AY24" i="3"/>
  <c r="AY488" i="3"/>
  <c r="AY342" i="3"/>
  <c r="AY240" i="3"/>
  <c r="AY495" i="3"/>
  <c r="AY509" i="3"/>
  <c r="AY201" i="3"/>
  <c r="AY332" i="3"/>
  <c r="AY285" i="3"/>
  <c r="AY194" i="3"/>
  <c r="AY70" i="3"/>
  <c r="AY171" i="3"/>
  <c r="AY60" i="3"/>
  <c r="AY18" i="3"/>
  <c r="AY508" i="3"/>
  <c r="AY363" i="3"/>
  <c r="AY170" i="3"/>
  <c r="AY401" i="3"/>
  <c r="AY57" i="3"/>
  <c r="AY414" i="3"/>
  <c r="AY517" i="3"/>
  <c r="AY270" i="3"/>
  <c r="AY15" i="3"/>
  <c r="AY320" i="3"/>
  <c r="AY277" i="3"/>
  <c r="AY377" i="3"/>
  <c r="AY137" i="3"/>
  <c r="AY304" i="3"/>
  <c r="AY177" i="3"/>
  <c r="AY138" i="3"/>
  <c r="AY238" i="3"/>
  <c r="AY516" i="3"/>
  <c r="AY269" i="3"/>
  <c r="AY378" i="3"/>
  <c r="AY439" i="3"/>
  <c r="AY391" i="3"/>
  <c r="AY436" i="3"/>
  <c r="AY66" i="3"/>
  <c r="AY445" i="3"/>
  <c r="AY67" i="3"/>
  <c r="AY181" i="3"/>
  <c r="AY101" i="3"/>
  <c r="AY117" i="3"/>
  <c r="AY42" i="3"/>
  <c r="AY303" i="3"/>
  <c r="AY437" i="3"/>
  <c r="BA6" i="3"/>
  <c r="AY536" i="3"/>
  <c r="AY202" i="3"/>
  <c r="AY122" i="3"/>
  <c r="AY421" i="3"/>
  <c r="AY74" i="3"/>
  <c r="AY340" i="3"/>
  <c r="AY150" i="3"/>
  <c r="AY247" i="3"/>
  <c r="AY368" i="3"/>
  <c r="AY487" i="3"/>
  <c r="AY412" i="3"/>
  <c r="AY462" i="3"/>
  <c r="AY404" i="3"/>
  <c r="AY278" i="3"/>
  <c r="AY364" i="3"/>
  <c r="AY555" i="3"/>
  <c r="AY448" i="3"/>
  <c r="AY274" i="3"/>
  <c r="AY225" i="3"/>
  <c r="AY173" i="3"/>
  <c r="AY313" i="3"/>
  <c r="AY484" i="3"/>
  <c r="AY319" i="3"/>
  <c r="AY422" i="3"/>
  <c r="AY118" i="3"/>
  <c r="AY459" i="3"/>
  <c r="AY99" i="3"/>
  <c r="AY321" i="3"/>
  <c r="AY318" i="3"/>
  <c r="AY172" i="3"/>
  <c r="AY290" i="3"/>
  <c r="AY376" i="3"/>
  <c r="AY169" i="3"/>
  <c r="AY91" i="3"/>
  <c r="AY514" i="3"/>
  <c r="AY365" i="3"/>
  <c r="AY226" i="3"/>
  <c r="AY561" i="3"/>
  <c r="AY229" i="3"/>
  <c r="AY354" i="3"/>
  <c r="AY223" i="3"/>
  <c r="AY62" i="3"/>
  <c r="BJ6" i="3"/>
  <c r="AY557" i="3"/>
  <c r="AY369" i="3"/>
  <c r="AY479" i="3"/>
  <c r="AY132" i="3"/>
  <c r="AY144" i="3"/>
  <c r="AY543" i="3"/>
  <c r="AY329" i="3"/>
  <c r="AY306" i="3"/>
  <c r="AY362" i="3"/>
  <c r="AY563" i="3"/>
  <c r="AY407" i="3"/>
  <c r="AY168" i="3"/>
  <c r="AY47" i="3"/>
  <c r="AY265" i="3"/>
  <c r="AY43" i="3"/>
  <c r="AY341" i="3"/>
  <c r="AY356" i="3"/>
  <c r="AY28" i="3"/>
  <c r="AY64" i="3"/>
  <c r="AY221" i="3"/>
  <c r="AY490" i="3"/>
  <c r="AY251" i="3"/>
  <c r="AY349" i="3"/>
  <c r="AY334" i="3"/>
  <c r="AY30" i="3"/>
  <c r="AY206" i="3"/>
  <c r="AY390" i="3"/>
  <c r="AY560" i="3"/>
  <c r="AY309" i="3"/>
  <c r="AY380" i="3"/>
  <c r="AY268" i="3"/>
  <c r="AY496" i="3"/>
  <c r="AY546" i="3"/>
  <c r="AY322" i="3"/>
  <c r="AY411" i="3"/>
  <c r="AY102" i="3"/>
  <c r="AY425" i="3"/>
  <c r="AY289" i="3"/>
  <c r="AY457" i="3"/>
  <c r="AY357" i="3"/>
  <c r="AY65" i="3"/>
  <c r="AY216" i="3"/>
  <c r="AY72" i="3"/>
  <c r="AY103" i="3"/>
  <c r="AY243" i="3"/>
  <c r="AY104" i="3"/>
  <c r="AY558" i="3"/>
  <c r="BF6" i="3"/>
  <c r="AY400" i="3"/>
  <c r="AY394" i="3"/>
  <c r="AY160" i="3"/>
  <c r="BS6" i="3"/>
  <c r="AY449" i="3"/>
  <c r="AY398" i="3"/>
  <c r="BQ6" i="3"/>
  <c r="AY29" i="3"/>
  <c r="AY481" i="3"/>
  <c r="AY443" i="3"/>
  <c r="AY191" i="3"/>
  <c r="AY498" i="3"/>
  <c r="AY248" i="3"/>
  <c r="AY140" i="3"/>
  <c r="AY429" i="3"/>
  <c r="AY273" i="3"/>
  <c r="AY156" i="3"/>
  <c r="AY282" i="3"/>
  <c r="AY227" i="3"/>
  <c r="AY348" i="3"/>
  <c r="AY292" i="3"/>
  <c r="AY207" i="3"/>
  <c r="AY246" i="3"/>
  <c r="AY569" i="3"/>
  <c r="AY56" i="3"/>
  <c r="AY78" i="3"/>
  <c r="AY89" i="3"/>
  <c r="AY188" i="3"/>
  <c r="AY237" i="3"/>
  <c r="AY291" i="3"/>
  <c r="AY465" i="3"/>
  <c r="AY217" i="3"/>
  <c r="AY220" i="3"/>
  <c r="AY405" i="3"/>
  <c r="BE6" i="3"/>
  <c r="AY530" i="3"/>
  <c r="AY41" i="3"/>
  <c r="AY451" i="3"/>
  <c r="AY539" i="3"/>
  <c r="AY93" i="3"/>
  <c r="AY134" i="3"/>
  <c r="AY106" i="3"/>
  <c r="AY190" i="3"/>
  <c r="BN6" i="3"/>
  <c r="AY53" i="3"/>
  <c r="AY314" i="3"/>
  <c r="AY149" i="3"/>
  <c r="AY287" i="3"/>
  <c r="AY79" i="3"/>
  <c r="AY115" i="3"/>
  <c r="AY473" i="3"/>
  <c r="AY16" i="3"/>
  <c r="AY337" i="3"/>
  <c r="AY211" i="3"/>
  <c r="AY133" i="3"/>
  <c r="AY475" i="3"/>
  <c r="AY347" i="3"/>
  <c r="AY308" i="3"/>
  <c r="AY215" i="3"/>
  <c r="AY549" i="3"/>
  <c r="AY431" i="3"/>
  <c r="AY231" i="3"/>
  <c r="AY253" i="3"/>
  <c r="AY244" i="3"/>
  <c r="BR6" i="3"/>
  <c r="AY49" i="3"/>
  <c r="AY512" i="3"/>
  <c r="AY234" i="3"/>
  <c r="AY147" i="3"/>
  <c r="AY54" i="3"/>
  <c r="AY236" i="3"/>
  <c r="AY406" i="3"/>
  <c r="AY252" i="3"/>
  <c r="AY524" i="3"/>
  <c r="AY415" i="3"/>
  <c r="AY110" i="3"/>
  <c r="AY266" i="3"/>
  <c r="AY464" i="3"/>
  <c r="AY145" i="3"/>
  <c r="AY142" i="3"/>
  <c r="AY403" i="3"/>
  <c r="AY105" i="3"/>
  <c r="AY392" i="3"/>
  <c r="AY534" i="3"/>
  <c r="AY179" i="3"/>
  <c r="AY339" i="3"/>
  <c r="AY385" i="3"/>
  <c r="AY178" i="3"/>
  <c r="AY387" i="3"/>
  <c r="AY416" i="3"/>
  <c r="AY22" i="3"/>
  <c r="AY382" i="3"/>
  <c r="AY572" i="3"/>
  <c r="AY564" i="3"/>
  <c r="AY315" i="3"/>
  <c r="AY556" i="3"/>
  <c r="AY540" i="3"/>
  <c r="AY50" i="3"/>
  <c r="AY257" i="3"/>
  <c r="AY85" i="3"/>
  <c r="AY551" i="3"/>
  <c r="D3" i="6"/>
  <c r="C65" i="15"/>
  <c r="C59" i="15"/>
  <c r="W12" i="39"/>
  <c r="AC12" i="39"/>
  <c r="C38" i="15"/>
  <c r="AC6" i="3"/>
  <c r="E6" i="3" s="1"/>
  <c r="U12" i="40"/>
  <c r="AB12" i="40"/>
  <c r="K27" i="6"/>
  <c r="M19" i="6"/>
  <c r="S6" i="1"/>
  <c r="C17" i="15"/>
  <c r="F46" i="9" l="1"/>
  <c r="D11" i="6"/>
  <c r="D6" i="6"/>
  <c r="H24" i="6"/>
  <c r="D12" i="6"/>
  <c r="D22" i="6"/>
  <c r="D24" i="6"/>
  <c r="C22" i="4"/>
  <c r="D25" i="6"/>
  <c r="D21" i="6"/>
  <c r="D10" i="6"/>
  <c r="D29" i="6"/>
  <c r="E45" i="9"/>
  <c r="H26" i="6"/>
  <c r="H23" i="6"/>
  <c r="K38" i="9"/>
  <c r="H20" i="6"/>
  <c r="H21" i="6"/>
  <c r="E67" i="39"/>
  <c r="D15" i="6"/>
  <c r="D9" i="6"/>
  <c r="H25" i="6"/>
  <c r="D5" i="6"/>
  <c r="D28" i="6"/>
  <c r="D30" i="6" s="1"/>
  <c r="D13" i="6"/>
  <c r="D14" i="6"/>
  <c r="D20" i="6"/>
  <c r="F45" i="9"/>
  <c r="H22" i="6"/>
  <c r="D23" i="6"/>
  <c r="E46" i="9"/>
  <c r="D8" i="6"/>
  <c r="D26" i="6"/>
  <c r="C40" i="39"/>
  <c r="D19" i="6"/>
  <c r="E62" i="40"/>
  <c r="F62" i="40" s="1"/>
  <c r="B2" i="40" s="1"/>
  <c r="B4" i="11"/>
  <c r="B5" i="11"/>
  <c r="D22" i="12"/>
  <c r="C22" i="12" s="1"/>
  <c r="C20" i="12" s="1"/>
  <c r="D13" i="11"/>
  <c r="C13" i="11" s="1"/>
  <c r="D19" i="12"/>
  <c r="C19" i="12" s="1"/>
  <c r="C16" i="12"/>
  <c r="L21" i="1"/>
  <c r="N20" i="1"/>
  <c r="N19" i="1"/>
  <c r="S16" i="1"/>
  <c r="I19" i="6"/>
  <c r="H19" i="6" s="1"/>
  <c r="M27" i="6"/>
  <c r="H27" i="6" l="1"/>
  <c r="N21" i="1"/>
  <c r="M21" i="1" s="1"/>
  <c r="M6" i="1" s="1"/>
  <c r="M16" i="1" s="1"/>
  <c r="R23" i="6"/>
  <c r="T12" i="1"/>
  <c r="T9" i="1"/>
  <c r="T10" i="1"/>
  <c r="T8" i="1"/>
  <c r="T11" i="1"/>
  <c r="T13" i="1"/>
  <c r="T7" i="1"/>
  <c r="D16" i="6"/>
  <c r="A20" i="64"/>
  <c r="N5" i="54"/>
  <c r="B43" i="63" s="1"/>
  <c r="A6" i="64"/>
  <c r="A6" i="51"/>
  <c r="B7" i="63" s="1"/>
  <c r="A20" i="51"/>
  <c r="B15" i="63" s="1"/>
  <c r="T6" i="1"/>
  <c r="D27" i="6"/>
  <c r="D31" i="6" s="1"/>
  <c r="R19" i="6"/>
  <c r="R20" i="6"/>
  <c r="R24" i="6"/>
  <c r="R22" i="6"/>
  <c r="H40" i="39"/>
  <c r="F40" i="39"/>
  <c r="J40" i="39"/>
  <c r="R21" i="6"/>
  <c r="I27" i="6"/>
  <c r="S19" i="6"/>
  <c r="S27" i="6" s="1"/>
  <c r="B5" i="40"/>
  <c r="B3" i="40"/>
  <c r="B4" i="40"/>
  <c r="R26" i="6"/>
  <c r="R25" i="6"/>
  <c r="C16" i="15"/>
  <c r="C18" i="44"/>
  <c r="C14" i="15"/>
  <c r="C16" i="44"/>
  <c r="O6" i="1" l="1"/>
  <c r="O16" i="1" s="1"/>
  <c r="N16" i="1"/>
  <c r="F22" i="43" s="1"/>
  <c r="C13" i="43"/>
  <c r="L16" i="1"/>
  <c r="C15" i="15"/>
  <c r="C18" i="15"/>
  <c r="C20" i="44"/>
  <c r="C17" i="44"/>
  <c r="S40" i="39"/>
  <c r="AA40" i="39"/>
  <c r="I6" i="6"/>
  <c r="C13" i="39" s="1"/>
  <c r="I5" i="6"/>
  <c r="W40" i="39"/>
  <c r="AC40" i="39"/>
  <c r="T16" i="1"/>
  <c r="U40" i="39"/>
  <c r="AB40" i="39"/>
  <c r="R27" i="6"/>
  <c r="R6" i="1"/>
  <c r="F35" i="15"/>
  <c r="M21" i="15"/>
  <c r="P6" i="1" l="1"/>
  <c r="P16" i="1" s="1"/>
  <c r="C13" i="12" s="1"/>
  <c r="C14" i="12" s="1"/>
  <c r="C17" i="43"/>
  <c r="C14" i="43"/>
  <c r="C19" i="15"/>
  <c r="C21" i="44"/>
  <c r="C22" i="44" s="1"/>
  <c r="C28" i="44" s="1"/>
  <c r="J20" i="15"/>
  <c r="J17" i="15" s="1"/>
  <c r="C34" i="15"/>
  <c r="C31" i="15" s="1"/>
  <c r="F62" i="15"/>
  <c r="C61" i="15" s="1"/>
  <c r="C58" i="15" s="1"/>
  <c r="R16" i="1"/>
  <c r="H13" i="39"/>
  <c r="F13" i="39"/>
  <c r="J13" i="39"/>
  <c r="C18" i="43" l="1"/>
  <c r="C19" i="43" s="1"/>
  <c r="C21" i="43" s="1"/>
  <c r="C17" i="12"/>
  <c r="C18" i="12" s="1"/>
  <c r="C23" i="12" s="1"/>
  <c r="C25" i="44"/>
  <c r="C31" i="44" s="1"/>
  <c r="C20" i="15"/>
  <c r="C23" i="15" s="1"/>
  <c r="AA13" i="39"/>
  <c r="R49" i="39" s="1"/>
  <c r="S13" i="39"/>
  <c r="U13" i="39"/>
  <c r="AB13" i="39"/>
  <c r="T49" i="39" s="1"/>
  <c r="G49" i="39" s="1"/>
  <c r="W13" i="39"/>
  <c r="AC13" i="39"/>
  <c r="V49" i="39" s="1"/>
  <c r="I49" i="39" s="1"/>
  <c r="I53" i="39" s="1"/>
  <c r="J53" i="39" s="1"/>
  <c r="C20" i="43" l="1"/>
  <c r="C23" i="43" s="1"/>
  <c r="C27" i="43" s="1"/>
  <c r="B2" i="43" s="1"/>
  <c r="B4" i="43" s="1"/>
  <c r="G53" i="39"/>
  <c r="H53" i="39" s="1"/>
  <c r="G54" i="39"/>
  <c r="H54" i="39" s="1"/>
  <c r="E49" i="39"/>
  <c r="R50" i="39"/>
  <c r="C26" i="15"/>
  <c r="C29" i="15" s="1"/>
  <c r="J59" i="15" s="1"/>
  <c r="J60" i="15" s="1"/>
  <c r="Q49" i="15" s="1"/>
  <c r="Q51" i="44"/>
  <c r="C15" i="44"/>
  <c r="J16" i="44"/>
  <c r="C38" i="44"/>
  <c r="B5" i="43" l="1"/>
  <c r="B3" i="43"/>
  <c r="C49" i="39"/>
  <c r="C50" i="39"/>
  <c r="I54" i="39"/>
  <c r="J54" i="39" s="1"/>
  <c r="E54" i="39"/>
  <c r="F54" i="39" s="1"/>
  <c r="E53" i="39"/>
  <c r="F53" i="39" s="1"/>
  <c r="C56" i="15"/>
  <c r="C63" i="15" s="1"/>
  <c r="C13" i="15"/>
  <c r="Q50" i="15"/>
  <c r="J14" i="15"/>
  <c r="C36" i="15"/>
  <c r="J15" i="44"/>
  <c r="J25" i="44" s="1"/>
  <c r="J24" i="44"/>
  <c r="C43" i="44"/>
  <c r="Q72" i="44"/>
  <c r="C39" i="44"/>
  <c r="C32" i="44" s="1"/>
  <c r="C42" i="44" s="1"/>
  <c r="B59" i="39" l="1"/>
  <c r="F59" i="39" s="1"/>
  <c r="B63" i="39"/>
  <c r="F63" i="39" s="1"/>
  <c r="B62" i="39"/>
  <c r="F62" i="39" s="1"/>
  <c r="B58" i="39"/>
  <c r="F58" i="39" s="1"/>
  <c r="B64" i="39"/>
  <c r="F64" i="39" s="1"/>
  <c r="B66" i="39"/>
  <c r="F66" i="39" s="1"/>
  <c r="B61" i="39"/>
  <c r="F61" i="39" s="1"/>
  <c r="B65" i="39"/>
  <c r="F65" i="39" s="1"/>
  <c r="B60" i="39"/>
  <c r="F60" i="39" s="1"/>
  <c r="J13" i="15"/>
  <c r="J23" i="15" s="1"/>
  <c r="J22" i="15"/>
  <c r="C55" i="15"/>
  <c r="C64" i="15" s="1"/>
  <c r="C57" i="15" s="1"/>
  <c r="C66" i="15" s="1"/>
  <c r="C67" i="15" s="1"/>
  <c r="C70" i="15" s="1"/>
  <c r="J35" i="15"/>
  <c r="Q71" i="15"/>
  <c r="C37" i="15"/>
  <c r="C30" i="15" s="1"/>
  <c r="C39" i="15" s="1"/>
  <c r="Q71" i="44"/>
  <c r="Q70" i="44" s="1"/>
  <c r="C44" i="44"/>
  <c r="C45" i="44" s="1"/>
  <c r="J18" i="44"/>
  <c r="J27" i="44" s="1"/>
  <c r="L51" i="15"/>
  <c r="F67" i="39" l="1"/>
  <c r="B2" i="39" s="1"/>
  <c r="B3" i="39" s="1"/>
  <c r="J16" i="15"/>
  <c r="J25" i="15" s="1"/>
  <c r="J39" i="15"/>
  <c r="J40" i="15" s="1"/>
  <c r="L57" i="15"/>
  <c r="Q68" i="15"/>
  <c r="C40" i="15"/>
  <c r="Q70" i="15"/>
  <c r="Q69" i="15" s="1"/>
  <c r="B2" i="44"/>
  <c r="L52" i="44"/>
  <c r="C19" i="9"/>
  <c r="C20" i="9"/>
  <c r="B4" i="39" l="1"/>
  <c r="B5" i="39"/>
  <c r="L43" i="9"/>
  <c r="C46" i="15"/>
  <c r="B2" i="15"/>
  <c r="C10" i="12" s="1"/>
  <c r="C6" i="12" s="1"/>
  <c r="J42" i="15"/>
  <c r="J43" i="15" s="1"/>
  <c r="C43" i="15"/>
  <c r="Q57" i="15"/>
  <c r="Q63" i="15" s="1"/>
  <c r="Q66" i="15"/>
  <c r="Q76" i="15" s="1"/>
  <c r="Q48" i="15"/>
  <c r="Q54" i="15" s="1"/>
  <c r="L58" i="44"/>
  <c r="L61" i="44" s="1"/>
  <c r="L47" i="44" s="1"/>
  <c r="Q69" i="44"/>
  <c r="B5" i="44"/>
  <c r="B4" i="44"/>
  <c r="B3" i="44"/>
  <c r="C21" i="9"/>
  <c r="C24" i="12" l="1"/>
  <c r="C29" i="12"/>
  <c r="B3" i="15"/>
  <c r="C8" i="12" s="1"/>
  <c r="Q68" i="44"/>
  <c r="Q77" i="44" s="1"/>
  <c r="Q59" i="44"/>
  <c r="Q64" i="44" s="1"/>
  <c r="C28" i="12" l="1"/>
  <c r="C26" i="12" s="1"/>
  <c r="C31" i="12" s="1"/>
  <c r="C30" i="12" s="1"/>
  <c r="C35" i="12"/>
  <c r="C33" i="12" s="1"/>
  <c r="C36" i="12" l="1"/>
  <c r="B2" i="12" s="1"/>
  <c r="D19" i="9"/>
  <c r="L44" i="9" l="1"/>
  <c r="G19" i="9"/>
  <c r="D22" i="9"/>
  <c r="B5" i="12"/>
  <c r="B4" i="12"/>
  <c r="B3" i="12"/>
  <c r="D21" i="9"/>
  <c r="D20" i="9"/>
  <c r="D14" i="66" l="1"/>
  <c r="G21" i="9"/>
  <c r="G20" i="9"/>
  <c r="C32" i="9"/>
  <c r="G22" i="9"/>
  <c r="N43" i="9"/>
  <c r="F14" i="66" l="1"/>
  <c r="B5" i="66"/>
  <c r="D5" i="66" s="1"/>
  <c r="E14" i="66"/>
  <c r="C33" i="9"/>
  <c r="C34" i="9"/>
  <c r="C35" i="9"/>
  <c r="F42" i="9" s="1"/>
  <c r="O43" i="9"/>
  <c r="C42" i="9"/>
  <c r="O38" i="9"/>
  <c r="C5" i="66" l="1"/>
  <c r="M38" i="9"/>
  <c r="K27" i="9" s="1"/>
  <c r="E42" i="9"/>
  <c r="P5" i="54" s="1"/>
  <c r="B46" i="63" s="1"/>
  <c r="K25" i="9"/>
  <c r="K26" i="9"/>
  <c r="N68" i="9"/>
  <c r="C44" i="9"/>
  <c r="D63" i="9"/>
  <c r="R5" i="54"/>
  <c r="B48" i="63" s="1"/>
  <c r="N38" i="9"/>
  <c r="K28" i="9" s="1"/>
  <c r="D42" i="9"/>
  <c r="Q5" i="54" s="1"/>
  <c r="B47" i="63" s="1"/>
  <c r="C103" i="9" l="1"/>
  <c r="C96" i="9"/>
  <c r="C91" i="9" s="1"/>
  <c r="C90" i="9"/>
  <c r="D71" i="9"/>
  <c r="C111" i="9"/>
  <c r="C104" i="9" s="1"/>
  <c r="D73" i="9"/>
  <c r="N73" i="9" s="1"/>
  <c r="D70" i="9"/>
  <c r="C82" i="9"/>
  <c r="C81" i="9" s="1"/>
  <c r="C85" i="9" s="1"/>
  <c r="C86" i="9" s="1"/>
  <c r="D72" i="9" s="1"/>
  <c r="E44" i="9"/>
  <c r="D44" i="9"/>
  <c r="F44" i="9"/>
  <c r="N69" i="9"/>
  <c r="O39" i="9"/>
  <c r="G14" i="66" s="1"/>
  <c r="B6" i="66" s="1"/>
  <c r="C6" i="66" l="1"/>
  <c r="D6" i="66"/>
  <c r="C97" i="9"/>
  <c r="C98" i="9" s="1"/>
  <c r="E98" i="9" s="1"/>
  <c r="E99" i="9" s="1"/>
  <c r="R6" i="54"/>
  <c r="B50" i="63" s="1"/>
  <c r="K29" i="9"/>
  <c r="K30" i="9" s="1"/>
  <c r="M83" i="9"/>
  <c r="N83" i="9" s="1"/>
  <c r="M85" i="9"/>
  <c r="N85" i="9" s="1"/>
  <c r="M88" i="9"/>
  <c r="N88" i="9" s="1"/>
  <c r="M84" i="9"/>
  <c r="N84" i="9" s="1"/>
  <c r="M87" i="9"/>
  <c r="N87" i="9" s="1"/>
  <c r="M86" i="9"/>
  <c r="N86" i="9" s="1"/>
  <c r="C113" i="9"/>
  <c r="C114" i="9" l="1"/>
  <c r="E114" i="9" s="1"/>
  <c r="E115" i="9" s="1"/>
  <c r="N89" i="9"/>
  <c r="O89" i="9" s="1"/>
  <c r="C99" i="9"/>
  <c r="C115" i="9" l="1"/>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<sst xmlns="http://schemas.openxmlformats.org/spreadsheetml/2006/main" count="8757" uniqueCount="3688">
  <si>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</si>
  <si>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</si>
  <si>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</si>
  <si>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</si>
  <si>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</si>
  <si>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</si>
  <si>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</si>
  <si>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</si>
  <si>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</si>
  <si>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</si>
  <si>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</si>
  <si>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</si>
  <si>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</si>
  <si>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</si>
  <si>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</si>
  <si>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</si>
  <si>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</si>
  <si>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</si>
  <si>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</si>
  <si>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</si>
  <si>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</si>
  <si>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</si>
  <si>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</si>
  <si>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</si>
  <si>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</si>
  <si>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</si>
  <si>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</si>
  <si>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</si>
  <si>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</si>
  <si>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</si>
  <si>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</si>
  <si>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</si>
  <si>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</si>
  <si>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</si>
  <si>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</si>
  <si>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</si>
  <si>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</si>
  <si>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</si>
  <si>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</si>
  <si>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</si>
  <si>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</si>
  <si>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</si>
  <si>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</si>
  <si>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</si>
  <si>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</si>
  <si>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</si>
  <si>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</si>
  <si>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</si>
  <si>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</si>
  <si>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</si>
  <si>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</si>
  <si>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</si>
  <si>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</si>
  <si>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</si>
  <si>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</si>
  <si>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</si>
  <si>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</si>
  <si>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</si>
  <si>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</si>
  <si>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</si>
  <si>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</si>
  <si>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</si>
  <si>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</si>
  <si>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</si>
  <si>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</si>
  <si>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</si>
  <si>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</si>
  <si>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</si>
  <si>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</si>
  <si>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</si>
  <si>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</si>
  <si>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</si>
  <si>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</si>
  <si>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</si>
  <si>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</si>
  <si>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</si>
  <si>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</si>
  <si>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</si>
  <si>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</si>
  <si>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</si>
  <si>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</si>
  <si>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</si>
  <si>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</si>
  <si>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</si>
  <si>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</si>
  <si>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</si>
  <si>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</si>
  <si>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</si>
  <si>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</si>
  <si>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</si>
  <si>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</si>
  <si>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</si>
  <si>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</si>
  <si>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</si>
  <si>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</si>
  <si>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</si>
  <si>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</si>
  <si>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</si>
  <si>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</si>
  <si>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</si>
  <si>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</si>
  <si>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</si>
  <si>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</si>
  <si>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</si>
  <si>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</si>
  <si>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</si>
  <si>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</si>
  <si>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</si>
  <si>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</si>
  <si>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</si>
  <si>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</si>
  <si>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</si>
  <si>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</si>
  <si>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</si>
  <si>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</si>
  <si>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</si>
  <si>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</si>
  <si>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</si>
  <si>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</si>
  <si>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</si>
  <si>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</si>
  <si>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</si>
  <si>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</si>
  <si>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</si>
  <si>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</si>
  <si>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</si>
  <si>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</si>
  <si>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</si>
  <si>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</si>
  <si>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</si>
  <si>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</si>
  <si>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</si>
  <si>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</si>
  <si>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</si>
  <si>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</si>
  <si>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</si>
  <si>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</si>
  <si>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</si>
  <si>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</si>
  <si>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</si>
  <si>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</si>
  <si>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</si>
  <si>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</si>
  <si>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</si>
  <si>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</si>
  <si>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</si>
  <si>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</si>
  <si>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</si>
  <si>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</si>
  <si>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</si>
  <si>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</si>
  <si>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</si>
  <si>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</si>
  <si>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</si>
  <si>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</si>
  <si>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</si>
  <si>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</si>
  <si>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</si>
  <si>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</si>
  <si>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</si>
  <si>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</si>
  <si>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</si>
  <si>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</si>
  <si>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</si>
  <si>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</si>
  <si>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</si>
  <si>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</si>
  <si>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</si>
  <si>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</si>
  <si>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</si>
  <si>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</si>
  <si>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</si>
  <si>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</si>
  <si>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</si>
  <si>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</si>
  <si>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</si>
  <si>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</si>
  <si>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</si>
  <si>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</si>
  <si>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</si>
  <si>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</si>
  <si>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</si>
  <si>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</si>
  <si>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</si>
  <si>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</si>
  <si>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</si>
  <si>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</si>
  <si>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</si>
  <si>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</si>
  <si>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</si>
  <si>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</si>
  <si>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</si>
  <si>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</si>
  <si>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</si>
  <si>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</si>
  <si>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</si>
  <si>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</si>
  <si>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</si>
  <si>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</si>
  <si>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</si>
  <si>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</si>
  <si>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</si>
  <si>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</si>
  <si>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</si>
  <si>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</si>
  <si>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</si>
  <si>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</si>
  <si>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</si>
  <si>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</si>
  <si>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</si>
  <si>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</si>
  <si>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</si>
  <si>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</si>
  <si>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</si>
  <si>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</si>
  <si>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</si>
  <si>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</si>
  <si>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</si>
  <si>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</si>
  <si>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</si>
  <si>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</si>
  <si>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</si>
  <si>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</si>
  <si>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</si>
  <si>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</si>
  <si>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</si>
  <si>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</si>
  <si>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</si>
  <si>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</si>
  <si>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</si>
  <si>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</si>
  <si>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</si>
  <si>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</si>
  <si>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</si>
  <si>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</si>
  <si>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</si>
  <si>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</si>
  <si>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</si>
  <si>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</si>
  <si>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</si>
  <si>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</si>
  <si>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</si>
  <si>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</si>
  <si>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</si>
  <si>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</si>
  <si>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</si>
  <si>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</si>
  <si>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</si>
  <si>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</si>
  <si>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</si>
  <si>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</si>
  <si>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</si>
  <si>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</si>
  <si>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</si>
  <si>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</si>
  <si>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</si>
  <si>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</si>
  <si>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</si>
  <si>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</si>
  <si>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</si>
  <si>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</si>
  <si>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</si>
  <si>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</si>
  <si>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</si>
  <si>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</si>
  <si>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</si>
  <si>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</si>
  <si>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</si>
  <si>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</si>
  <si>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</si>
  <si>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</si>
  <si>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</si>
  <si>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</si>
  <si>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</si>
  <si>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</si>
  <si>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</si>
  <si>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</si>
  <si>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</si>
  <si>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</si>
  <si>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</si>
  <si>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</si>
  <si>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</si>
  <si>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</si>
  <si>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</si>
  <si>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</si>
  <si>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</si>
  <si>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</si>
  <si>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</si>
  <si>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</si>
  <si>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</si>
  <si>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</si>
  <si>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</si>
  <si>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</si>
  <si>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</si>
  <si>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</si>
  <si>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</si>
  <si>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</si>
  <si>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</si>
  <si>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</si>
  <si>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</si>
  <si>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</si>
  <si>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</si>
  <si>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</si>
  <si>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</si>
  <si>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</si>
  <si>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</si>
  <si>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</si>
  <si>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</si>
  <si>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</si>
  <si>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</si>
  <si>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</si>
  <si>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</si>
  <si>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</si>
  <si>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</si>
  <si>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</si>
  <si>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</si>
  <si>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</si>
  <si>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</si>
  <si>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</si>
  <si>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</si>
  <si>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</si>
  <si>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</si>
  <si>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</si>
  <si>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</si>
  <si>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</si>
  <si>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</si>
  <si>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</si>
  <si>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</si>
  <si>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</si>
  <si>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</si>
  <si>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</si>
  <si>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</si>
  <si>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</si>
  <si>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</si>
  <si>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</si>
  <si>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</si>
  <si>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</si>
  <si>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</si>
  <si>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</si>
  <si>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</si>
  <si>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</si>
  <si>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</si>
  <si>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</si>
  <si>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</si>
  <si>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</si>
  <si>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</si>
  <si>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</si>
  <si>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</si>
  <si>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</si>
  <si>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</si>
  <si>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</si>
  <si>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</si>
  <si>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</si>
  <si>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</si>
  <si>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</si>
  <si>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</si>
  <si>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</si>
  <si>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</si>
  <si>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</si>
  <si>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</si>
  <si>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</si>
  <si>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</si>
  <si>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</si>
  <si>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</si>
  <si>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</si>
  <si>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</si>
  <si>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</si>
  <si>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</si>
  <si>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</si>
  <si>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</si>
  <si>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</si>
  <si>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</si>
  <si>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</si>
  <si>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</si>
  <si>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</si>
  <si>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</si>
  <si>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</si>
  <si>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</si>
  <si>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</si>
  <si>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</si>
  <si>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</si>
  <si>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</si>
  <si>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</si>
  <si>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</si>
  <si>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</si>
  <si>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</si>
  <si>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</si>
  <si>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</si>
  <si>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</si>
  <si>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</si>
  <si>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</si>
  <si>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</si>
  <si>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</si>
  <si>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</si>
  <si>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</si>
  <si>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</si>
  <si>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</si>
  <si>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</si>
  <si>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</si>
  <si>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</si>
  <si>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</si>
  <si>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</si>
  <si>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</si>
  <si>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</si>
  <si>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</si>
  <si>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</si>
  <si>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</si>
  <si>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</si>
  <si>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</si>
  <si>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</si>
  <si>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</si>
  <si>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</si>
  <si>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</si>
  <si>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</si>
  <si>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</si>
  <si>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</si>
  <si>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</si>
  <si>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</si>
  <si>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</si>
  <si>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</si>
  <si>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</si>
  <si>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</si>
  <si>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</si>
  <si>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</si>
  <si>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</si>
  <si>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</si>
  <si>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</si>
  <si>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</si>
  <si>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</si>
  <si>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</si>
  <si>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</si>
  <si>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</si>
  <si>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</si>
  <si>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</si>
  <si>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</si>
  <si>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</si>
  <si>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</si>
  <si>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</si>
  <si>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</si>
  <si>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</si>
  <si>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</si>
  <si>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</si>
  <si>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</si>
  <si>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</si>
  <si>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</si>
  <si>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</si>
  <si>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</si>
  <si>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</si>
  <si>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</si>
  <si>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</si>
  <si>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</si>
  <si>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</si>
  <si>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</si>
  <si>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</si>
  <si>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</si>
  <si>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</si>
  <si>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</si>
  <si>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</si>
  <si>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</si>
  <si>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</si>
  <si>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</si>
  <si>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</si>
  <si>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</si>
  <si>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</si>
  <si>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</si>
  <si>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</si>
  <si>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</si>
  <si>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</si>
  <si>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</si>
  <si>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</si>
  <si>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</si>
  <si>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</si>
  <si>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</si>
  <si>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</si>
  <si>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</si>
  <si>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</si>
  <si>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</si>
  <si>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</si>
  <si>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</si>
  <si>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</si>
  <si>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</si>
  <si>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</si>
  <si>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</si>
  <si>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</si>
  <si>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</si>
  <si>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</si>
  <si>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</si>
  <si>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</si>
  <si>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</si>
  <si>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</si>
  <si>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</si>
  <si>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</si>
  <si>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</si>
  <si>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</si>
  <si>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</si>
  <si>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</si>
  <si>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</si>
  <si>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</si>
  <si>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</si>
  <si>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</si>
  <si>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</si>
  <si>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</si>
  <si>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</si>
  <si>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</si>
  <si>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</si>
  <si>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</si>
  <si>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</si>
  <si>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</si>
  <si>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</si>
  <si>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</si>
  <si>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</si>
  <si>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</si>
  <si>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</si>
  <si>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</si>
  <si>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</si>
  <si>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</si>
  <si>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</si>
  <si>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</si>
  <si>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</si>
  <si>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</si>
  <si>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</si>
  <si>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</si>
  <si>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</si>
  <si>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</si>
  <si>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</si>
  <si>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</si>
  <si>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</si>
  <si>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</si>
  <si>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</si>
  <si>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</si>
  <si>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</si>
  <si>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</si>
  <si>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</si>
  <si>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</si>
  <si>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</si>
  <si>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</si>
  <si>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</si>
  <si>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</si>
  <si>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</si>
  <si>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</si>
  <si>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</si>
  <si>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</si>
  <si>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</si>
  <si>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</si>
  <si>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</si>
  <si>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</si>
  <si>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</si>
  <si>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</si>
  <si>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</si>
  <si>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</si>
  <si>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</si>
  <si>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</si>
  <si>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</si>
  <si>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</si>
  <si>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</si>
  <si>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</si>
  <si>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</si>
  <si>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</si>
  <si>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</si>
  <si>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</si>
  <si>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</si>
  <si>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</si>
  <si>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</si>
  <si>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</si>
  <si>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</si>
  <si>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</si>
  <si>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</si>
  <si>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</si>
  <si>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</si>
  <si>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</si>
  <si>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</si>
  <si>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</si>
  <si>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</si>
  <si>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</si>
  <si>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</si>
  <si>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</si>
  <si>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</si>
  <si>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</si>
  <si>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</si>
  <si>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</si>
  <si>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</si>
  <si>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</si>
  <si>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</si>
  <si>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</si>
  <si>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</si>
  <si>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</si>
  <si>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</si>
  <si>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</si>
  <si>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</si>
  <si>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</si>
  <si>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</si>
  <si>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</si>
  <si>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</si>
  <si>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</si>
  <si>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</si>
  <si>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</si>
  <si>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</si>
  <si>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</si>
  <si>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</si>
  <si>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</si>
  <si>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</si>
  <si>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</si>
  <si>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</si>
  <si>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</si>
  <si>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</si>
  <si>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</si>
  <si>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</si>
  <si>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</si>
  <si>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</si>
  <si>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</si>
  <si>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</si>
  <si>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</si>
  <si>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</si>
  <si>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</si>
  <si>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</si>
  <si>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</si>
  <si>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</si>
  <si>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</si>
  <si>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</si>
  <si>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</si>
  <si>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</si>
  <si>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</si>
  <si>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</si>
  <si>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</si>
  <si>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</si>
  <si>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</si>
  <si>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</si>
  <si>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</si>
  <si>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</si>
  <si>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</si>
  <si>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</si>
  <si>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</si>
  <si>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</si>
  <si>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</si>
  <si>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</si>
  <si>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</si>
  <si>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</si>
  <si>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</si>
  <si>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</si>
  <si>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</si>
  <si>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</si>
  <si>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</si>
  <si>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</si>
  <si>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</si>
  <si>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</si>
  <si>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</si>
  <si>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</si>
  <si>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</si>
  <si>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</si>
  <si>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</si>
  <si>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</si>
  <si>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</si>
  <si>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</si>
  <si>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</si>
  <si>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</si>
  <si>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</si>
  <si>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</si>
  <si>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</si>
  <si>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</si>
  <si>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</si>
  <si>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</si>
  <si>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</si>
  <si>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</si>
  <si>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</si>
  <si>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</si>
  <si>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</si>
  <si>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</si>
  <si>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</si>
  <si>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</si>
  <si>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</si>
  <si>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</si>
  <si>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</si>
  <si>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</si>
  <si>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</si>
  <si>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</si>
  <si>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</si>
  <si>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</si>
  <si>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</si>
  <si>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</si>
  <si>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</si>
  <si>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</si>
  <si>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</si>
  <si>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</si>
  <si>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</si>
  <si>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</si>
  <si>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</si>
  <si>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</si>
  <si>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</si>
  <si>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</si>
  <si>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</si>
  <si>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</si>
  <si>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</si>
  <si>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</si>
  <si>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</si>
  <si>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</si>
  <si>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</si>
  <si>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</si>
  <si>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</si>
  <si>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</si>
  <si>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</si>
  <si>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</si>
  <si>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</si>
  <si>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</si>
  <si>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</si>
  <si>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</si>
  <si>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</si>
  <si>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</si>
  <si>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</si>
  <si>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</si>
  <si>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</si>
  <si>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</si>
  <si>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</si>
  <si>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</si>
  <si>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</si>
  <si>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</si>
  <si>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</si>
  <si>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</si>
  <si>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</si>
  <si>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</si>
  <si>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</si>
  <si>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</si>
  <si>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</si>
  <si>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</si>
  <si>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</si>
  <si>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</si>
  <si>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</si>
  <si>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</si>
  <si>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</si>
  <si>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</si>
  <si>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</si>
  <si>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</si>
  <si>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</si>
  <si>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</si>
  <si>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</si>
  <si>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</si>
  <si>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</si>
  <si>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</si>
  <si>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</si>
  <si>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</si>
  <si>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</si>
  <si>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</si>
  <si>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</si>
  <si>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</si>
  <si>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</si>
  <si>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</si>
  <si>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</si>
  <si>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</si>
  <si>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</si>
  <si>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</si>
  <si>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</si>
  <si>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</si>
  <si>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</si>
  <si>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</si>
  <si>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</si>
  <si>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</si>
  <si>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</si>
  <si>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</si>
  <si>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</si>
  <si>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</si>
  <si>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</si>
  <si>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</si>
  <si>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</si>
  <si>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</si>
  <si>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</si>
  <si>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</si>
  <si>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</si>
  <si>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</si>
  <si>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</si>
  <si>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</si>
  <si>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</si>
  <si>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</si>
  <si>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</si>
  <si>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</si>
  <si>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</si>
  <si>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</si>
  <si>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</si>
  <si>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</si>
  <si>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</si>
  <si>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</si>
  <si>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</si>
  <si>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</si>
  <si>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</si>
  <si>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</si>
  <si>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</si>
  <si>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</si>
  <si>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</si>
  <si>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</si>
  <si>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</si>
  <si>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</si>
  <si>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</si>
  <si>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</si>
  <si>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</si>
  <si>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</si>
  <si>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</si>
  <si>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</si>
  <si>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</si>
  <si>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</si>
  <si>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</si>
  <si>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</si>
  <si>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</si>
  <si>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</si>
  <si>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</si>
  <si>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</si>
  <si>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</si>
  <si>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</si>
  <si>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</si>
  <si>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</si>
  <si>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</si>
  <si>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</si>
  <si>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</si>
  <si>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</si>
  <si>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</si>
  <si>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</si>
  <si>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</si>
  <si>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</si>
  <si>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</si>
  <si>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</si>
  <si>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</si>
  <si>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</si>
  <si>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</si>
  <si>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</si>
  <si>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</si>
  <si>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</si>
  <si>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</si>
  <si>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</si>
  <si>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</si>
  <si>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</si>
  <si>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</si>
  <si>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</si>
  <si>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</si>
  <si>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</si>
  <si>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</si>
  <si>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</si>
  <si>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</si>
  <si>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</si>
  <si>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</si>
  <si>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</si>
  <si>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</si>
  <si>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</si>
  <si>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</si>
  <si>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</si>
  <si>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</si>
  <si>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</si>
  <si>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</si>
  <si>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</si>
  <si>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</si>
  <si>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</si>
  <si>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</si>
  <si>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</si>
  <si>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</si>
  <si>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</si>
  <si>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</si>
  <si>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</si>
  <si>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</si>
  <si>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</si>
  <si>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</si>
  <si>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</si>
  <si>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</si>
  <si>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</si>
  <si>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</si>
  <si>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</si>
  <si>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</si>
  <si>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</si>
  <si>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</si>
  <si>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</si>
  <si>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</si>
  <si>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</si>
  <si>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</si>
  <si>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</si>
  <si>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</si>
  <si>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</si>
  <si>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</si>
  <si>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</si>
  <si>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</si>
  <si>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</si>
  <si>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</si>
  <si>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</si>
  <si>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</si>
  <si>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</si>
  <si>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</si>
  <si>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</si>
  <si>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</si>
  <si>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</si>
  <si>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</si>
  <si>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</si>
  <si>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</si>
  <si>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</si>
  <si>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</si>
  <si>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</si>
  <si>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</si>
  <si>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</si>
  <si>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</si>
  <si>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</si>
  <si>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</si>
  <si>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</si>
  <si>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</si>
  <si>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</si>
  <si>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</si>
  <si>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</si>
  <si>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</si>
  <si>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</si>
  <si>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</si>
  <si>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</si>
  <si>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</si>
  <si>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</si>
  <si>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</si>
  <si>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</si>
  <si>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</si>
  <si>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</si>
  <si>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</si>
  <si>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</si>
  <si>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</si>
  <si>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</si>
  <si>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</si>
  <si>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</si>
  <si>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</si>
  <si>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</si>
  <si>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</si>
  <si>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</si>
  <si>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</si>
  <si>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</si>
  <si>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</si>
  <si>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</si>
  <si>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</si>
  <si>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</si>
  <si>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</si>
  <si>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</si>
  <si>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</si>
  <si>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</si>
  <si>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</si>
  <si>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</si>
  <si>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</si>
  <si>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</si>
  <si>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</si>
  <si>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</si>
  <si>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</si>
  <si>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</si>
  <si>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</si>
  <si>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</si>
  <si>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</si>
  <si>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</si>
  <si>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</si>
  <si>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</si>
  <si>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</si>
  <si>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</si>
  <si>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</si>
  <si>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</si>
  <si>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</si>
  <si>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</si>
  <si>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</si>
  <si>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</si>
  <si>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</si>
  <si>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</si>
  <si>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</si>
  <si>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</si>
  <si>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</si>
  <si>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</si>
  <si>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</si>
  <si>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</si>
  <si>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</si>
  <si>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</si>
  <si>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</si>
  <si>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</si>
  <si>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</si>
  <si>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</si>
  <si>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</si>
  <si>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</si>
  <si>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</si>
  <si>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</si>
  <si>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</si>
  <si>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</si>
  <si>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</si>
  <si>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</si>
  <si>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</si>
  <si>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</si>
  <si>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</si>
  <si>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</si>
  <si>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</si>
  <si>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</si>
  <si>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</si>
  <si>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</si>
  <si>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</si>
  <si>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</si>
  <si>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</si>
  <si>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</si>
  <si>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</si>
  <si>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</si>
  <si>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</si>
  <si>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</si>
  <si>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</si>
  <si>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</si>
  <si>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</si>
  <si>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</si>
  <si>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</si>
  <si>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</si>
  <si>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</si>
  <si>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</si>
  <si>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</si>
  <si>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</si>
  <si>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</si>
  <si>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</si>
  <si>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</si>
  <si>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</si>
  <si>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</si>
  <si>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</si>
  <si>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</si>
  <si>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</si>
  <si>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</si>
  <si>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</si>
  <si>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</si>
  <si>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</si>
  <si>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</si>
  <si>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</si>
  <si>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</si>
  <si>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</si>
  <si>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</si>
  <si>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</si>
  <si>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</si>
  <si>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</si>
  <si>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</si>
  <si>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</si>
  <si>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</si>
  <si>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</si>
  <si>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</si>
  <si>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</si>
  <si>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</si>
  <si>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</si>
  <si>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</si>
  <si>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</si>
  <si>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</si>
  <si>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</si>
  <si>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</si>
  <si>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</si>
  <si>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</si>
  <si>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</si>
  <si>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</si>
  <si>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</si>
  <si>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</si>
  <si>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</si>
  <si>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</si>
  <si>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</si>
  <si>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</si>
  <si>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</si>
  <si>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</si>
  <si>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</si>
  <si>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</si>
  <si>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</si>
  <si>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</si>
  <si>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</si>
  <si>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</si>
  <si>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</si>
  <si>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</si>
  <si>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</si>
  <si>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</si>
  <si>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</si>
  <si>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</si>
  <si>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</si>
  <si>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</si>
  <si>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</si>
  <si>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</si>
  <si>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</si>
  <si>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</si>
  <si>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</si>
  <si>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</si>
  <si>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</si>
  <si>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</si>
  <si>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</si>
  <si>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</si>
  <si>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</si>
  <si>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</si>
  <si>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</si>
  <si>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</si>
  <si>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</si>
  <si>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</si>
  <si>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</si>
  <si>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</si>
  <si>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</si>
  <si>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</si>
  <si>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</si>
  <si>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</si>
  <si>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</si>
  <si>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</si>
  <si>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</si>
  <si>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</si>
  <si>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</si>
  <si>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</si>
  <si>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</si>
  <si>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</si>
  <si>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</si>
  <si>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</si>
  <si>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</si>
  <si>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</si>
  <si>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</si>
  <si>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</si>
  <si>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</si>
  <si>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</si>
  <si>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</si>
  <si>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</si>
  <si>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</si>
  <si>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</si>
  <si>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</si>
  <si>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</si>
  <si>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</si>
  <si>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</si>
  <si>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</si>
  <si>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</si>
  <si>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</si>
  <si>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</si>
  <si>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</si>
  <si>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</si>
  <si>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</si>
  <si>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</si>
  <si>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</si>
  <si>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</si>
  <si>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</si>
  <si>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</si>
  <si>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</si>
  <si>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</si>
  <si>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</si>
  <si>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</si>
  <si>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</si>
  <si>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</si>
  <si>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</si>
  <si>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</si>
  <si>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</si>
  <si>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</si>
  <si>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</si>
  <si>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</si>
  <si>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</si>
  <si>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</si>
  <si>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</si>
  <si>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</si>
  <si>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</si>
  <si>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</si>
  <si>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</si>
  <si>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</si>
  <si>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</si>
  <si>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</si>
  <si>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</si>
  <si>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</si>
  <si>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</si>
  <si>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</si>
  <si>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</si>
  <si>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</si>
  <si>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</si>
  <si>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</si>
  <si>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</si>
  <si>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</si>
  <si>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</si>
  <si>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</si>
  <si>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</si>
  <si>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</si>
  <si>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</si>
  <si>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</si>
  <si>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</si>
  <si>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</si>
  <si>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</si>
  <si>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</si>
  <si>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</si>
  <si>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</si>
  <si>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</si>
  <si>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</si>
  <si>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</si>
  <si>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</si>
  <si>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</si>
  <si>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</si>
  <si>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</si>
  <si>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</si>
  <si>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</si>
  <si>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</si>
  <si>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</si>
  <si>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</si>
  <si>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</si>
  <si>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</si>
  <si>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</si>
  <si>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</si>
  <si>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</si>
  <si>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</si>
  <si>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</si>
  <si>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</si>
  <si>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</si>
  <si>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</si>
  <si>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</si>
  <si>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</si>
  <si>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</si>
  <si>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</si>
  <si>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</si>
  <si>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</si>
  <si>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</si>
  <si>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</si>
  <si>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</si>
  <si>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</si>
  <si>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</si>
  <si>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</si>
  <si>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</si>
  <si>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</si>
  <si>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</si>
  <si>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</si>
  <si>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</si>
  <si>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</si>
  <si>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</si>
  <si>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</si>
  <si>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</si>
  <si>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</si>
  <si>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</si>
  <si>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</si>
  <si>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</si>
  <si>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</si>
  <si>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</si>
  <si>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</si>
  <si>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</si>
  <si>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</si>
  <si>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</si>
  <si>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</si>
  <si>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</si>
  <si>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</si>
  <si>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</si>
  <si>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</si>
  <si>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</si>
  <si>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</si>
  <si>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</si>
  <si>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</si>
  <si>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</si>
  <si>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</si>
  <si>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</si>
  <si>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</si>
  <si>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</si>
  <si>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</si>
  <si>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</si>
  <si>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</si>
  <si>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</si>
  <si>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</si>
  <si>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</si>
  <si>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</si>
  <si>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</si>
  <si>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</si>
  <si>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</si>
  <si>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</si>
  <si>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</si>
  <si>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</si>
  <si>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</si>
  <si>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</si>
  <si>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</si>
  <si>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</si>
  <si>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</si>
  <si>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</si>
  <si>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</si>
  <si>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</si>
  <si>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</si>
  <si>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</si>
  <si>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</si>
  <si>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</si>
  <si>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</si>
  <si>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</si>
  <si>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</si>
  <si>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</si>
  <si>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</si>
  <si>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</si>
  <si>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</si>
  <si>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</si>
  <si>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</si>
  <si>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</si>
  <si>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</si>
  <si>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</si>
  <si>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</si>
  <si>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</si>
  <si>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</si>
  <si>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</si>
  <si>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</si>
  <si>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</si>
  <si>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</si>
  <si>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</si>
  <si>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</si>
  <si>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</si>
  <si>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</si>
  <si>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</si>
  <si>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</si>
  <si>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</si>
  <si>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</si>
  <si>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</si>
  <si>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</si>
  <si>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</si>
  <si>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</si>
  <si>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</si>
  <si>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</si>
  <si>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</si>
  <si>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</si>
  <si>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</si>
  <si>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</si>
  <si>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</si>
  <si>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</si>
  <si>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</si>
  <si>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</si>
  <si>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</si>
  <si>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</si>
  <si>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</si>
  <si>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</si>
  <si>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</si>
  <si>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</si>
  <si>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</si>
  <si>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</si>
  <si>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</si>
  <si>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</si>
  <si>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</si>
  <si>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</si>
  <si>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</si>
  <si>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</si>
  <si>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</si>
  <si>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</si>
  <si>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</si>
  <si>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</si>
  <si>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</si>
  <si>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</si>
  <si>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</si>
  <si>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</si>
  <si>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</si>
  <si>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</si>
  <si>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</si>
  <si>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</si>
  <si>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</si>
  <si>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</si>
  <si>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</si>
  <si>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</si>
  <si>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</si>
  <si>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</si>
  <si>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</si>
  <si>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</si>
  <si>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</si>
  <si>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</si>
  <si>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</si>
  <si>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</si>
  <si>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</si>
  <si>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</si>
  <si>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</si>
  <si>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</si>
  <si>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</si>
  <si>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</si>
  <si>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</si>
  <si>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</si>
  <si>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</si>
  <si>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</si>
  <si>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</si>
  <si>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</si>
  <si>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</si>
  <si>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</si>
  <si>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</si>
  <si>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</si>
  <si>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</si>
  <si>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</si>
  <si>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</si>
  <si>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</si>
  <si>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</si>
  <si>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</si>
  <si>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</si>
  <si>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</si>
  <si>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</si>
  <si>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</si>
  <si>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</si>
  <si>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</si>
  <si>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</si>
  <si>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</si>
  <si>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</si>
  <si>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</si>
  <si>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</si>
  <si>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</si>
  <si>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</si>
  <si>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</si>
  <si>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</si>
  <si>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</si>
  <si>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</si>
  <si>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</si>
  <si>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</si>
  <si>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</si>
  <si>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</si>
  <si>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</si>
  <si>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</si>
  <si>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</si>
  <si>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</si>
  <si>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</si>
  <si>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</si>
  <si>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</si>
  <si>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</si>
  <si>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</si>
  <si>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</si>
  <si>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</si>
  <si>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</si>
  <si>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</si>
  <si>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</si>
  <si>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</si>
  <si>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</si>
  <si>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</si>
  <si>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</si>
  <si>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</si>
  <si>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</si>
  <si>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</si>
  <si>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</si>
  <si>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</si>
  <si>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</si>
  <si>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</si>
  <si>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</si>
  <si>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</si>
  <si>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</si>
  <si>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</si>
  <si>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</si>
  <si>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</si>
  <si>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</si>
  <si>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</si>
  <si>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</si>
  <si>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</si>
  <si>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</si>
  <si>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</si>
  <si>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</si>
  <si>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</si>
  <si>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</si>
  <si>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</si>
  <si>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</si>
  <si>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</si>
  <si>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</si>
  <si>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</si>
  <si>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</si>
  <si>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</si>
  <si>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</si>
  <si>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</si>
  <si>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</si>
  <si>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</si>
  <si>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</si>
  <si>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</si>
  <si>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</si>
  <si>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</si>
  <si>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</si>
  <si>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</si>
  <si>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</si>
  <si>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</si>
  <si>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</si>
  <si>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</si>
  <si>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</si>
  <si>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</si>
  <si>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</si>
  <si>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</si>
  <si>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</si>
  <si>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</si>
  <si>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</si>
  <si>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</si>
  <si>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</si>
  <si>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</si>
  <si>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</si>
  <si>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</si>
  <si>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</si>
  <si>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</si>
  <si>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</si>
  <si>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</si>
  <si>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</si>
  <si>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</si>
  <si>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</si>
  <si>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</si>
  <si>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</si>
  <si>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</si>
  <si>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</si>
  <si>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</si>
  <si>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</si>
  <si>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</si>
  <si>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</si>
  <si>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</si>
  <si>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</si>
  <si>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</si>
  <si>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</si>
  <si>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</si>
  <si>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</si>
  <si>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</si>
  <si>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</si>
  <si>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</si>
  <si>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</si>
  <si>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</si>
  <si>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</si>
  <si>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</si>
  <si>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</si>
  <si>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</si>
  <si>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</si>
  <si>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</si>
  <si>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</si>
  <si>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</si>
  <si>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</si>
  <si>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</si>
  <si>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</si>
  <si>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</si>
  <si>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</si>
  <si>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</si>
  <si>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</si>
  <si>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</si>
  <si>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</si>
  <si>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</si>
  <si>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</si>
  <si>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</si>
  <si>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</si>
  <si>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</si>
  <si>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</si>
  <si>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</si>
  <si>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</si>
  <si>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</si>
  <si>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</si>
  <si>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</si>
  <si>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</si>
  <si>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</si>
  <si>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</si>
  <si>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</si>
  <si>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</si>
  <si>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</si>
  <si>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</si>
  <si>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</si>
  <si>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</si>
  <si>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</si>
  <si>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</si>
  <si>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</si>
  <si>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</si>
  <si>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</si>
  <si>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</si>
  <si>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</si>
  <si>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</si>
  <si>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</si>
  <si>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</si>
  <si>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</si>
  <si>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</si>
  <si>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</si>
  <si>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</si>
  <si>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</si>
  <si>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</si>
  <si>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</si>
  <si>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</si>
  <si>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</si>
  <si>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</si>
  <si>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</si>
  <si>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</si>
  <si>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</si>
  <si>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</si>
  <si>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</si>
  <si>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</si>
  <si>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</si>
  <si>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</si>
  <si>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</si>
  <si>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</si>
  <si>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</si>
  <si>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</si>
  <si>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</si>
  <si>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</si>
  <si>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</si>
  <si>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</si>
  <si>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</si>
  <si>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</si>
  <si>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</si>
  <si>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</si>
  <si>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</si>
  <si>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</si>
  <si>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</si>
  <si>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</si>
  <si>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</si>
  <si>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</si>
  <si>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</si>
  <si>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</si>
  <si>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</si>
  <si>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</si>
  <si>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</si>
  <si>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</si>
  <si>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</si>
  <si>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</si>
  <si>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</si>
  <si>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</si>
  <si>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</si>
  <si>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</si>
  <si>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</si>
  <si>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</si>
  <si>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</si>
  <si>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</si>
  <si>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</si>
  <si>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</si>
  <si>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</si>
  <si>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</si>
  <si>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</si>
  <si>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</si>
  <si>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</si>
  <si>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</si>
  <si>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</si>
  <si>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</si>
  <si>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</si>
  <si>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</si>
  <si>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</si>
  <si>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</si>
  <si>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</si>
  <si>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</si>
  <si>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</si>
  <si>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</si>
  <si>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</si>
  <si>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</si>
  <si>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</si>
  <si>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</si>
  <si>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</si>
  <si>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</si>
  <si>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</si>
  <si>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</si>
  <si>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</si>
  <si>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</si>
  <si>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</si>
  <si>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</si>
  <si>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</si>
  <si>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</si>
  <si>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</si>
  <si>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</si>
  <si>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</si>
  <si>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</si>
  <si>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</si>
  <si>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</si>
  <si>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</si>
  <si>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</si>
  <si>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</si>
  <si>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</si>
  <si>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</si>
  <si>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</si>
  <si>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</si>
  <si>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</si>
  <si>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</si>
  <si>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</si>
  <si>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</si>
  <si>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</si>
  <si>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</si>
  <si>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</si>
  <si>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</si>
  <si>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</si>
  <si>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</si>
  <si>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</si>
  <si>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</si>
  <si>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</si>
  <si>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</si>
  <si>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</si>
  <si>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</si>
  <si>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</si>
  <si>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</si>
  <si>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</si>
  <si>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</si>
  <si>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</si>
  <si>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</si>
  <si>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</si>
  <si>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</si>
  <si>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</si>
  <si>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</si>
  <si>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</si>
  <si>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</si>
  <si>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</si>
  <si>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</si>
  <si>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</si>
  <si>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</si>
  <si>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</si>
  <si>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</si>
  <si>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</si>
  <si>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</si>
  <si>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</si>
  <si>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</si>
  <si>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</si>
  <si>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</si>
  <si>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</si>
  <si>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</si>
  <si>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</si>
  <si>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</si>
  <si>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</si>
  <si>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</si>
  <si>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</si>
  <si>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</si>
  <si>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</si>
  <si>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</si>
  <si>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</si>
  <si>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</si>
  <si>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</si>
  <si>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</si>
  <si>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</si>
  <si>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</si>
  <si>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</si>
  <si>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</si>
  <si>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</si>
  <si>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</si>
  <si>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</si>
  <si>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</si>
  <si>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</si>
  <si>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</si>
  <si>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</si>
  <si>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</si>
  <si>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</si>
  <si>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</si>
  <si>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</si>
  <si>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</si>
  <si>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</si>
  <si>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</si>
  <si>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</si>
  <si>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</si>
  <si>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</si>
  <si>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</si>
  <si>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</si>
  <si>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</si>
  <si>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</si>
  <si>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</si>
  <si>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</si>
  <si>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</si>
  <si>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</si>
  <si>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</si>
  <si>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</si>
  <si>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</si>
  <si>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</si>
  <si>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</si>
  <si>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</si>
  <si>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</si>
  <si>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</si>
  <si>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</si>
  <si>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</si>
  <si>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</si>
  <si>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</si>
  <si>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</si>
  <si>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</si>
  <si>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</si>
  <si>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</si>
  <si>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</si>
  <si>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</si>
  <si>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</si>
  <si>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</si>
  <si>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</si>
  <si>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</si>
  <si>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</si>
  <si>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</si>
  <si>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</si>
  <si>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</si>
  <si>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</si>
  <si>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</si>
  <si>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</si>
  <si>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</si>
  <si>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</si>
  <si>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</si>
  <si>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</si>
  <si>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</si>
  <si>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</si>
  <si>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</si>
  <si>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</si>
  <si>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</si>
  <si>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</si>
  <si>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</si>
  <si>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</si>
  <si>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</si>
  <si>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</si>
  <si>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</si>
  <si>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</si>
  <si>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</si>
  <si>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</si>
  <si>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</si>
  <si>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</si>
  <si>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</si>
  <si>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</si>
  <si>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</si>
  <si>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</si>
  <si>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</si>
  <si>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</si>
  <si>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</si>
  <si>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</si>
  <si>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</si>
  <si>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</si>
  <si>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</si>
  <si>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</si>
  <si>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</si>
  <si>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</si>
  <si>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</si>
  <si>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</si>
  <si>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</si>
  <si>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</si>
  <si>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</si>
  <si>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</si>
  <si>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</si>
  <si>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</si>
  <si>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</si>
  <si>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</si>
  <si>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</si>
  <si>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</si>
  <si>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</si>
  <si>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</si>
  <si>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</si>
  <si>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</si>
  <si>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</si>
  <si>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</si>
  <si>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</si>
  <si>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</si>
  <si>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</si>
  <si>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</si>
  <si>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</si>
  <si>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</si>
  <si>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</si>
  <si>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</si>
  <si>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</si>
  <si>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</si>
  <si>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</si>
  <si>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</si>
  <si>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</si>
  <si>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</si>
  <si>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</si>
  <si>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</si>
  <si>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</si>
  <si>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</si>
  <si>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</si>
  <si>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</si>
  <si>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</si>
  <si>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</si>
  <si>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</si>
  <si>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</si>
  <si>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</si>
  <si>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</si>
  <si>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</si>
  <si>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</si>
  <si>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</si>
  <si>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</si>
  <si>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</si>
  <si>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</si>
  <si>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</si>
  <si>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</si>
  <si>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</si>
  <si>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</si>
  <si>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</si>
  <si>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</si>
  <si>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</si>
  <si>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</si>
  <si>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</si>
  <si>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</si>
  <si>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</si>
  <si>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</si>
  <si>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</si>
  <si>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</si>
  <si>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</si>
  <si>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</si>
  <si>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</si>
  <si>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</si>
  <si>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</si>
  <si>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</si>
  <si>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</si>
  <si>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</si>
  <si>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</si>
  <si>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</si>
  <si>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</si>
  <si>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</si>
  <si>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</si>
  <si>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</si>
  <si>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</si>
  <si>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</si>
  <si>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</si>
  <si>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</si>
  <si>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</si>
  <si>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</si>
  <si>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</si>
  <si>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</si>
  <si>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</si>
  <si>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</si>
  <si>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</si>
  <si>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</si>
  <si>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</si>
  <si>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</si>
  <si>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</si>
  <si>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</si>
  <si>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</si>
  <si>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</si>
  <si>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</si>
  <si>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</si>
  <si>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</si>
  <si>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</si>
  <si>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</si>
  <si>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</si>
  <si>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</si>
  <si>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</si>
  <si>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</si>
  <si>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</si>
  <si>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</si>
  <si>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</si>
  <si>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</si>
  <si>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</si>
  <si>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</si>
  <si>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</si>
  <si>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</si>
  <si>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</si>
  <si>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</si>
  <si>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</si>
  <si>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</si>
  <si>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</si>
  <si>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</si>
  <si>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</si>
  <si>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</si>
  <si>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</si>
  <si>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</si>
  <si>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</si>
  <si>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</si>
  <si>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</si>
  <si>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</si>
  <si>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</si>
  <si>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</si>
  <si>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</si>
  <si>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</si>
  <si>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</si>
  <si>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</si>
  <si>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</si>
  <si>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</si>
  <si>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</si>
  <si>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</si>
  <si>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</si>
  <si>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</si>
  <si>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</si>
  <si>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</si>
  <si>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</si>
  <si>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</si>
  <si>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</si>
  <si>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</si>
  <si>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</si>
  <si>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</si>
  <si>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</si>
  <si>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</si>
  <si>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</si>
  <si>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</si>
  <si>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</si>
  <si>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</si>
  <si>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</si>
  <si>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</si>
  <si>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</si>
  <si>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</si>
  <si>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</si>
  <si>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</si>
  <si>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</si>
  <si>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</si>
  <si>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</si>
  <si>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</si>
  <si>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</si>
  <si>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</si>
  <si>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</si>
  <si>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</si>
  <si>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</si>
  <si>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</si>
  <si>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</si>
  <si>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</si>
  <si>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</si>
  <si>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</si>
  <si>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</si>
  <si>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</si>
  <si>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</si>
  <si>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</si>
  <si>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</si>
  <si>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</si>
  <si>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</si>
  <si>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</si>
  <si>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</si>
  <si>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</si>
  <si>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</si>
  <si>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</si>
  <si>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</si>
  <si>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</si>
  <si>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</si>
  <si>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</si>
  <si>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</si>
  <si>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</si>
  <si>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</si>
  <si>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</si>
  <si>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</si>
  <si>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</si>
  <si>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</si>
  <si>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</si>
  <si>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</si>
  <si>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</si>
  <si>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</si>
  <si>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</si>
  <si>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</si>
  <si>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</si>
  <si>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</si>
  <si>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</si>
  <si>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</si>
  <si>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</si>
  <si>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</si>
  <si>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</si>
  <si>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</si>
  <si>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</si>
  <si>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</si>
  <si>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</si>
  <si>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</si>
  <si>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</si>
  <si>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</si>
  <si>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</si>
  <si>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</si>
  <si>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</si>
  <si>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</si>
  <si>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</si>
  <si>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</si>
  <si>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</si>
  <si>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</si>
  <si>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</si>
  <si>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</si>
  <si>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</si>
  <si>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</si>
  <si>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</si>
  <si>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</si>
  <si>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</si>
  <si>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</si>
  <si>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</si>
  <si>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</si>
  <si>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</si>
  <si>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</si>
  <si>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</si>
  <si>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</si>
  <si>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</si>
  <si>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</si>
  <si>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</si>
  <si>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</si>
  <si>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</si>
  <si>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</si>
  <si>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</si>
  <si>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</si>
  <si>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</si>
  <si>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</si>
  <si>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</si>
  <si>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</si>
  <si>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</si>
  <si>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</si>
  <si>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</si>
  <si>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</si>
  <si>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</si>
  <si>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</si>
  <si>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</si>
  <si>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</si>
  <si>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</si>
  <si>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</si>
  <si>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</si>
  <si>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</si>
  <si>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</si>
  <si>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</si>
  <si>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</si>
  <si>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</si>
  <si>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</si>
  <si>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</si>
  <si>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</si>
  <si>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</si>
  <si>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</si>
  <si>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</si>
  <si>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</si>
  <si>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</si>
  <si>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</si>
  <si>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</si>
  <si>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</si>
  <si>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</si>
  <si>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</si>
  <si>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</si>
  <si>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</si>
  <si>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</si>
  <si>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</si>
  <si>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</si>
  <si>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</si>
  <si>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</si>
  <si>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</si>
  <si>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</si>
  <si>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</si>
  <si>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</si>
  <si>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</si>
  <si>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</si>
  <si>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</si>
  <si>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</si>
  <si>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</si>
  <si>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</si>
  <si>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</si>
  <si>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</si>
  <si>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</si>
  <si>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</si>
  <si>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</si>
  <si>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</si>
  <si>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</si>
  <si>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</si>
  <si>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</si>
  <si>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</si>
  <si>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</si>
  <si>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</si>
  <si>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</si>
  <si>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</si>
  <si>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</si>
  <si>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</si>
  <si>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</si>
  <si>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</si>
  <si>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</si>
  <si>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</si>
  <si>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</si>
  <si>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</si>
  <si>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</si>
  <si>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</si>
  <si>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</si>
  <si>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</si>
  <si>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</si>
  <si>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</si>
  <si>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</si>
  <si>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</si>
  <si>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</si>
  <si>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</si>
  <si>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</si>
  <si>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</si>
  <si>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</si>
  <si>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</si>
  <si>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</si>
  <si>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</si>
  <si>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</si>
  <si>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</si>
  <si>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</si>
  <si>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</si>
  <si>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</si>
  <si>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</si>
  <si>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</si>
  <si>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</si>
  <si>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</si>
  <si>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</si>
  <si>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</si>
  <si>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</si>
  <si>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</si>
  <si>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</si>
  <si>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</si>
  <si>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</si>
  <si>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</si>
  <si>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</si>
  <si>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</si>
  <si>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</si>
  <si>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</si>
  <si>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</si>
  <si>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</si>
  <si>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</si>
  <si>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</si>
  <si>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</si>
  <si>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</si>
  <si>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</si>
  <si>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</si>
  <si>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</si>
  <si>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</si>
  <si>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</si>
  <si>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</si>
  <si>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</si>
  <si>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</si>
  <si>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</si>
  <si>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</si>
  <si>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</si>
  <si>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</si>
  <si>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</si>
  <si>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</si>
  <si>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</si>
  <si>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</si>
  <si>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</si>
  <si>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</si>
  <si>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</si>
  <si>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</si>
  <si>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</si>
  <si>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</si>
  <si>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</si>
  <si>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</si>
  <si>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</si>
  <si>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</si>
  <si>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</si>
  <si>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</si>
  <si>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</si>
  <si>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</si>
  <si>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</si>
  <si>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</si>
  <si>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</si>
  <si>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</si>
  <si>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</si>
  <si>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</si>
  <si>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</si>
  <si>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</si>
  <si>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</si>
  <si>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</si>
  <si>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</si>
  <si>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</si>
  <si>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</si>
  <si>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</si>
  <si>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</si>
  <si>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</si>
  <si>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</si>
  <si>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</si>
  <si>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</si>
  <si>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</si>
  <si>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</si>
  <si>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</si>
  <si>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</si>
  <si>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</si>
  <si>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</si>
  <si>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</si>
  <si>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</si>
  <si>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</si>
  <si>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</si>
  <si>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</si>
  <si>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</si>
  <si>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</si>
  <si>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</si>
  <si>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</si>
  <si>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</si>
  <si>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</si>
  <si>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</si>
  <si>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</si>
  <si>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</si>
  <si>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</si>
  <si>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</si>
  <si>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</si>
  <si>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</si>
  <si>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</si>
  <si>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</si>
  <si>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</si>
  <si>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</si>
  <si>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</si>
  <si>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</si>
  <si>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</si>
  <si>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</si>
  <si>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</si>
  <si>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</si>
  <si>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</si>
  <si>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</si>
  <si>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</si>
  <si>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</si>
  <si>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</si>
  <si>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</si>
  <si>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</si>
  <si>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</si>
  <si>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</si>
  <si>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</si>
  <si>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</si>
  <si>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</si>
  <si>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</si>
  <si>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</si>
  <si>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</si>
  <si>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</si>
  <si>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</si>
  <si>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</si>
  <si>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</si>
  <si>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</si>
  <si>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</si>
  <si>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</si>
  <si>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</si>
  <si>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</si>
  <si>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</si>
  <si>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</si>
  <si>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</si>
  <si>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</si>
  <si>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</si>
  <si>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</si>
  <si>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</si>
  <si>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</si>
  <si>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</si>
  <si>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</si>
  <si>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</si>
  <si>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</si>
  <si>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</si>
  <si>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</si>
  <si>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</si>
  <si>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</si>
  <si>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</si>
  <si>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</si>
  <si>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</si>
  <si>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</si>
  <si>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</si>
  <si>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</si>
  <si>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</si>
  <si>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</si>
  <si>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</si>
  <si>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</si>
  <si>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</si>
  <si>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</si>
  <si>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</si>
  <si>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</si>
  <si>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</si>
  <si>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</si>
  <si>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</si>
  <si>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</si>
  <si>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</si>
  <si>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</si>
  <si>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</si>
  <si>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</si>
  <si>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</si>
  <si>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</si>
  <si>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</si>
  <si>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</si>
  <si>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</si>
  <si>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</si>
  <si>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</si>
  <si>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</si>
  <si>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</si>
  <si>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</si>
  <si>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</si>
  <si>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</si>
  <si>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</si>
  <si>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</si>
  <si>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</si>
  <si>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</si>
  <si>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</si>
  <si>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</si>
  <si>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</si>
  <si>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</si>
  <si>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</si>
  <si>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</si>
  <si>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</si>
  <si>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</si>
  <si>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</si>
  <si>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</si>
  <si>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</si>
  <si>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</si>
  <si>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</si>
  <si>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</si>
  <si>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</si>
  <si>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</si>
  <si>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</si>
  <si>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</si>
  <si>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</si>
  <si>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</si>
  <si>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</si>
  <si>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</si>
  <si>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</si>
  <si>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</si>
  <si>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</si>
  <si>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</si>
  <si>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</si>
  <si>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</si>
  <si>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</si>
  <si>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</si>
  <si>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</si>
  <si>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</si>
  <si>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</si>
  <si>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</si>
  <si>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</si>
  <si>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</si>
  <si>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</si>
  <si>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</si>
  <si>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</si>
  <si>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</si>
  <si>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</si>
  <si>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</si>
  <si>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</si>
  <si>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</si>
  <si>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</si>
  <si>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</si>
  <si>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</si>
  <si>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</si>
  <si>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</si>
  <si>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</si>
  <si>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</si>
  <si>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</si>
  <si>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</si>
  <si>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</si>
  <si>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</si>
  <si>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</si>
  <si>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</si>
  <si>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</si>
  <si>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</si>
  <si>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</si>
  <si>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</si>
  <si>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</si>
  <si>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</si>
  <si>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</si>
  <si>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</si>
  <si>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</si>
  <si>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</si>
  <si>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</si>
  <si>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</si>
  <si>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</si>
  <si>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</si>
  <si>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</si>
  <si>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</si>
  <si>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</si>
  <si>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</si>
  <si>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</si>
  <si>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</si>
  <si>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</si>
  <si>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</si>
  <si>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</si>
  <si>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</si>
  <si>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</si>
  <si>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</si>
  <si>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</si>
  <si>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</si>
  <si>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</si>
  <si>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</si>
  <si>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</si>
  <si>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</si>
  <si>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</si>
  <si>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</si>
  <si>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</si>
  <si>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</si>
  <si>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</si>
  <si>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</si>
  <si>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</si>
  <si>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</si>
  <si>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</si>
  <si>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</si>
  <si>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</si>
  <si>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</si>
  <si>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</si>
  <si>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</si>
  <si>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</si>
  <si>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</si>
  <si>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</si>
  <si>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</si>
  <si>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</si>
  <si>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</si>
  <si>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</si>
  <si>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</si>
  <si>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</si>
  <si>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</si>
  <si>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</si>
  <si>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</si>
  <si>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</si>
  <si>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</si>
  <si>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</si>
  <si>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</si>
  <si>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</si>
  <si>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</si>
  <si>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</si>
  <si>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</si>
  <si>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</si>
  <si>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</si>
  <si>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</si>
  <si>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</si>
  <si>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</si>
  <si>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</si>
  <si>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</si>
  <si>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</si>
  <si>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</si>
  <si>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</si>
  <si>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</si>
  <si>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</si>
  <si>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</si>
  <si>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</si>
  <si>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</si>
  <si>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</si>
  <si>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</si>
  <si>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</si>
  <si>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</si>
  <si>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</si>
  <si>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</si>
  <si>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</si>
  <si>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</si>
  <si>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</si>
  <si>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</si>
  <si>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</si>
  <si>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</si>
  <si>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</si>
  <si>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</si>
  <si>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</si>
  <si>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</si>
  <si>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</si>
  <si>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</si>
  <si>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</si>
  <si>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</si>
  <si>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</si>
  <si>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</si>
  <si>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</si>
  <si>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</si>
  <si>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</si>
  <si>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</si>
  <si>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</si>
  <si>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</si>
  <si>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</si>
  <si>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</si>
  <si>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</si>
  <si>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</si>
  <si>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</si>
  <si>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</si>
  <si>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</si>
  <si>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</si>
  <si>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</si>
  <si>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</si>
  <si>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</si>
  <si>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</si>
  <si>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</si>
  <si>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</si>
  <si>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</si>
  <si>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</si>
  <si>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</si>
  <si>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</si>
  <si>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</si>
  <si>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</si>
  <si>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</si>
  <si>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</si>
  <si>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</si>
  <si>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</si>
  <si>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</si>
  <si>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</si>
  <si>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</si>
  <si>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</si>
  <si>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</si>
  <si>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</si>
  <si>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</si>
  <si>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</si>
  <si>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</si>
  <si>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</si>
  <si>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</si>
  <si>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</si>
  <si>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</si>
  <si>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</si>
  <si>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</si>
  <si>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</si>
  <si>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</si>
  <si>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</si>
  <si>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</si>
  <si>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</si>
  <si>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</si>
  <si>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</si>
  <si>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</si>
  <si>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</si>
  <si>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</si>
  <si>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</si>
  <si>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</si>
  <si>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</si>
  <si>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</si>
  <si>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</si>
  <si>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</si>
  <si>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</si>
  <si>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</si>
  <si>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</si>
  <si>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</si>
  <si>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</si>
  <si>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</si>
  <si>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</si>
  <si>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</si>
  <si>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</si>
  <si>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</si>
  <si>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</si>
  <si>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</si>
  <si>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</si>
  <si>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</si>
  <si>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</si>
  <si>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</si>
  <si>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</si>
  <si>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</si>
  <si>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</si>
  <si>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</si>
  <si>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</si>
  <si>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</si>
  <si>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</si>
  <si>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</si>
  <si>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</si>
  <si>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</si>
  <si>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</si>
  <si>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</si>
  <si>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</si>
  <si>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</si>
  <si>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</si>
  <si>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</si>
  <si>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</si>
  <si>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</si>
  <si>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</si>
  <si>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</si>
  <si>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</si>
  <si>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</si>
  <si>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</si>
  <si>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</si>
  <si>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</si>
  <si>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</si>
  <si>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</si>
  <si>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</si>
  <si>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</si>
  <si>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</si>
  <si>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</si>
  <si>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</si>
  <si>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</si>
  <si>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</si>
  <si>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</si>
  <si>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</si>
  <si>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</si>
  <si>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</si>
  <si>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</si>
  <si>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</si>
  <si>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</si>
  <si>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</si>
  <si>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</si>
  <si>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</si>
  <si>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</si>
  <si>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</si>
  <si>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</si>
  <si>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</si>
  <si>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</si>
  <si>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</si>
  <si>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</si>
  <si>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</si>
  <si>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</si>
  <si>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</si>
  <si>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</si>
  <si>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</si>
  <si>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</si>
  <si>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</si>
  <si>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</si>
  <si>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</si>
  <si>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</si>
  <si>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</si>
  <si>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</si>
  <si>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</si>
  <si>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</si>
  <si>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</si>
  <si>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</si>
  <si>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</si>
  <si>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</si>
  <si>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</si>
  <si>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</si>
  <si>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</si>
  <si>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</si>
  <si>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</si>
  <si>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</si>
  <si>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</si>
  <si>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</si>
  <si>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</si>
  <si>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</si>
  <si>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</si>
  <si>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</si>
  <si>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</si>
  <si>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</si>
  <si>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</si>
  <si>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</si>
  <si>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</si>
  <si>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</si>
  <si>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</si>
  <si>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</si>
  <si>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</si>
  <si>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</si>
  <si>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</si>
  <si>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</si>
  <si>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</si>
  <si>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</si>
  <si>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</si>
  <si>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</si>
  <si>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</si>
  <si>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</si>
  <si>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</si>
  <si>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</si>
  <si>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</si>
  <si>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</si>
  <si>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</si>
  <si>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</si>
  <si>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</si>
  <si>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</si>
  <si>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</si>
  <si>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</si>
  <si>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</si>
  <si>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</si>
  <si>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</si>
  <si>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</si>
  <si>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</si>
  <si>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</si>
  <si>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</si>
  <si>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</si>
  <si>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</si>
  <si>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</si>
  <si>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</si>
  <si>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</si>
  <si>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</si>
  <si>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</si>
  <si>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</si>
  <si>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</si>
  <si>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</si>
  <si>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</si>
  <si>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</si>
  <si>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</si>
  <si>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</si>
  <si>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</si>
  <si>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</si>
  <si>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</si>
  <si>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</si>
  <si>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</si>
  <si>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</si>
  <si>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</si>
  <si>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</si>
  <si>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</si>
  <si>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</si>
  <si>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</si>
  <si>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</si>
  <si>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</si>
  <si>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</si>
  <si>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</si>
  <si>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</si>
  <si>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</si>
  <si>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</si>
  <si>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</si>
  <si>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</si>
  <si>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</si>
  <si>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</si>
  <si>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</si>
  <si>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</si>
  <si>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</si>
  <si>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</si>
  <si>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</si>
  <si>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</si>
  <si>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</si>
  <si>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</si>
  <si>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</si>
  <si>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</si>
  <si>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</si>
  <si>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</si>
  <si>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</si>
  <si>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</si>
  <si>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</si>
  <si>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</si>
  <si>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</si>
  <si>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</si>
  <si>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</si>
  <si>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</si>
  <si>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</si>
  <si>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</si>
  <si>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</si>
  <si>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</si>
  <si>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</si>
  <si>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</si>
  <si>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</si>
  <si>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</si>
  <si>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</si>
  <si>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</si>
  <si>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</si>
  <si>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</si>
  <si>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</si>
  <si>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</si>
  <si>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</si>
  <si>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</si>
  <si>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</si>
  <si>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</si>
  <si>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</si>
  <si>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</si>
  <si>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</si>
  <si>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</si>
  <si>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</si>
  <si>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</si>
  <si>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</si>
  <si>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</si>
  <si>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</si>
  <si>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</si>
  <si>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</si>
  <si>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</si>
  <si>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</si>
  <si>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</si>
  <si>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</si>
  <si>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</si>
  <si>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</si>
  <si>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</si>
  <si>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</si>
  <si>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</si>
  <si>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</si>
  <si>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</si>
  <si>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</si>
  <si>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</si>
  <si>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</si>
  <si>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</si>
  <si>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</si>
  <si>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</si>
  <si>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</si>
  <si>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</si>
  <si>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</si>
  <si>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</si>
  <si>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</si>
  <si>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</si>
  <si>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</si>
  <si>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</si>
  <si>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</si>
  <si>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</si>
  <si>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</si>
  <si>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</si>
  <si>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</si>
  <si>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</si>
  <si>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</si>
  <si>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</si>
  <si>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</si>
  <si>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</si>
  <si>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</si>
  <si>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</si>
  <si>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</si>
  <si>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</si>
  <si>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</si>
  <si>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</si>
  <si>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</si>
  <si>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</si>
  <si>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</si>
  <si>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</si>
  <si>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</si>
  <si>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</si>
  <si>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</si>
  <si>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</si>
  <si>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</si>
  <si>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</si>
  <si>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</si>
  <si>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</si>
  <si>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</si>
  <si>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</si>
  <si>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</si>
  <si>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</si>
  <si>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</si>
  <si>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</si>
  <si>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</si>
  <si>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</si>
  <si>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</si>
  <si>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</si>
  <si>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</si>
  <si>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</si>
  <si>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</si>
  <si>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</si>
  <si>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</si>
  <si>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</si>
  <si>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</si>
  <si>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</si>
  <si>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</si>
  <si>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</si>
  <si>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</si>
  <si>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</si>
  <si>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</si>
  <si>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</si>
  <si>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</si>
  <si>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</si>
  <si>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</si>
  <si>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</si>
  <si>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</si>
  <si>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</si>
  <si>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</si>
  <si>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</si>
  <si>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</si>
  <si>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</si>
  <si>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</si>
  <si>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</si>
  <si>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</si>
  <si>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</si>
  <si>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</si>
  <si>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</si>
  <si>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</si>
  <si>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</si>
  <si>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</si>
  <si>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</si>
  <si>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</si>
  <si>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</si>
  <si>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</si>
  <si>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</si>
  <si>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</si>
  <si>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</si>
  <si>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</si>
  <si>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</si>
  <si>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</si>
  <si>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</si>
  <si>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</si>
  <si>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</si>
  <si>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</si>
  <si>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</si>
  <si>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</si>
  <si>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</si>
  <si>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</si>
  <si>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</si>
  <si>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</si>
  <si>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</si>
  <si>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</si>
  <si>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</si>
  <si>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</si>
  <si>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</si>
  <si>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</si>
  <si>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</si>
  <si>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</si>
  <si>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</si>
  <si>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</si>
  <si>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</si>
  <si>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</si>
  <si>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</si>
  <si>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</si>
  <si>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</si>
  <si>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</si>
  <si>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</si>
  <si>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</si>
  <si>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</si>
  <si>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</si>
  <si>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</si>
  <si>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</si>
  <si>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</si>
  <si>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</si>
  <si>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</si>
  <si>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</si>
  <si>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</si>
  <si>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</si>
  <si>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</si>
  <si>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</si>
  <si>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</si>
  <si>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</si>
  <si>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</si>
  <si>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</si>
  <si>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</si>
  <si>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</si>
  <si>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</si>
  <si>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</si>
  <si>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</si>
  <si>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</si>
  <si>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</si>
  <si>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</si>
  <si>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</si>
  <si>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</si>
  <si>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</si>
  <si>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</si>
  <si>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</si>
  <si>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</si>
  <si>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</si>
  <si>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</si>
  <si>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</si>
  <si>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</si>
  <si>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</si>
  <si>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</si>
  <si>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</si>
  <si>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</si>
  <si>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</si>
  <si>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</si>
  <si>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</si>
  <si>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</si>
  <si>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</si>
  <si>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</si>
  <si>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</si>
  <si>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</si>
  <si>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</si>
  <si>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</si>
  <si>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</si>
  <si>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</si>
  <si>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</si>
  <si>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</si>
  <si>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</si>
  <si>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</si>
  <si>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</si>
  <si>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</si>
  <si>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</si>
  <si>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</si>
  <si>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</si>
  <si>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</si>
  <si>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</si>
  <si>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</si>
  <si>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</si>
  <si>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</si>
  <si>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</si>
  <si>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</si>
  <si>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</si>
  <si>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</si>
  <si>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</si>
  <si>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</si>
  <si>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</si>
  <si>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</si>
  <si>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</si>
  <si>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</si>
  <si>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</si>
  <si>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</si>
  <si>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</si>
  <si>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</si>
  <si>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</si>
  <si>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</si>
  <si>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</si>
  <si>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</si>
  <si>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</si>
  <si>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</si>
  <si>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</si>
  <si>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</si>
  <si>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</si>
  <si>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</si>
  <si>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</si>
  <si>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</si>
  <si>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</si>
  <si>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</si>
  <si>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</si>
  <si>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</si>
  <si>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</si>
  <si>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</si>
  <si>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</si>
  <si>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</si>
  <si>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</si>
  <si>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</si>
  <si>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</si>
  <si>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</si>
  <si>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</si>
  <si>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</si>
  <si>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</si>
  <si>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</si>
  <si>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</si>
  <si>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</si>
  <si>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</si>
  <si>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</si>
  <si>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</si>
  <si>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</si>
  <si>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</si>
  <si>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</si>
  <si>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</si>
  <si>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</si>
  <si>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</si>
  <si>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</si>
  <si>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</si>
  <si>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</si>
  <si>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</si>
  <si>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</si>
  <si>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</si>
  <si>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</si>
  <si>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</si>
  <si>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</si>
  <si>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</si>
  <si>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</si>
  <si>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</si>
  <si>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</si>
  <si>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</si>
  <si>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</si>
  <si>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</si>
  <si>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</si>
  <si>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</si>
  <si>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</si>
  <si>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</si>
  <si>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</si>
  <si>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</si>
  <si>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</si>
  <si>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</si>
  <si>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</si>
  <si>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</si>
  <si>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</si>
  <si>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</si>
  <si>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</si>
  <si>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</si>
  <si>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</si>
  <si>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</si>
  <si>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</si>
  <si>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</si>
  <si>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</si>
  <si>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</si>
  <si>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</si>
  <si>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</si>
  <si>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</si>
  <si>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</si>
  <si>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</si>
  <si>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</si>
  <si>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</si>
  <si>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</si>
  <si>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</si>
  <si>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</si>
  <si>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</si>
  <si>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</si>
  <si>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</si>
  <si>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</si>
  <si>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</si>
  <si>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</si>
  <si>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</si>
  <si>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</si>
  <si>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</si>
  <si>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</si>
  <si>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</si>
  <si>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</si>
  <si>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</si>
  <si>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</si>
  <si>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</si>
  <si>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</si>
  <si>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</si>
  <si>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</si>
  <si>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</si>
  <si>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</si>
  <si>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</si>
  <si>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</si>
  <si>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</si>
  <si>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</si>
  <si>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</si>
  <si>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</si>
  <si>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</si>
  <si>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</si>
  <si>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</si>
  <si>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</si>
  <si>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</si>
  <si>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</si>
  <si>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</si>
  <si>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</si>
  <si>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</si>
  <si>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</si>
  <si>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</si>
  <si>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</si>
  <si>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</si>
  <si>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</si>
  <si>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</si>
  <si>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</si>
  <si>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</si>
  <si>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</si>
  <si>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</si>
  <si>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</si>
  <si>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</si>
  <si>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</si>
  <si>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</si>
  <si>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</si>
  <si>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</si>
  <si>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</si>
  <si>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</si>
  <si>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</si>
  <si>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</si>
  <si>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</si>
  <si>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</si>
  <si>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</si>
  <si>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</si>
  <si>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</si>
  <si>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</si>
  <si>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</si>
  <si>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</si>
  <si>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</si>
  <si>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</si>
  <si>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</si>
  <si>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</si>
  <si>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</si>
  <si>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</si>
  <si>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</si>
  <si>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</si>
  <si>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</si>
  <si>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</si>
  <si>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</si>
  <si>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</si>
  <si>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</si>
  <si>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</si>
  <si>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</si>
  <si>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</si>
  <si>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</si>
  <si>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</si>
  <si>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</si>
  <si>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</si>
  <si>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</si>
  <si>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</si>
  <si>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</si>
  <si>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</si>
  <si>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</si>
  <si>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</si>
  <si>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</si>
  <si>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</si>
  <si>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</si>
  <si>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</si>
  <si>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</si>
  <si>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</si>
  <si>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</si>
  <si>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</si>
  <si>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</si>
  <si>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</si>
  <si>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</si>
  <si>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</si>
  <si>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</si>
  <si>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</si>
  <si>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</si>
  <si>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</si>
  <si>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</si>
  <si>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</si>
  <si>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</si>
  <si>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</si>
  <si>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</si>
  <si>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</si>
  <si>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</si>
  <si>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</si>
  <si>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</si>
  <si>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</si>
  <si>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</si>
  <si>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</si>
  <si>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</si>
  <si>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</si>
  <si>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</si>
  <si>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</si>
  <si>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</si>
  <si>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</si>
  <si>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</si>
  <si>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</si>
  <si>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</si>
  <si>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</si>
  <si>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</si>
  <si>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</si>
  <si>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</si>
  <si>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</si>
  <si>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</si>
  <si>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</si>
  <si>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</si>
  <si>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</si>
  <si>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</si>
  <si>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</si>
  <si>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</si>
  <si>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</si>
  <si>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</si>
  <si>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</si>
  <si>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</si>
  <si>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</si>
  <si>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</si>
  <si>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</si>
  <si>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</si>
  <si>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</si>
  <si>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</si>
  <si>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</si>
  <si>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</si>
  <si>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</si>
  <si>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</si>
  <si>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</si>
  <si>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</si>
  <si>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</si>
  <si>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</si>
  <si>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</si>
  <si>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</si>
  <si>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</si>
  <si>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</si>
  <si>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</si>
  <si>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</si>
  <si>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</si>
  <si>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</si>
  <si>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</si>
  <si>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</si>
  <si>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</si>
  <si>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</si>
  <si>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</si>
  <si>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</si>
  <si>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</si>
  <si>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</si>
  <si>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</si>
  <si>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</si>
  <si>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</si>
  <si>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</si>
  <si>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</si>
  <si>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</si>
  <si>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</si>
  <si>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</si>
  <si>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</si>
  <si>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</si>
  <si>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</si>
  <si>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</si>
  <si>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</si>
  <si>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</si>
  <si>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</si>
  <si>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</si>
  <si>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</si>
  <si>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</si>
  <si>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</si>
  <si>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</si>
  <si>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</si>
  <si>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</si>
  <si>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</si>
  <si>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</si>
  <si>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</si>
  <si>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</si>
  <si>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</si>
  <si>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</si>
  <si>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</si>
  <si>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</si>
  <si>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</si>
  <si>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</si>
  <si>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</si>
  <si>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</si>
  <si>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</si>
  <si>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</si>
  <si>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</si>
  <si>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</si>
  <si>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</si>
  <si>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</si>
  <si>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</si>
  <si>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</si>
  <si>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</si>
  <si>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</si>
  <si>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</si>
  <si>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</si>
  <si>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</si>
  <si>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</si>
  <si>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</si>
  <si>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</si>
  <si>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</si>
  <si>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</si>
  <si>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</si>
  <si>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</si>
  <si>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</si>
  <si>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</si>
  <si>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</si>
  <si>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</si>
  <si>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</si>
  <si>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</si>
  <si>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</si>
  <si>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</si>
  <si>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</si>
  <si>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</si>
  <si>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</si>
  <si>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</si>
  <si>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</si>
  <si>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</si>
  <si>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</si>
  <si>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</si>
  <si>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</si>
  <si>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</si>
  <si>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</si>
  <si>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</si>
  <si>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</si>
  <si>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</si>
  <si>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</si>
  <si>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</si>
  <si>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</si>
  <si>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</si>
  <si>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</si>
  <si>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</si>
  <si>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</si>
  <si>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</si>
  <si>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</si>
  <si>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</si>
  <si>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</si>
  <si>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</si>
  <si>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</si>
  <si>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</si>
  <si>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</si>
  <si>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</si>
  <si>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</si>
  <si>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</si>
  <si>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</si>
  <si>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</si>
  <si>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</si>
  <si>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</si>
  <si>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</si>
  <si>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</si>
  <si>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</si>
  <si>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</si>
  <si>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</si>
  <si>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</si>
  <si>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</si>
  <si>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</si>
  <si>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</si>
  <si>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</si>
  <si>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</si>
  <si>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</si>
  <si>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</si>
  <si>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</si>
  <si>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</si>
  <si>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</si>
  <si>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抵押</t>
  </si>
  <si>
    <t>抵押价格</t>
  </si>
  <si>
    <t>其他：</t>
  </si>
  <si>
    <t>企业</t>
  </si>
  <si>
    <t>是</t>
  </si>
  <si>
    <t>地上</t>
  </si>
  <si>
    <t>否</t>
  </si>
  <si>
    <t>高邮市送桥镇人民政府</t>
  </si>
  <si>
    <t>已竣工</t>
  </si>
  <si>
    <t>已成交</t>
  </si>
  <si>
    <t>2022-07-22</t>
  </si>
  <si>
    <t>挂牌</t>
  </si>
  <si>
    <t>≥1.1,≤1.2</t>
  </si>
  <si>
    <t>70年</t>
  </si>
  <si>
    <t>城镇住宅-普通商品住房</t>
  </si>
  <si>
    <t>住宅用地</t>
  </si>
  <si>
    <t>X2022-3</t>
  </si>
  <si>
    <t>送桥</t>
  </si>
  <si>
    <t>高邮市</t>
  </si>
  <si>
    <t>高邮市送桥镇人民政府GXS2021030号</t>
  </si>
  <si>
    <t>≥1.4,≤1.5</t>
  </si>
  <si>
    <t>X2022-4</t>
  </si>
  <si>
    <t>高邮市送桥镇人民政府GXS2021031号</t>
  </si>
  <si>
    <t>≥1.5,≤1.6</t>
  </si>
  <si>
    <t>X2022-5</t>
  </si>
  <si>
    <t>高邮市送桥镇人民政府GXS2021032号</t>
  </si>
  <si>
    <t>高邮市建设投资发展集团有限公司</t>
  </si>
  <si>
    <t>2022-07-25</t>
  </si>
  <si>
    <t>≥1,≤1.5</t>
  </si>
  <si>
    <t>X2022-6</t>
  </si>
  <si>
    <t>高邮湖管委会</t>
  </si>
  <si>
    <t>高邮镇周庄路北侧、丁庄路西侧地块</t>
  </si>
  <si>
    <t>高邮市交通产业投资集团有限公司</t>
  </si>
  <si>
    <t>2022-08-25</t>
  </si>
  <si>
    <t>综合用地(含住宅)</t>
  </si>
  <si>
    <t>X2022-8</t>
  </si>
  <si>
    <t>高邮市京杭运河管理处</t>
  </si>
  <si>
    <t>开发区捍海路东侧、泰北路南侧</t>
  </si>
  <si>
    <t>≥1,≤1.3</t>
  </si>
  <si>
    <t>X2022-7</t>
  </si>
  <si>
    <t>开发区泰北路北侧、甓社路西侧</t>
  </si>
  <si>
    <t>高邮市水务产业投资集团有限公司</t>
  </si>
  <si>
    <t>2022-09-19</t>
  </si>
  <si>
    <t>≥1.3,≤1.8</t>
  </si>
  <si>
    <t>X2022-15</t>
  </si>
  <si>
    <t>高邮市高邮镇碧水新城南苑西侧、南关干渠北侧地块</t>
  </si>
  <si>
    <t>高邮市振驿新农村建设投资发展有限公司</t>
  </si>
  <si>
    <t>X2022-14</t>
  </si>
  <si>
    <t>高邮市东部新城G233西侧、通湖东路北侧地块</t>
  </si>
  <si>
    <t>X2022-13</t>
  </si>
  <si>
    <t>高邮市东部新城G233西侧、东园路东侧地块地块</t>
  </si>
  <si>
    <t>高邮市经济发展总公司</t>
  </si>
  <si>
    <t>2022-09-16</t>
  </si>
  <si>
    <t>X2022-11</t>
  </si>
  <si>
    <t>开发区兴业路西侧、安置小区五期北侧地块</t>
  </si>
  <si>
    <t>高邮市经济发展集团有限公司</t>
  </si>
  <si>
    <t>X2022-10</t>
  </si>
  <si>
    <t>开发区屏淮北路东侧、头闸干渠北侧地块</t>
  </si>
  <si>
    <t>≥1.2,≤1.7</t>
  </si>
  <si>
    <t>X2022-9</t>
  </si>
  <si>
    <t>开发区头闸干渠北侧、四贤路东侧地块</t>
  </si>
  <si>
    <t>高邮市好地方运河文化旅游开发集团有限公司</t>
  </si>
  <si>
    <t>X2022-12</t>
  </si>
  <si>
    <t>高邮市东部新城东园路东侧、人民路南侧地块</t>
  </si>
  <si>
    <t>2022-11-24</t>
  </si>
  <si>
    <t>X2022-18</t>
  </si>
  <si>
    <t>城南新区</t>
  </si>
  <si>
    <t>文游南路西侧、闸北路南侧2号地块</t>
  </si>
  <si>
    <t>徐荣林</t>
  </si>
  <si>
    <t>2022-11-25</t>
  </si>
  <si>
    <t>X2022-26</t>
  </si>
  <si>
    <t>八桥</t>
  </si>
  <si>
    <t>卸甲镇八桥片区商业东街东侧、区间路南侧</t>
  </si>
  <si>
    <t>≥1.5,≤2</t>
  </si>
  <si>
    <t>X2022-19</t>
  </si>
  <si>
    <t>文游南路东侧、闸北路南侧地块</t>
  </si>
  <si>
    <t>X2022-20</t>
  </si>
  <si>
    <t>屏淮南路西侧、盐河北侧地块</t>
  </si>
  <si>
    <t>2022-12-12</t>
  </si>
  <si>
    <t>X2022-27</t>
  </si>
  <si>
    <t>高邮经济开发区珠光路西侧、奥林路北侧</t>
  </si>
  <si>
    <t>X2022-28</t>
  </si>
  <si>
    <t>高邮经济开发区奥林路北侧、关河东路东侧</t>
  </si>
  <si>
    <t>X2022-29</t>
  </si>
  <si>
    <t>高邮经济开发区珠光路西侧、兴欣路北侧</t>
  </si>
  <si>
    <t>江苏鑫邮投资发展集团有限公司</t>
  </si>
  <si>
    <t>X2022-30</t>
  </si>
  <si>
    <t>高邮城南新区文游南路东侧、中心大道北侧地块</t>
  </si>
  <si>
    <t>X2022-31</t>
  </si>
  <si>
    <t>高邮城南新区中心大道北侧、鸿兴路西侧地块</t>
  </si>
  <si>
    <t>张士武</t>
  </si>
  <si>
    <t>已开工</t>
  </si>
  <si>
    <t>2023-07-31</t>
  </si>
  <si>
    <t>≥1,≤1.8</t>
  </si>
  <si>
    <t>X2023-7</t>
  </si>
  <si>
    <t>高邮镇和园住宅小区北侧A地块</t>
  </si>
  <si>
    <t>张俊</t>
  </si>
  <si>
    <t>≥1,≤1.7</t>
  </si>
  <si>
    <t>X2023-8</t>
  </si>
  <si>
    <t>高邮镇和园住宅小区北侧B地块</t>
  </si>
  <si>
    <t>X2023-5</t>
  </si>
  <si>
    <t>国雄路南侧、佳禾路西侧</t>
  </si>
  <si>
    <t>扬州四海置业有限公司</t>
  </si>
  <si>
    <t>X2023-6</t>
  </si>
  <si>
    <t>文游南路西侧、天骄园北侧</t>
  </si>
  <si>
    <t>2023-10-16</t>
  </si>
  <si>
    <t>X2023-26</t>
  </si>
  <si>
    <t>高邮市高邮镇武安路北侧、东园路东侧</t>
  </si>
  <si>
    <t>高邮市邮地实业投资有限公司</t>
  </si>
  <si>
    <t>X2023-29</t>
  </si>
  <si>
    <t>高邮镇G233西侧、高谢路北侧地块</t>
  </si>
  <si>
    <t>X2023-25</t>
  </si>
  <si>
    <t>高邮市高邮镇玉水路南侧、东园路东侧</t>
  </si>
  <si>
    <t>≥1.4,≤1.9</t>
  </si>
  <si>
    <t>X2023-27</t>
  </si>
  <si>
    <t>高邮镇G233西侧、高谢路南侧地块</t>
  </si>
  <si>
    <t>X2023-28</t>
  </si>
  <si>
    <t>高邮镇G233西侧、武安路北侧地块</t>
  </si>
  <si>
    <t>X2023-31</t>
  </si>
  <si>
    <t>界首</t>
  </si>
  <si>
    <t>界首镇富达路北侧、京杭路东侧地块</t>
  </si>
  <si>
    <t>X2023-30</t>
  </si>
  <si>
    <t>高邮镇东园路东侧、高谢路北侧地块</t>
  </si>
  <si>
    <t>2023-11-27</t>
  </si>
  <si>
    <t>X2023-32</t>
  </si>
  <si>
    <t>龙虬</t>
  </si>
  <si>
    <t>龙腾大道东侧、龙发路北侧</t>
  </si>
  <si>
    <t>高邮市水务产业集团有限公司</t>
  </si>
  <si>
    <t>X2023-34</t>
  </si>
  <si>
    <t>龙腾大道东侧、龙发路南侧二号地块</t>
  </si>
  <si>
    <t>X2023-33</t>
  </si>
  <si>
    <t>龙腾大道东侧、龙发路南侧一号地块</t>
  </si>
  <si>
    <t>2023-12-14</t>
  </si>
  <si>
    <t>X2023-35</t>
  </si>
  <si>
    <t>高邮市东部新城玉水路南侧、丰瑞路东侧</t>
  </si>
  <si>
    <t>2024-02-01</t>
  </si>
  <si>
    <t>≥1,≤1.6</t>
  </si>
  <si>
    <t>X2023-36</t>
  </si>
  <si>
    <t>高邮市高邮镇G233西侧、玉水路北侧地块</t>
  </si>
  <si>
    <t>江苏恒之祥建设工程有限公司</t>
  </si>
  <si>
    <t>2024-08-26</t>
  </si>
  <si>
    <t>2024-3</t>
  </si>
  <si>
    <t>卸甲</t>
  </si>
  <si>
    <t>卸甲镇海潮东路北侧、澄营公路东侧</t>
  </si>
  <si>
    <t>扬州聚源置业有限公司</t>
  </si>
  <si>
    <t>2024-08-30</t>
  </si>
  <si>
    <t>2024-6</t>
  </si>
  <si>
    <t>高邮镇东园路西侧、荆花路南侧</t>
  </si>
  <si>
    <t>江苏龙之源房地产有限公司</t>
  </si>
  <si>
    <t>2024-5</t>
  </si>
  <si>
    <t>高邮镇丰瑞路东侧、荆花路南侧</t>
  </si>
  <si>
    <t>扬州欣满园建设发展有限公司</t>
  </si>
  <si>
    <t>2024-09-25</t>
  </si>
  <si>
    <t>普通商品住房用地</t>
  </si>
  <si>
    <t>2024-7</t>
  </si>
  <si>
    <t>经济开发区珠光路西侧、洞庭湖路北侧</t>
  </si>
  <si>
    <t>高邮市国有资产投资管理控股(集团)有限公司</t>
  </si>
  <si>
    <t>2024-09-27</t>
  </si>
  <si>
    <t>2024-9</t>
  </si>
  <si>
    <t>高邮镇邮汉路南侧、丰瑞路东侧地块</t>
  </si>
  <si>
    <t>2024-09-29</t>
  </si>
  <si>
    <t>2024-10</t>
  </si>
  <si>
    <t>高邮镇东园路西侧、四达路北侧</t>
  </si>
  <si>
    <t>高邮市古驿名城房地产开发有限公司</t>
  </si>
  <si>
    <t>2024-10-10</t>
  </si>
  <si>
    <t>≥1.2,≤2</t>
  </si>
  <si>
    <t>2024-13</t>
  </si>
  <si>
    <t>玉水路北侧、丰瑞路西侧</t>
  </si>
  <si>
    <t>扬州湖韵置业有限公司</t>
  </si>
  <si>
    <t>2024-12</t>
  </si>
  <si>
    <t>东部新城高谢路北侧、丰瑞路东侧</t>
  </si>
  <si>
    <t>扬州致远置业有限公司</t>
  </si>
  <si>
    <t>2024-11-13</t>
  </si>
  <si>
    <t>2024-23</t>
  </si>
  <si>
    <t>汤庄</t>
  </si>
  <si>
    <t>汤庄镇通达路东侧、招贤路北侧</t>
  </si>
  <si>
    <t>2024-11-20</t>
  </si>
  <si>
    <t>2024-24</t>
  </si>
  <si>
    <t>东部新城G233东侧、通湖东路北侧</t>
  </si>
  <si>
    <t>2024-26</t>
  </si>
  <si>
    <t>东部新城绿杨路西侧、通湖东路北侧</t>
  </si>
  <si>
    <t>2024-25</t>
  </si>
  <si>
    <t>东部新城绿杨路西侧、十里村南侧</t>
  </si>
  <si>
    <t>2024-11-22</t>
  </si>
  <si>
    <t>2024-28</t>
  </si>
  <si>
    <t>东部新城绿杨路东侧、十里村双桥组南侧</t>
  </si>
  <si>
    <t>高邮市农文旅产业投资集团有限公司</t>
  </si>
  <si>
    <t>2024-29</t>
  </si>
  <si>
    <t>东部新城健民东路北侧、邮都大道西侧</t>
  </si>
  <si>
    <t>2024-31</t>
  </si>
  <si>
    <t>东部新城绿杨路东侧、冯家河南侧</t>
  </si>
  <si>
    <t>2025-01-08</t>
  </si>
  <si>
    <t>2024-32</t>
  </si>
  <si>
    <t>东部新城邮都大道西侧、冯家河南侧</t>
  </si>
  <si>
    <t>2024-30</t>
  </si>
  <si>
    <t>东部新城绿杨路东侧、健民路南侧</t>
  </si>
  <si>
    <t>高邮市兴众置业有限公司</t>
  </si>
  <si>
    <t>2024-38</t>
  </si>
  <si>
    <t>东部新城绿杨路西侧、健民路北侧</t>
  </si>
  <si>
    <t>2024-37</t>
  </si>
  <si>
    <t>东部新城规划道路东侧、健民路北侧</t>
  </si>
  <si>
    <t>2025-02-12</t>
  </si>
  <si>
    <t>2024-40</t>
  </si>
  <si>
    <t>经济开发区北关河北侧、兴业路东侧</t>
  </si>
  <si>
    <t>2024-41</t>
  </si>
  <si>
    <t>经济开发区北关河北侧、珠光路西侧</t>
  </si>
  <si>
    <t>2024-39</t>
  </si>
  <si>
    <t>经济开发区波司登大道南侧、兴业路东侧</t>
  </si>
  <si>
    <t>受让单位</t>
  </si>
  <si>
    <t>溢价率(%)</t>
  </si>
  <si>
    <t>成交楼面价(元/㎡)</t>
  </si>
  <si>
    <t>成交每亩价(万元/亩)</t>
  </si>
  <si>
    <t>成交价(万元)</t>
  </si>
  <si>
    <t>开工进度</t>
  </si>
  <si>
    <t>交易状态</t>
  </si>
  <si>
    <t>成交时间</t>
  </si>
  <si>
    <t>出让方式</t>
  </si>
  <si>
    <t>出让年限(年)</t>
  </si>
  <si>
    <t>详细规划</t>
  </si>
  <si>
    <t>用地性质</t>
  </si>
  <si>
    <t>规划建筑面积(㎡)</t>
  </si>
  <si>
    <t>建设用地面积(㎡)</t>
  </si>
  <si>
    <t>地块编号</t>
  </si>
  <si>
    <t>板块</t>
  </si>
  <si>
    <t>区县</t>
  </si>
  <si>
    <t>地块名称</t>
  </si>
  <si>
    <t>正常</t>
  </si>
  <si>
    <t>较差</t>
  </si>
  <si>
    <t>六通</t>
  </si>
  <si>
    <t>较好</t>
  </si>
  <si>
    <t>较规则</t>
    <phoneticPr fontId="3" type="noConversion"/>
  </si>
  <si>
    <t>较适宜</t>
    <phoneticPr fontId="3" type="noConversion"/>
  </si>
  <si>
    <t>较好</t>
    <phoneticPr fontId="3" type="noConversion"/>
  </si>
  <si>
    <t>无</t>
    <phoneticPr fontId="3" type="noConversion"/>
  </si>
  <si>
    <t>临近高压线</t>
    <phoneticPr fontId="3" type="noConversion"/>
  </si>
  <si>
    <t>较规则</t>
  </si>
  <si>
    <t>较适宜</t>
  </si>
  <si>
    <t>高邮</t>
    <phoneticPr fontId="3" type="noConversion"/>
  </si>
  <si>
    <t>地上</t>
    <phoneticPr fontId="3" type="noConversion"/>
  </si>
  <si>
    <t>地下</t>
    <phoneticPr fontId="3" type="noConversion"/>
  </si>
  <si>
    <t>吾悦龙蟠里</t>
    <phoneticPr fontId="3" type="noConversion"/>
  </si>
  <si>
    <t>绿地超级城市</t>
    <phoneticPr fontId="3" type="noConversion"/>
  </si>
  <si>
    <t>售价</t>
  </si>
  <si>
    <t>小高层</t>
  </si>
  <si>
    <t>钢混</t>
  </si>
  <si>
    <t>高档</t>
  </si>
  <si>
    <t>精装修</t>
  </si>
  <si>
    <t>专业</t>
  </si>
  <si>
    <t>平层</t>
  </si>
  <si>
    <t>毛坯</t>
  </si>
  <si>
    <t>高层</t>
  </si>
  <si>
    <t>小高层</t>
    <phoneticPr fontId="3" type="noConversion"/>
  </si>
  <si>
    <t>高档</t>
    <phoneticPr fontId="3" type="noConversion"/>
  </si>
  <si>
    <t>精装修</t>
    <phoneticPr fontId="3" type="noConversion"/>
  </si>
  <si>
    <t>专业</t>
    <phoneticPr fontId="3" type="noConversion"/>
  </si>
  <si>
    <t>平层</t>
    <phoneticPr fontId="3" type="noConversion"/>
  </si>
  <si>
    <t>毛坯</t>
    <phoneticPr fontId="3" type="noConversion"/>
  </si>
  <si>
    <t>鲁商·秦樾印象</t>
    <phoneticPr fontId="3" type="noConversion"/>
  </si>
  <si>
    <t>比较法-住宅、综合</t>
  </si>
  <si>
    <t>剩余法-待开发</t>
  </si>
  <si>
    <t>4000元/㎡(五级商服用途2021-01-01)</t>
  </si>
  <si>
    <t>40年</t>
  </si>
  <si>
    <t>B11零售商业用地</t>
  </si>
  <si>
    <t>商业/办公用地</t>
  </si>
  <si>
    <t>X2022-21</t>
  </si>
  <si>
    <t>城南经济新区中心大道北侧、鸿兴路东侧地块</t>
  </si>
  <si>
    <t/>
  </si>
  <si>
    <t>X2022-17</t>
  </si>
  <si>
    <t>文游南路西侧、闸北路南侧1号地块</t>
  </si>
  <si>
    <t>6200元/㎡(三级商服用途2021-01-01)</t>
  </si>
  <si>
    <t>2022-12-14</t>
  </si>
  <si>
    <t>≥0.7,≤1.2</t>
  </si>
  <si>
    <t>X2022-32</t>
  </si>
  <si>
    <t>高邮市东部新城盐河东侧、盐河之心A3地块北侧地块</t>
  </si>
  <si>
    <t>5000元/㎡(四级商服用途2021-01-01)</t>
  </si>
  <si>
    <t>2023-03-10</t>
  </si>
  <si>
    <t>≤0.5</t>
  </si>
  <si>
    <t>B21金融保险用地</t>
  </si>
  <si>
    <t>商务金融用地</t>
  </si>
  <si>
    <t>X2023-1</t>
  </si>
  <si>
    <t>高邮市盐河东侧、武安大桥南侧</t>
  </si>
  <si>
    <t>8400元/㎡(二级商服用途2021-01-01)</t>
  </si>
  <si>
    <t>2023-09-20</t>
  </si>
  <si>
    <t>≤1</t>
  </si>
  <si>
    <t>X2023-23</t>
  </si>
  <si>
    <t>高邮市中山路东侧、百岁巷南侧</t>
  </si>
  <si>
    <t>X2023-38</t>
  </si>
  <si>
    <t>高邮市城南经济新区中心大道北侧、兴盛路西侧</t>
  </si>
  <si>
    <t>2023-10-27</t>
  </si>
  <si>
    <t>X2023-39</t>
  </si>
  <si>
    <t>高邮市东部新城邮汉路北侧、珠光路西侧</t>
  </si>
  <si>
    <t>≥0.8,≤1.3</t>
  </si>
  <si>
    <t>X2023-42</t>
  </si>
  <si>
    <t>高邮市高邮镇环卫综合作业中心北侧、丰瑞路西侧地块</t>
  </si>
  <si>
    <t>≥0.1,≤0.6</t>
  </si>
  <si>
    <t>X2023-41</t>
  </si>
  <si>
    <t>高邮市东部新城邮汉路西段南侧、盐河东路西侧地块</t>
  </si>
  <si>
    <t>≥0.5,≤1</t>
  </si>
  <si>
    <t>X2023-40</t>
  </si>
  <si>
    <t>高邮市高邮镇连淮扬镇铁路西侧、十里村陆玉组北侧地块</t>
  </si>
  <si>
    <t>2023-11-15</t>
  </si>
  <si>
    <t>X2023-43</t>
  </si>
  <si>
    <t>高邮市城南经济新区新科路南侧、珠光南路东侧</t>
  </si>
  <si>
    <t>2023-12-01</t>
  </si>
  <si>
    <t>X2023-48</t>
  </si>
  <si>
    <t>高邮市城南经济新区新联路东侧、扬州市金穗机械有限公司北侧</t>
  </si>
  <si>
    <t>X2023-49</t>
  </si>
  <si>
    <t>高邮市城南经济新区新鹏路北侧、江苏省云鹏塑业有限公司西侧</t>
  </si>
  <si>
    <t>X2023-60</t>
  </si>
  <si>
    <t>高邮市城南经济新区鸿兴路东侧、江苏星浪光学仪器有限公司南侧</t>
  </si>
  <si>
    <t>2024-05-08</t>
  </si>
  <si>
    <t>X2024-1</t>
  </si>
  <si>
    <t>高邮城南经济新区中心大道北侧、兴盛路东侧地块</t>
  </si>
  <si>
    <t>2024-08-08</t>
  </si>
  <si>
    <t>≥0.3,≤1</t>
  </si>
  <si>
    <t>B1商业设施用地</t>
  </si>
  <si>
    <t>X2024-5</t>
  </si>
  <si>
    <t>老城区梁逸湾东侧、恒运制衣厂南侧</t>
  </si>
  <si>
    <t>2024-11</t>
  </si>
  <si>
    <t>城南经济新区鸿兴路东侧、蚕桑支渠北侧</t>
  </si>
  <si>
    <t>2024-10-30</t>
  </si>
  <si>
    <t>2024-21</t>
  </si>
  <si>
    <t>东部新城荆花路南侧、丰瑞路西侧</t>
  </si>
  <si>
    <t>B商业服务业设施用地</t>
  </si>
  <si>
    <t>2024-22</t>
  </si>
  <si>
    <t>东部新城东园路西侧、南澄子河北侧</t>
  </si>
  <si>
    <t>高邮宜居置业有限公司</t>
  </si>
  <si>
    <t>2024-12-04</t>
  </si>
  <si>
    <t>2024-27</t>
  </si>
  <si>
    <t>东部新城通湖东路南侧、规划道路东侧</t>
  </si>
  <si>
    <t>≥1,≤2</t>
  </si>
  <si>
    <t>2024-34</t>
  </si>
  <si>
    <t>东部新城海潮东路北侧、邮都大道西侧</t>
  </si>
  <si>
    <t>2024-35</t>
  </si>
  <si>
    <t>东部新城通湖东路南侧、规划道路西侧</t>
  </si>
  <si>
    <t>2024-36</t>
  </si>
  <si>
    <t>东部新城规划道路西侧、健民路北侧</t>
  </si>
  <si>
    <t>2024-33</t>
  </si>
  <si>
    <t>东部新城海潮东路北侧、绿杨路东侧</t>
  </si>
  <si>
    <t>高邮市城南园区建设有限公司</t>
  </si>
  <si>
    <t>2025-02-10</t>
  </si>
  <si>
    <t>2024-45</t>
  </si>
  <si>
    <t>城南经济新区新科路北侧、正通新路东侧</t>
  </si>
  <si>
    <t>2024-42</t>
  </si>
  <si>
    <t>城南经济新区蚕桑支路北侧、河流东侧</t>
  </si>
  <si>
    <t>2024-46</t>
  </si>
  <si>
    <t>蚕桑支路南侧、姜庄河西侧</t>
  </si>
  <si>
    <t>2024-44</t>
  </si>
  <si>
    <t>城南经济新区蚕桑支路北侧、正通新路东侧</t>
  </si>
  <si>
    <t>2024-43</t>
  </si>
  <si>
    <t>城南经济新区蚕桑支路北侧、正通新路西侧</t>
  </si>
  <si>
    <t>扬州飞娇酒店管理有限公司</t>
  </si>
  <si>
    <t>2025-02-14</t>
  </si>
  <si>
    <t>B14旅馆用地</t>
  </si>
  <si>
    <t>2025-4</t>
  </si>
  <si>
    <t>老城区屏淮南路西侧、新华东路南侧</t>
  </si>
  <si>
    <t>基准地价</t>
  </si>
  <si>
    <t>建设用地分类</t>
  </si>
  <si>
    <t>商业</t>
    <phoneticPr fontId="26" type="noConversion"/>
  </si>
  <si>
    <t>一般</t>
  </si>
  <si>
    <t>楼面地价</t>
  </si>
  <si>
    <t>押一</t>
  </si>
  <si>
    <t>砖混</t>
  </si>
  <si>
    <t>土地（套用方法）</t>
  </si>
  <si>
    <t>不动产收益法</t>
  </si>
  <si>
    <t>商务金融</t>
  </si>
  <si>
    <t>商务金融</t>
    <phoneticPr fontId="3" type="noConversion"/>
  </si>
  <si>
    <t>商务金融</t>
    <phoneticPr fontId="7" type="noConversion"/>
  </si>
  <si>
    <t>五通</t>
  </si>
  <si>
    <t>四通</t>
    <phoneticPr fontId="26" type="noConversion"/>
  </si>
  <si>
    <t>三通</t>
  </si>
  <si>
    <t>三通</t>
    <phoneticPr fontId="26" type="noConversion"/>
  </si>
  <si>
    <r>
      <t>40</t>
    </r>
    <r>
      <rPr>
        <sz val="11"/>
        <color indexed="8"/>
        <rFont val="宋体"/>
        <family val="3"/>
        <charset val="134"/>
      </rPr>
      <t>年</t>
    </r>
    <phoneticPr fontId="26" type="noConversion"/>
  </si>
  <si>
    <t>项目全部</t>
  </si>
  <si>
    <t>土地</t>
  </si>
  <si>
    <t>契税</t>
    <phoneticPr fontId="9" type="noConversion"/>
  </si>
  <si>
    <t>注销后放款</t>
  </si>
  <si>
    <t>总价</t>
    <phoneticPr fontId="8" type="noConversion"/>
  </si>
  <si>
    <t>税率</t>
    <phoneticPr fontId="8" type="noConversion"/>
  </si>
  <si>
    <t>https://jiangsu.chinatax.gov.cn/art/2021/8/4/art_7716_32761.html</t>
  </si>
  <si>
    <t>印花税</t>
    <phoneticPr fontId="9" type="noConversion"/>
  </si>
  <si>
    <t>契税印花税</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</si>
</sst>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7030A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applyAlignment="1">
      <alignment horizontal="left" vertical="center"/>
    </xf>
    <xf numFmtId="0" fontId="160" fillId="0" borderId="0" xfId="18" applyFont="1" applyAlignment="1">
      <alignment horizontal="left" vertical="center" wrapText="1"/>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0" fontId="140" fillId="0" borderId="11"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178" fontId="77" fillId="2" borderId="5" xfId="2" applyNumberFormat="1" applyFont="1" applyFill="1" applyBorder="1" applyProtection="1">
      <alignment vertical="center"/>
      <protection locked="0"/>
    </xf>
    <xf numFmtId="0" fontId="166" fillId="0" borderId="0" xfId="18" applyFont="1" applyAlignment="1">
      <alignment horizontal="left" vertical="center"/>
    </xf>
    <xf numFmtId="178" fontId="72" fillId="24" borderId="2" xfId="2" applyNumberFormat="1" applyFont="1" applyFill="1" applyBorder="1" applyAlignment="1" applyProtection="1">
      <alignment horizontal="center" vertical="center"/>
      <protection locked="0"/>
    </xf>
    <xf numFmtId="0" fontId="129" fillId="0" borderId="44" xfId="0" applyFont="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xf numFmtId="0" fontId="198" fillId="0" borderId="11" xfId="0" applyFont="1" applyBorder="1" applyAlignment="1" applyProtection="1">
      <alignment horizontal="center" vertical="center"/>
      <protection locked="0"/>
    </xf>
    <xf numFmtId="0" fontId="48" fillId="0" borderId="38" xfId="0" applyFont="1" applyBorder="1" applyProtection="1">
      <alignment vertical="center"/>
      <protection locked="0"/>
    </xf>
    <xf numFmtId="0" fontId="49" fillId="0" borderId="2" xfId="0"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60" fillId="0" borderId="0" xfId="18" applyFont="1" applyAlignment="1">
      <alignment horizontal="left" vertical="center"/>
    </xf>
    <xf numFmtId="0" fontId="166" fillId="0" borderId="0" xfId="18" applyFont="1" applyAlignment="1">
      <alignment horizontal="left" vertical="center"/>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60" fillId="0" borderId="0" xfId="18" applyFont="1" applyAlignment="1">
      <alignment horizontal="left" vertical="center"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3FAF824E-D018-46F4-9383-1FA2675F0729}"/>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31</xdr:row>
      <xdr:rowOff>38100</xdr:rowOff>
    </xdr:from>
    <xdr:ext cx="12057143" cy="6142857"/>
    <xdr:pic>
      <xdr:nvPicPr>
        <xdr:cNvPr id="2" name="图片 1">
          <a:extLst>
            <a:ext uri="{FF2B5EF4-FFF2-40B4-BE49-F238E27FC236}">
              <a16:creationId xmlns:a16="http://schemas.microsoft.com/office/drawing/2014/main" id="{7CC4F2B4-29CB-401E-8410-C3BD4FCA73CE}"/>
            </a:ext>
          </a:extLst>
        </xdr:cNvPr>
        <xdr:cNvPicPr>
          <a:picLocks noChangeAspect="1"/>
        </xdr:cNvPicPr>
      </xdr:nvPicPr>
      <xdr:blipFill>
        <a:blip xmlns:r="http://schemas.openxmlformats.org/officeDocument/2006/relationships" r:embed="rId1"/>
        <a:stretch>
          <a:fillRect/>
        </a:stretch>
      </xdr:blipFill>
      <xdr:spPr>
        <a:xfrm>
          <a:off x="0" y="5648325"/>
          <a:ext cx="12057143" cy="6142857"/>
        </a:xfrm>
        <a:prstGeom prst="rect">
          <a:avLst/>
        </a:prstGeom>
      </xdr:spPr>
    </xdr:pic>
    <xdr:clientData/>
  </xdr:oneCellAnchor>
  <xdr:twoCellAnchor>
    <xdr:from>
      <xdr:col>5</xdr:col>
      <xdr:colOff>333375</xdr:colOff>
      <xdr:row>62</xdr:row>
      <xdr:rowOff>19050</xdr:rowOff>
    </xdr:from>
    <xdr:to>
      <xdr:col>6</xdr:col>
      <xdr:colOff>28575</xdr:colOff>
      <xdr:row>64</xdr:row>
      <xdr:rowOff>114300</xdr:rowOff>
    </xdr:to>
    <xdr:sp macro="" textlink="">
      <xdr:nvSpPr>
        <xdr:cNvPr id="4" name="星形: 五角 3">
          <a:extLst>
            <a:ext uri="{FF2B5EF4-FFF2-40B4-BE49-F238E27FC236}">
              <a16:creationId xmlns:a16="http://schemas.microsoft.com/office/drawing/2014/main" id="{B845CA79-7411-4AFF-BB61-AC4C2E194447}"/>
            </a:ext>
          </a:extLst>
        </xdr:cNvPr>
        <xdr:cNvSpPr/>
      </xdr:nvSpPr>
      <xdr:spPr>
        <a:xfrm>
          <a:off x="4514850" y="9467850"/>
          <a:ext cx="409575" cy="400050"/>
        </a:xfrm>
        <a:prstGeom prst="star5">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742950</xdr:colOff>
      <xdr:row>37</xdr:row>
      <xdr:rowOff>38100</xdr:rowOff>
    </xdr:from>
    <xdr:to>
      <xdr:col>8</xdr:col>
      <xdr:colOff>762000</xdr:colOff>
      <xdr:row>39</xdr:row>
      <xdr:rowOff>9525</xdr:rowOff>
    </xdr:to>
    <xdr:sp macro="" textlink="">
      <xdr:nvSpPr>
        <xdr:cNvPr id="5" name="圆角矩形标注 6">
          <a:extLst>
            <a:ext uri="{FF2B5EF4-FFF2-40B4-BE49-F238E27FC236}">
              <a16:creationId xmlns:a16="http://schemas.microsoft.com/office/drawing/2014/main" id="{706492E6-3EDC-48EA-BD0B-DCDA0EA0B9BA}"/>
            </a:ext>
          </a:extLst>
        </xdr:cNvPr>
        <xdr:cNvSpPr/>
      </xdr:nvSpPr>
      <xdr:spPr>
        <a:xfrm>
          <a:off x="6581775" y="5676900"/>
          <a:ext cx="962025" cy="276225"/>
        </a:xfrm>
        <a:prstGeom prst="wedgeRoundRectCallout">
          <a:avLst>
            <a:gd name="adj1" fmla="val -50620"/>
            <a:gd name="adj2" fmla="val 110345"/>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2850</a:t>
          </a:r>
          <a:r>
            <a:rPr lang="zh-CN" altLang="en-US" sz="1100"/>
            <a:t>，容</a:t>
          </a:r>
          <a:r>
            <a:rPr lang="en-US" altLang="zh-CN" sz="1100"/>
            <a:t>2</a:t>
          </a:r>
          <a:endParaRPr lang="zh-CN" altLang="en-US" sz="1100"/>
        </a:p>
      </xdr:txBody>
    </xdr:sp>
    <xdr:clientData/>
  </xdr:twoCellAnchor>
  <xdr:twoCellAnchor>
    <xdr:from>
      <xdr:col>6</xdr:col>
      <xdr:colOff>228600</xdr:colOff>
      <xdr:row>36</xdr:row>
      <xdr:rowOff>9525</xdr:rowOff>
    </xdr:from>
    <xdr:to>
      <xdr:col>7</xdr:col>
      <xdr:colOff>247650</xdr:colOff>
      <xdr:row>37</xdr:row>
      <xdr:rowOff>133350</xdr:rowOff>
    </xdr:to>
    <xdr:sp macro="" textlink="">
      <xdr:nvSpPr>
        <xdr:cNvPr id="6" name="圆角矩形标注 6">
          <a:extLst>
            <a:ext uri="{FF2B5EF4-FFF2-40B4-BE49-F238E27FC236}">
              <a16:creationId xmlns:a16="http://schemas.microsoft.com/office/drawing/2014/main" id="{92AB4927-1CE5-4D77-9F77-F71C1DB66AE2}"/>
            </a:ext>
          </a:extLst>
        </xdr:cNvPr>
        <xdr:cNvSpPr/>
      </xdr:nvSpPr>
      <xdr:spPr>
        <a:xfrm>
          <a:off x="5124450" y="5495925"/>
          <a:ext cx="962025" cy="276225"/>
        </a:xfrm>
        <a:prstGeom prst="wedgeRoundRectCallout">
          <a:avLst>
            <a:gd name="adj1" fmla="val 62251"/>
            <a:gd name="adj2" fmla="val 93104"/>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2925</a:t>
          </a:r>
          <a:r>
            <a:rPr lang="zh-CN" altLang="en-US" sz="1100"/>
            <a:t>，容</a:t>
          </a:r>
          <a:r>
            <a:rPr lang="en-US" altLang="zh-CN" sz="1100"/>
            <a:t>2</a:t>
          </a:r>
          <a:endParaRPr lang="zh-CN" altLang="en-US" sz="1100"/>
        </a:p>
      </xdr:txBody>
    </xdr:sp>
    <xdr:clientData/>
  </xdr:twoCellAnchor>
  <xdr:twoCellAnchor>
    <xdr:from>
      <xdr:col>3</xdr:col>
      <xdr:colOff>323850</xdr:colOff>
      <xdr:row>60</xdr:row>
      <xdr:rowOff>85725</xdr:rowOff>
    </xdr:from>
    <xdr:to>
      <xdr:col>4</xdr:col>
      <xdr:colOff>638175</xdr:colOff>
      <xdr:row>62</xdr:row>
      <xdr:rowOff>57150</xdr:rowOff>
    </xdr:to>
    <xdr:sp macro="" textlink="">
      <xdr:nvSpPr>
        <xdr:cNvPr id="7" name="圆角矩形标注 6">
          <a:extLst>
            <a:ext uri="{FF2B5EF4-FFF2-40B4-BE49-F238E27FC236}">
              <a16:creationId xmlns:a16="http://schemas.microsoft.com/office/drawing/2014/main" id="{6576DBD2-72E9-4566-811D-F61D99559508}"/>
            </a:ext>
          </a:extLst>
        </xdr:cNvPr>
        <xdr:cNvSpPr/>
      </xdr:nvSpPr>
      <xdr:spPr>
        <a:xfrm>
          <a:off x="3028950" y="9229725"/>
          <a:ext cx="962025" cy="276225"/>
        </a:xfrm>
        <a:prstGeom prst="wedgeRoundRectCallout">
          <a:avLst>
            <a:gd name="adj1" fmla="val 80073"/>
            <a:gd name="adj2" fmla="val -134483"/>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3001</a:t>
          </a:r>
          <a:r>
            <a:rPr lang="zh-CN" altLang="en-US" sz="1100"/>
            <a:t>，容</a:t>
          </a:r>
          <a:r>
            <a:rPr lang="en-US" altLang="zh-CN" sz="1100"/>
            <a:t>1.5</a:t>
          </a:r>
          <a:endParaRPr lang="zh-CN" altLang="en-US" sz="1100"/>
        </a:p>
      </xdr:txBody>
    </xdr:sp>
    <xdr:clientData/>
  </xdr:twoCellAnchor>
  <xdr:twoCellAnchor>
    <xdr:from>
      <xdr:col>0</xdr:col>
      <xdr:colOff>0</xdr:colOff>
      <xdr:row>70</xdr:row>
      <xdr:rowOff>86590</xdr:rowOff>
    </xdr:from>
    <xdr:to>
      <xdr:col>18</xdr:col>
      <xdr:colOff>2171099</xdr:colOff>
      <xdr:row>99</xdr:row>
      <xdr:rowOff>145458</xdr:rowOff>
    </xdr:to>
    <xdr:grpSp>
      <xdr:nvGrpSpPr>
        <xdr:cNvPr id="19" name="组合 18">
          <a:extLst>
            <a:ext uri="{FF2B5EF4-FFF2-40B4-BE49-F238E27FC236}">
              <a16:creationId xmlns:a16="http://schemas.microsoft.com/office/drawing/2014/main" id="{963B9255-43C5-AD3A-4DC9-884B51A5A3A1}"/>
            </a:ext>
          </a:extLst>
        </xdr:cNvPr>
        <xdr:cNvGrpSpPr/>
      </xdr:nvGrpSpPr>
      <xdr:grpSpPr>
        <a:xfrm>
          <a:off x="0" y="10754590"/>
          <a:ext cx="16449074" cy="4478468"/>
          <a:chOff x="0" y="10754590"/>
          <a:chExt cx="16449074" cy="4478468"/>
        </a:xfrm>
      </xdr:grpSpPr>
      <xdr:grpSp>
        <xdr:nvGrpSpPr>
          <xdr:cNvPr id="15" name="组合 14">
            <a:extLst>
              <a:ext uri="{FF2B5EF4-FFF2-40B4-BE49-F238E27FC236}">
                <a16:creationId xmlns:a16="http://schemas.microsoft.com/office/drawing/2014/main" id="{80896273-24C0-0D59-72E1-10E4F2A52DE4}"/>
              </a:ext>
            </a:extLst>
          </xdr:cNvPr>
          <xdr:cNvGrpSpPr/>
        </xdr:nvGrpSpPr>
        <xdr:grpSpPr>
          <a:xfrm>
            <a:off x="0" y="10754590"/>
            <a:ext cx="13038283" cy="4478468"/>
            <a:chOff x="0" y="10754590"/>
            <a:chExt cx="13038283" cy="4478468"/>
          </a:xfrm>
        </xdr:grpSpPr>
        <xdr:pic>
          <xdr:nvPicPr>
            <xdr:cNvPr id="9" name="图片 8">
              <a:extLst>
                <a:ext uri="{FF2B5EF4-FFF2-40B4-BE49-F238E27FC236}">
                  <a16:creationId xmlns:a16="http://schemas.microsoft.com/office/drawing/2014/main" id="{E50CBD0A-A025-1929-074E-BFBA5D56D46A}"/>
                </a:ext>
              </a:extLst>
            </xdr:cNvPr>
            <xdr:cNvPicPr>
              <a:picLocks noChangeAspect="1"/>
            </xdr:cNvPicPr>
          </xdr:nvPicPr>
          <xdr:blipFill>
            <a:blip xmlns:r="http://schemas.openxmlformats.org/officeDocument/2006/relationships" r:embed="rId2"/>
            <a:stretch>
              <a:fillRect/>
            </a:stretch>
          </xdr:blipFill>
          <xdr:spPr>
            <a:xfrm>
              <a:off x="0" y="10754590"/>
              <a:ext cx="8953548" cy="4478468"/>
            </a:xfrm>
            <a:prstGeom prst="rect">
              <a:avLst/>
            </a:prstGeom>
          </xdr:spPr>
        </xdr:pic>
        <xdr:pic>
          <xdr:nvPicPr>
            <xdr:cNvPr id="14" name="图片 13">
              <a:extLst>
                <a:ext uri="{FF2B5EF4-FFF2-40B4-BE49-F238E27FC236}">
                  <a16:creationId xmlns:a16="http://schemas.microsoft.com/office/drawing/2014/main" id="{B1299380-7E3C-4D6B-D3D6-B9CA4BAE72DF}"/>
                </a:ext>
              </a:extLst>
            </xdr:cNvPr>
            <xdr:cNvPicPr>
              <a:picLocks noChangeAspect="1"/>
            </xdr:cNvPicPr>
          </xdr:nvPicPr>
          <xdr:blipFill>
            <a:blip xmlns:r="http://schemas.openxmlformats.org/officeDocument/2006/relationships" r:embed="rId3"/>
            <a:stretch>
              <a:fillRect/>
            </a:stretch>
          </xdr:blipFill>
          <xdr:spPr>
            <a:xfrm>
              <a:off x="3971925" y="10993392"/>
              <a:ext cx="9066358" cy="2246001"/>
            </a:xfrm>
            <a:prstGeom prst="rect">
              <a:avLst/>
            </a:prstGeom>
          </xdr:spPr>
        </xdr:pic>
      </xdr:grpSp>
      <xdr:pic>
        <xdr:nvPicPr>
          <xdr:cNvPr id="18" name="图片 17">
            <a:extLst>
              <a:ext uri="{FF2B5EF4-FFF2-40B4-BE49-F238E27FC236}">
                <a16:creationId xmlns:a16="http://schemas.microsoft.com/office/drawing/2014/main" id="{B644ED34-0E57-0C06-DF0E-684DDAB40FE5}"/>
              </a:ext>
            </a:extLst>
          </xdr:cNvPr>
          <xdr:cNvPicPr>
            <a:picLocks noChangeAspect="1"/>
          </xdr:cNvPicPr>
        </xdr:nvPicPr>
        <xdr:blipFill>
          <a:blip xmlns:r="http://schemas.openxmlformats.org/officeDocument/2006/relationships" r:embed="rId4"/>
          <a:stretch>
            <a:fillRect/>
          </a:stretch>
        </xdr:blipFill>
        <xdr:spPr>
          <a:xfrm>
            <a:off x="12363449" y="11410950"/>
            <a:ext cx="4085625" cy="2958835"/>
          </a:xfrm>
          <a:prstGeom prst="rect">
            <a:avLst/>
          </a:prstGeom>
        </xdr:spPr>
      </xdr:pic>
    </xdr:grpSp>
    <xdr:clientData/>
  </xdr:twoCellAnchor>
  <xdr:twoCellAnchor>
    <xdr:from>
      <xdr:col>0</xdr:col>
      <xdr:colOff>0</xdr:colOff>
      <xdr:row>99</xdr:row>
      <xdr:rowOff>91787</xdr:rowOff>
    </xdr:from>
    <xdr:to>
      <xdr:col>23</xdr:col>
      <xdr:colOff>647042</xdr:colOff>
      <xdr:row>128</xdr:row>
      <xdr:rowOff>150655</xdr:rowOff>
    </xdr:to>
    <xdr:grpSp>
      <xdr:nvGrpSpPr>
        <xdr:cNvPr id="21" name="组合 20">
          <a:extLst>
            <a:ext uri="{FF2B5EF4-FFF2-40B4-BE49-F238E27FC236}">
              <a16:creationId xmlns:a16="http://schemas.microsoft.com/office/drawing/2014/main" id="{D3C9D5E7-8A00-8234-F7C1-C7CD85624348}"/>
            </a:ext>
          </a:extLst>
        </xdr:cNvPr>
        <xdr:cNvGrpSpPr/>
      </xdr:nvGrpSpPr>
      <xdr:grpSpPr>
        <a:xfrm>
          <a:off x="0" y="15179387"/>
          <a:ext cx="22173542" cy="4478468"/>
          <a:chOff x="0" y="15179387"/>
          <a:chExt cx="22173542" cy="4478468"/>
        </a:xfrm>
      </xdr:grpSpPr>
      <xdr:grpSp>
        <xdr:nvGrpSpPr>
          <xdr:cNvPr id="13" name="组合 12">
            <a:extLst>
              <a:ext uri="{FF2B5EF4-FFF2-40B4-BE49-F238E27FC236}">
                <a16:creationId xmlns:a16="http://schemas.microsoft.com/office/drawing/2014/main" id="{6CE31FCA-8581-2EEA-1733-00BC80D94C6D}"/>
              </a:ext>
            </a:extLst>
          </xdr:cNvPr>
          <xdr:cNvGrpSpPr/>
        </xdr:nvGrpSpPr>
        <xdr:grpSpPr>
          <a:xfrm>
            <a:off x="0" y="15179387"/>
            <a:ext cx="18953220" cy="4478468"/>
            <a:chOff x="0" y="15179387"/>
            <a:chExt cx="18953220" cy="4478468"/>
          </a:xfrm>
        </xdr:grpSpPr>
        <xdr:pic>
          <xdr:nvPicPr>
            <xdr:cNvPr id="10" name="图片 9">
              <a:extLst>
                <a:ext uri="{FF2B5EF4-FFF2-40B4-BE49-F238E27FC236}">
                  <a16:creationId xmlns:a16="http://schemas.microsoft.com/office/drawing/2014/main" id="{F7C76FBD-6FBC-B3C3-7330-CFE78204D7EA}"/>
                </a:ext>
              </a:extLst>
            </xdr:cNvPr>
            <xdr:cNvPicPr>
              <a:picLocks noChangeAspect="1"/>
            </xdr:cNvPicPr>
          </xdr:nvPicPr>
          <xdr:blipFill>
            <a:blip xmlns:r="http://schemas.openxmlformats.org/officeDocument/2006/relationships" r:embed="rId5"/>
            <a:stretch>
              <a:fillRect/>
            </a:stretch>
          </xdr:blipFill>
          <xdr:spPr>
            <a:xfrm>
              <a:off x="0" y="15179387"/>
              <a:ext cx="8953548" cy="4478468"/>
            </a:xfrm>
            <a:prstGeom prst="rect">
              <a:avLst/>
            </a:prstGeom>
          </xdr:spPr>
        </xdr:pic>
        <xdr:pic>
          <xdr:nvPicPr>
            <xdr:cNvPr id="12" name="图片 11">
              <a:extLst>
                <a:ext uri="{FF2B5EF4-FFF2-40B4-BE49-F238E27FC236}">
                  <a16:creationId xmlns:a16="http://schemas.microsoft.com/office/drawing/2014/main" id="{CB55B93B-1805-2A8D-283E-6D7DD12A25B6}"/>
                </a:ext>
              </a:extLst>
            </xdr:cNvPr>
            <xdr:cNvPicPr>
              <a:picLocks noChangeAspect="1"/>
            </xdr:cNvPicPr>
          </xdr:nvPicPr>
          <xdr:blipFill>
            <a:blip xmlns:r="http://schemas.openxmlformats.org/officeDocument/2006/relationships" r:embed="rId6"/>
            <a:stretch>
              <a:fillRect/>
            </a:stretch>
          </xdr:blipFill>
          <xdr:spPr>
            <a:xfrm>
              <a:off x="8915400" y="15183124"/>
              <a:ext cx="10037820" cy="4390082"/>
            </a:xfrm>
            <a:prstGeom prst="rect">
              <a:avLst/>
            </a:prstGeom>
          </xdr:spPr>
        </xdr:pic>
      </xdr:grpSp>
      <xdr:pic>
        <xdr:nvPicPr>
          <xdr:cNvPr id="20" name="图片 19">
            <a:extLst>
              <a:ext uri="{FF2B5EF4-FFF2-40B4-BE49-F238E27FC236}">
                <a16:creationId xmlns:a16="http://schemas.microsoft.com/office/drawing/2014/main" id="{0E03DC7A-DBA9-3698-F7BF-326FF064E4CC}"/>
              </a:ext>
            </a:extLst>
          </xdr:cNvPr>
          <xdr:cNvPicPr>
            <a:picLocks noChangeAspect="1"/>
          </xdr:cNvPicPr>
        </xdr:nvPicPr>
        <xdr:blipFill>
          <a:blip xmlns:r="http://schemas.openxmlformats.org/officeDocument/2006/relationships" r:embed="rId7"/>
          <a:stretch>
            <a:fillRect/>
          </a:stretch>
        </xdr:blipFill>
        <xdr:spPr>
          <a:xfrm>
            <a:off x="17973675" y="15364548"/>
            <a:ext cx="4199867" cy="3227746"/>
          </a:xfrm>
          <a:prstGeom prst="rect">
            <a:avLst/>
          </a:prstGeom>
        </xdr:spPr>
      </xdr:pic>
    </xdr:grpSp>
    <xdr:clientData/>
  </xdr:twoCellAnchor>
  <xdr:twoCellAnchor>
    <xdr:from>
      <xdr:col>0</xdr:col>
      <xdr:colOff>0</xdr:colOff>
      <xdr:row>129</xdr:row>
      <xdr:rowOff>34636</xdr:rowOff>
    </xdr:from>
    <xdr:to>
      <xdr:col>19</xdr:col>
      <xdr:colOff>2012750</xdr:colOff>
      <xdr:row>158</xdr:row>
      <xdr:rowOff>113630</xdr:rowOff>
    </xdr:to>
    <xdr:grpSp>
      <xdr:nvGrpSpPr>
        <xdr:cNvPr id="23" name="组合 22">
          <a:extLst>
            <a:ext uri="{FF2B5EF4-FFF2-40B4-BE49-F238E27FC236}">
              <a16:creationId xmlns:a16="http://schemas.microsoft.com/office/drawing/2014/main" id="{332D3DEC-50DC-45EA-70BF-5353D987C089}"/>
            </a:ext>
          </a:extLst>
        </xdr:cNvPr>
        <xdr:cNvGrpSpPr/>
      </xdr:nvGrpSpPr>
      <xdr:grpSpPr>
        <a:xfrm>
          <a:off x="0" y="19694236"/>
          <a:ext cx="18691025" cy="4498594"/>
          <a:chOff x="0" y="19694236"/>
          <a:chExt cx="18691025" cy="4498594"/>
        </a:xfrm>
      </xdr:grpSpPr>
      <xdr:grpSp>
        <xdr:nvGrpSpPr>
          <xdr:cNvPr id="17" name="组合 16">
            <a:extLst>
              <a:ext uri="{FF2B5EF4-FFF2-40B4-BE49-F238E27FC236}">
                <a16:creationId xmlns:a16="http://schemas.microsoft.com/office/drawing/2014/main" id="{2D085126-FE41-6E5D-4432-4EEDCBC5124A}"/>
              </a:ext>
            </a:extLst>
          </xdr:cNvPr>
          <xdr:cNvGrpSpPr/>
        </xdr:nvGrpSpPr>
        <xdr:grpSpPr>
          <a:xfrm>
            <a:off x="0" y="19694236"/>
            <a:ext cx="14228802" cy="4498594"/>
            <a:chOff x="0" y="19694236"/>
            <a:chExt cx="14228802" cy="4498594"/>
          </a:xfrm>
        </xdr:grpSpPr>
        <xdr:pic>
          <xdr:nvPicPr>
            <xdr:cNvPr id="11" name="图片 10">
              <a:extLst>
                <a:ext uri="{FF2B5EF4-FFF2-40B4-BE49-F238E27FC236}">
                  <a16:creationId xmlns:a16="http://schemas.microsoft.com/office/drawing/2014/main" id="{235BF67B-F32A-2ED2-AA9F-ED4250B1EAC5}"/>
                </a:ext>
              </a:extLst>
            </xdr:cNvPr>
            <xdr:cNvPicPr>
              <a:picLocks noChangeAspect="1"/>
            </xdr:cNvPicPr>
          </xdr:nvPicPr>
          <xdr:blipFill>
            <a:blip xmlns:r="http://schemas.openxmlformats.org/officeDocument/2006/relationships" r:embed="rId8"/>
            <a:stretch>
              <a:fillRect/>
            </a:stretch>
          </xdr:blipFill>
          <xdr:spPr>
            <a:xfrm>
              <a:off x="0" y="19694236"/>
              <a:ext cx="8784819" cy="4391876"/>
            </a:xfrm>
            <a:prstGeom prst="rect">
              <a:avLst/>
            </a:prstGeom>
          </xdr:spPr>
        </xdr:pic>
        <xdr:pic>
          <xdr:nvPicPr>
            <xdr:cNvPr id="16" name="图片 15">
              <a:extLst>
                <a:ext uri="{FF2B5EF4-FFF2-40B4-BE49-F238E27FC236}">
                  <a16:creationId xmlns:a16="http://schemas.microsoft.com/office/drawing/2014/main" id="{1A502854-7B1E-F4FE-1C93-63F0790038B5}"/>
                </a:ext>
              </a:extLst>
            </xdr:cNvPr>
            <xdr:cNvPicPr>
              <a:picLocks noChangeAspect="1"/>
            </xdr:cNvPicPr>
          </xdr:nvPicPr>
          <xdr:blipFill>
            <a:blip xmlns:r="http://schemas.openxmlformats.org/officeDocument/2006/relationships" r:embed="rId9"/>
            <a:stretch>
              <a:fillRect/>
            </a:stretch>
          </xdr:blipFill>
          <xdr:spPr>
            <a:xfrm>
              <a:off x="4457699" y="19957933"/>
              <a:ext cx="9771103" cy="4234897"/>
            </a:xfrm>
            <a:prstGeom prst="rect">
              <a:avLst/>
            </a:prstGeom>
          </xdr:spPr>
        </xdr:pic>
      </xdr:grpSp>
      <xdr:pic>
        <xdr:nvPicPr>
          <xdr:cNvPr id="22" name="图片 21">
            <a:extLst>
              <a:ext uri="{FF2B5EF4-FFF2-40B4-BE49-F238E27FC236}">
                <a16:creationId xmlns:a16="http://schemas.microsoft.com/office/drawing/2014/main" id="{0D36E9A1-F89E-3737-592A-97E920D98094}"/>
              </a:ext>
            </a:extLst>
          </xdr:cNvPr>
          <xdr:cNvPicPr>
            <a:picLocks noChangeAspect="1"/>
          </xdr:cNvPicPr>
        </xdr:nvPicPr>
        <xdr:blipFill>
          <a:blip xmlns:r="http://schemas.openxmlformats.org/officeDocument/2006/relationships" r:embed="rId10"/>
          <a:stretch>
            <a:fillRect/>
          </a:stretch>
        </xdr:blipFill>
        <xdr:spPr>
          <a:xfrm>
            <a:off x="14068425" y="20036974"/>
            <a:ext cx="4622600" cy="390887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113514</xdr:colOff>
      <xdr:row>33</xdr:row>
      <xdr:rowOff>18340</xdr:rowOff>
    </xdr:to>
    <xdr:pic>
      <xdr:nvPicPr>
        <xdr:cNvPr id="2" name="图片 1">
          <a:extLst>
            <a:ext uri="{FF2B5EF4-FFF2-40B4-BE49-F238E27FC236}">
              <a16:creationId xmlns:a16="http://schemas.microsoft.com/office/drawing/2014/main" id="{167FA4B2-6EC5-2D39-AC35-10478ED18E34}"/>
            </a:ext>
          </a:extLst>
        </xdr:cNvPr>
        <xdr:cNvPicPr>
          <a:picLocks noChangeAspect="1"/>
        </xdr:cNvPicPr>
      </xdr:nvPicPr>
      <xdr:blipFill>
        <a:blip xmlns:r="http://schemas.openxmlformats.org/officeDocument/2006/relationships" r:embed="rId1"/>
        <a:stretch>
          <a:fillRect/>
        </a:stretch>
      </xdr:blipFill>
      <xdr:spPr>
        <a:xfrm>
          <a:off x="0" y="0"/>
          <a:ext cx="6285714" cy="5676190"/>
        </a:xfrm>
        <a:prstGeom prst="rect">
          <a:avLst/>
        </a:prstGeom>
      </xdr:spPr>
    </xdr:pic>
    <xdr:clientData/>
  </xdr:twoCellAnchor>
  <xdr:twoCellAnchor>
    <xdr:from>
      <xdr:col>0</xdr:col>
      <xdr:colOff>266700</xdr:colOff>
      <xdr:row>2</xdr:row>
      <xdr:rowOff>114300</xdr:rowOff>
    </xdr:from>
    <xdr:to>
      <xdr:col>8</xdr:col>
      <xdr:colOff>438150</xdr:colOff>
      <xdr:row>6</xdr:row>
      <xdr:rowOff>104775</xdr:rowOff>
    </xdr:to>
    <xdr:sp macro="" textlink="">
      <xdr:nvSpPr>
        <xdr:cNvPr id="3" name="矩形 2">
          <a:extLst>
            <a:ext uri="{FF2B5EF4-FFF2-40B4-BE49-F238E27FC236}">
              <a16:creationId xmlns:a16="http://schemas.microsoft.com/office/drawing/2014/main" id="{B52A1AEF-2284-155A-1D74-A76C93B8546D}"/>
            </a:ext>
          </a:extLst>
        </xdr:cNvPr>
        <xdr:cNvSpPr/>
      </xdr:nvSpPr>
      <xdr:spPr>
        <a:xfrm>
          <a:off x="266700" y="457200"/>
          <a:ext cx="5657850" cy="676275"/>
        </a:xfrm>
        <a:prstGeom prst="rect">
          <a:avLst/>
        </a:prstGeom>
        <a:noFill/>
        <a:ln>
          <a:solidFill>
            <a:srgbClr val="FF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61</xdr:row>
      <xdr:rowOff>76200</xdr:rowOff>
    </xdr:from>
    <xdr:to>
      <xdr:col>7</xdr:col>
      <xdr:colOff>1094386</xdr:colOff>
      <xdr:row>95</xdr:row>
      <xdr:rowOff>142219</xdr:rowOff>
    </xdr:to>
    <xdr:pic>
      <xdr:nvPicPr>
        <xdr:cNvPr id="2" name="图片 1">
          <a:extLst>
            <a:ext uri="{FF2B5EF4-FFF2-40B4-BE49-F238E27FC236}">
              <a16:creationId xmlns:a16="http://schemas.microsoft.com/office/drawing/2014/main" id="{EF1CADA6-FAF3-32C3-FAA2-29D756DCC4B5}"/>
            </a:ext>
          </a:extLst>
        </xdr:cNvPr>
        <xdr:cNvPicPr>
          <a:picLocks noChangeAspect="1"/>
        </xdr:cNvPicPr>
      </xdr:nvPicPr>
      <xdr:blipFill>
        <a:blip xmlns:r="http://schemas.openxmlformats.org/officeDocument/2006/relationships" r:embed="rId1"/>
        <a:stretch>
          <a:fillRect/>
        </a:stretch>
      </xdr:blipFill>
      <xdr:spPr>
        <a:xfrm>
          <a:off x="0" y="9372600"/>
          <a:ext cx="7914286" cy="5247619"/>
        </a:xfrm>
        <a:prstGeom prst="rect">
          <a:avLst/>
        </a:prstGeom>
      </xdr:spPr>
    </xdr:pic>
    <xdr:clientData/>
  </xdr:twoCellAnchor>
  <xdr:twoCellAnchor editAs="oneCell">
    <xdr:from>
      <xdr:col>0</xdr:col>
      <xdr:colOff>0</xdr:colOff>
      <xdr:row>95</xdr:row>
      <xdr:rowOff>85725</xdr:rowOff>
    </xdr:from>
    <xdr:to>
      <xdr:col>10</xdr:col>
      <xdr:colOff>593224</xdr:colOff>
      <xdr:row>133</xdr:row>
      <xdr:rowOff>18271</xdr:rowOff>
    </xdr:to>
    <xdr:pic>
      <xdr:nvPicPr>
        <xdr:cNvPr id="3" name="图片 2">
          <a:extLst>
            <a:ext uri="{FF2B5EF4-FFF2-40B4-BE49-F238E27FC236}">
              <a16:creationId xmlns:a16="http://schemas.microsoft.com/office/drawing/2014/main" id="{8427C612-BF26-07C7-6F77-2714FACCBB19}"/>
            </a:ext>
          </a:extLst>
        </xdr:cNvPr>
        <xdr:cNvPicPr>
          <a:picLocks noChangeAspect="1"/>
        </xdr:cNvPicPr>
      </xdr:nvPicPr>
      <xdr:blipFill>
        <a:blip xmlns:r="http://schemas.openxmlformats.org/officeDocument/2006/relationships" r:embed="rId2"/>
        <a:stretch>
          <a:fillRect/>
        </a:stretch>
      </xdr:blipFill>
      <xdr:spPr>
        <a:xfrm>
          <a:off x="0" y="14563725"/>
          <a:ext cx="10213474" cy="5723746"/>
        </a:xfrm>
        <a:prstGeom prst="rect">
          <a:avLst/>
        </a:prstGeom>
      </xdr:spPr>
    </xdr:pic>
    <xdr:clientData/>
  </xdr:twoCellAnchor>
  <xdr:twoCellAnchor>
    <xdr:from>
      <xdr:col>7</xdr:col>
      <xdr:colOff>152400</xdr:colOff>
      <xdr:row>111</xdr:row>
      <xdr:rowOff>47625</xdr:rowOff>
    </xdr:from>
    <xdr:to>
      <xdr:col>7</xdr:col>
      <xdr:colOff>1167570</xdr:colOff>
      <xdr:row>114</xdr:row>
      <xdr:rowOff>57837</xdr:rowOff>
    </xdr:to>
    <xdr:sp macro="" textlink="">
      <xdr:nvSpPr>
        <xdr:cNvPr id="4" name="矩形标注 9">
          <a:extLst>
            <a:ext uri="{FF2B5EF4-FFF2-40B4-BE49-F238E27FC236}">
              <a16:creationId xmlns:a16="http://schemas.microsoft.com/office/drawing/2014/main" id="{98F3904A-4073-41A2-9269-03ECD224721F}"/>
            </a:ext>
          </a:extLst>
        </xdr:cNvPr>
        <xdr:cNvSpPr/>
      </xdr:nvSpPr>
      <xdr:spPr>
        <a:xfrm>
          <a:off x="6972300" y="16964025"/>
          <a:ext cx="1015170" cy="467412"/>
        </a:xfrm>
        <a:prstGeom prst="wedgeRectCallout">
          <a:avLst>
            <a:gd name="adj1" fmla="val -68628"/>
            <a:gd name="adj2" fmla="val 491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3500-3600</a:t>
          </a:r>
          <a:r>
            <a:rPr lang="zh-CN" altLang="en-US" sz="1100"/>
            <a:t>左右</a:t>
          </a:r>
        </a:p>
      </xdr:txBody>
    </xdr:sp>
    <xdr:clientData/>
  </xdr:twoCellAnchor>
  <xdr:twoCellAnchor>
    <xdr:from>
      <xdr:col>4</xdr:col>
      <xdr:colOff>523874</xdr:colOff>
      <xdr:row>111</xdr:row>
      <xdr:rowOff>95250</xdr:rowOff>
    </xdr:from>
    <xdr:to>
      <xdr:col>6</xdr:col>
      <xdr:colOff>533400</xdr:colOff>
      <xdr:row>120</xdr:row>
      <xdr:rowOff>123825</xdr:rowOff>
    </xdr:to>
    <xdr:sp macro="" textlink="">
      <xdr:nvSpPr>
        <xdr:cNvPr id="5" name="矩形 4">
          <a:extLst>
            <a:ext uri="{FF2B5EF4-FFF2-40B4-BE49-F238E27FC236}">
              <a16:creationId xmlns:a16="http://schemas.microsoft.com/office/drawing/2014/main" id="{B93FF7EF-46BD-48C6-B7C5-EBF4DB00D1F7}"/>
            </a:ext>
          </a:extLst>
        </xdr:cNvPr>
        <xdr:cNvSpPr/>
      </xdr:nvSpPr>
      <xdr:spPr>
        <a:xfrm>
          <a:off x="5372099" y="17011650"/>
          <a:ext cx="1276351" cy="140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371475</xdr:colOff>
      <xdr:row>97</xdr:row>
      <xdr:rowOff>95250</xdr:rowOff>
    </xdr:from>
    <xdr:to>
      <xdr:col>2</xdr:col>
      <xdr:colOff>638175</xdr:colOff>
      <xdr:row>100</xdr:row>
      <xdr:rowOff>19050</xdr:rowOff>
    </xdr:to>
    <xdr:sp macro="" textlink="">
      <xdr:nvSpPr>
        <xdr:cNvPr id="7" name="矩形标注 16">
          <a:extLst>
            <a:ext uri="{FF2B5EF4-FFF2-40B4-BE49-F238E27FC236}">
              <a16:creationId xmlns:a16="http://schemas.microsoft.com/office/drawing/2014/main" id="{F5168ACD-6B51-4AA3-8042-FD9C6DA81FDA}"/>
            </a:ext>
          </a:extLst>
        </xdr:cNvPr>
        <xdr:cNvSpPr/>
      </xdr:nvSpPr>
      <xdr:spPr>
        <a:xfrm>
          <a:off x="2667000" y="14878050"/>
          <a:ext cx="752475" cy="381000"/>
        </a:xfrm>
        <a:prstGeom prst="wedgeRectCallout">
          <a:avLst>
            <a:gd name="adj1" fmla="val 71004"/>
            <a:gd name="adj2" fmla="val 30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endParaRPr lang="zh-CN" altLang="en-US" sz="1100"/>
        </a:p>
      </xdr:txBody>
    </xdr:sp>
    <xdr:clientData/>
  </xdr:twoCellAnchor>
  <xdr:twoCellAnchor>
    <xdr:from>
      <xdr:col>2</xdr:col>
      <xdr:colOff>847725</xdr:colOff>
      <xdr:row>96</xdr:row>
      <xdr:rowOff>85726</xdr:rowOff>
    </xdr:from>
    <xdr:to>
      <xdr:col>3</xdr:col>
      <xdr:colOff>371475</xdr:colOff>
      <xdr:row>102</xdr:row>
      <xdr:rowOff>95250</xdr:rowOff>
    </xdr:to>
    <xdr:sp macro="" textlink="">
      <xdr:nvSpPr>
        <xdr:cNvPr id="8" name="矩形 7">
          <a:extLst>
            <a:ext uri="{FF2B5EF4-FFF2-40B4-BE49-F238E27FC236}">
              <a16:creationId xmlns:a16="http://schemas.microsoft.com/office/drawing/2014/main" id="{E7A2DB82-7944-45D5-8278-7AC768D4591A}"/>
            </a:ext>
          </a:extLst>
        </xdr:cNvPr>
        <xdr:cNvSpPr/>
      </xdr:nvSpPr>
      <xdr:spPr>
        <a:xfrm>
          <a:off x="3629025" y="14716126"/>
          <a:ext cx="942975" cy="92392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504826</xdr:colOff>
      <xdr:row>121</xdr:row>
      <xdr:rowOff>133351</xdr:rowOff>
    </xdr:from>
    <xdr:to>
      <xdr:col>4</xdr:col>
      <xdr:colOff>714376</xdr:colOff>
      <xdr:row>128</xdr:row>
      <xdr:rowOff>1</xdr:rowOff>
    </xdr:to>
    <xdr:sp macro="" textlink="">
      <xdr:nvSpPr>
        <xdr:cNvPr id="9" name="矩形 8">
          <a:extLst>
            <a:ext uri="{FF2B5EF4-FFF2-40B4-BE49-F238E27FC236}">
              <a16:creationId xmlns:a16="http://schemas.microsoft.com/office/drawing/2014/main" id="{D8D75BE8-34B3-4D0E-96E4-8C133B926D0F}"/>
            </a:ext>
          </a:extLst>
        </xdr:cNvPr>
        <xdr:cNvSpPr/>
      </xdr:nvSpPr>
      <xdr:spPr>
        <a:xfrm>
          <a:off x="4705351" y="18573751"/>
          <a:ext cx="857250" cy="9334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114300</xdr:colOff>
      <xdr:row>127</xdr:row>
      <xdr:rowOff>104775</xdr:rowOff>
    </xdr:from>
    <xdr:to>
      <xdr:col>6</xdr:col>
      <xdr:colOff>672270</xdr:colOff>
      <xdr:row>130</xdr:row>
      <xdr:rowOff>114987</xdr:rowOff>
    </xdr:to>
    <xdr:sp macro="" textlink="">
      <xdr:nvSpPr>
        <xdr:cNvPr id="10" name="矩形标注 9">
          <a:extLst>
            <a:ext uri="{FF2B5EF4-FFF2-40B4-BE49-F238E27FC236}">
              <a16:creationId xmlns:a16="http://schemas.microsoft.com/office/drawing/2014/main" id="{CEE9404C-B29F-4D95-B09E-D63D5428C192}"/>
            </a:ext>
          </a:extLst>
        </xdr:cNvPr>
        <xdr:cNvSpPr/>
      </xdr:nvSpPr>
      <xdr:spPr>
        <a:xfrm>
          <a:off x="5772150" y="19459575"/>
          <a:ext cx="1015170" cy="467412"/>
        </a:xfrm>
        <a:prstGeom prst="wedgeRectCallout">
          <a:avLst>
            <a:gd name="adj1" fmla="val -66751"/>
            <a:gd name="adj2" fmla="val -3442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3000-3700</a:t>
          </a:r>
          <a:r>
            <a:rPr lang="zh-CN" altLang="en-US" sz="1100"/>
            <a:t>左右</a:t>
          </a:r>
        </a:p>
      </xdr:txBody>
    </xdr:sp>
    <xdr:clientData/>
  </xdr:twoCellAnchor>
  <xdr:twoCellAnchor>
    <xdr:from>
      <xdr:col>3</xdr:col>
      <xdr:colOff>19050</xdr:colOff>
      <xdr:row>96</xdr:row>
      <xdr:rowOff>114300</xdr:rowOff>
    </xdr:from>
    <xdr:to>
      <xdr:col>3</xdr:col>
      <xdr:colOff>257175</xdr:colOff>
      <xdr:row>98</xdr:row>
      <xdr:rowOff>28575</xdr:rowOff>
    </xdr:to>
    <xdr:sp macro="" textlink="">
      <xdr:nvSpPr>
        <xdr:cNvPr id="11" name="七角星 20">
          <a:extLst>
            <a:ext uri="{FF2B5EF4-FFF2-40B4-BE49-F238E27FC236}">
              <a16:creationId xmlns:a16="http://schemas.microsoft.com/office/drawing/2014/main" id="{B2A031EA-1E8C-4646-95E2-3AD37D3D860E}"/>
            </a:ext>
          </a:extLst>
        </xdr:cNvPr>
        <xdr:cNvSpPr/>
      </xdr:nvSpPr>
      <xdr:spPr>
        <a:xfrm>
          <a:off x="4219575" y="1474470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190500</xdr:colOff>
      <xdr:row>119</xdr:row>
      <xdr:rowOff>57150</xdr:rowOff>
    </xdr:from>
    <xdr:to>
      <xdr:col>4</xdr:col>
      <xdr:colOff>428625</xdr:colOff>
      <xdr:row>120</xdr:row>
      <xdr:rowOff>123825</xdr:rowOff>
    </xdr:to>
    <xdr:sp macro="" textlink="">
      <xdr:nvSpPr>
        <xdr:cNvPr id="12" name="七角星 20">
          <a:extLst>
            <a:ext uri="{FF2B5EF4-FFF2-40B4-BE49-F238E27FC236}">
              <a16:creationId xmlns:a16="http://schemas.microsoft.com/office/drawing/2014/main" id="{B0B6617E-6ED6-4E7A-A4BD-F2FF9BF03C96}"/>
            </a:ext>
          </a:extLst>
        </xdr:cNvPr>
        <xdr:cNvSpPr/>
      </xdr:nvSpPr>
      <xdr:spPr>
        <a:xfrm>
          <a:off x="5038725" y="1819275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133350</xdr:colOff>
      <xdr:row>122</xdr:row>
      <xdr:rowOff>104775</xdr:rowOff>
    </xdr:from>
    <xdr:to>
      <xdr:col>4</xdr:col>
      <xdr:colOff>371475</xdr:colOff>
      <xdr:row>124</xdr:row>
      <xdr:rowOff>19050</xdr:rowOff>
    </xdr:to>
    <xdr:sp macro="" textlink="">
      <xdr:nvSpPr>
        <xdr:cNvPr id="13" name="七角星 20">
          <a:extLst>
            <a:ext uri="{FF2B5EF4-FFF2-40B4-BE49-F238E27FC236}">
              <a16:creationId xmlns:a16="http://schemas.microsoft.com/office/drawing/2014/main" id="{44EC89BA-C432-4EFA-BFF8-BFD0BB58B192}"/>
            </a:ext>
          </a:extLst>
        </xdr:cNvPr>
        <xdr:cNvSpPr/>
      </xdr:nvSpPr>
      <xdr:spPr>
        <a:xfrm>
          <a:off x="4981575" y="18697575"/>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209550</xdr:colOff>
      <xdr:row>68</xdr:row>
      <xdr:rowOff>66675</xdr:rowOff>
    </xdr:from>
    <xdr:to>
      <xdr:col>2</xdr:col>
      <xdr:colOff>619125</xdr:colOff>
      <xdr:row>71</xdr:row>
      <xdr:rowOff>9525</xdr:rowOff>
    </xdr:to>
    <xdr:sp macro="" textlink="">
      <xdr:nvSpPr>
        <xdr:cNvPr id="14" name="星形: 五角 13">
          <a:extLst>
            <a:ext uri="{FF2B5EF4-FFF2-40B4-BE49-F238E27FC236}">
              <a16:creationId xmlns:a16="http://schemas.microsoft.com/office/drawing/2014/main" id="{FAF290D6-BA87-A662-5944-2F1F76FD925F}"/>
            </a:ext>
          </a:extLst>
        </xdr:cNvPr>
        <xdr:cNvSpPr/>
      </xdr:nvSpPr>
      <xdr:spPr>
        <a:xfrm>
          <a:off x="2990850" y="10429875"/>
          <a:ext cx="409575" cy="400050"/>
        </a:xfrm>
        <a:prstGeom prst="star5">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133</xdr:row>
      <xdr:rowOff>104775</xdr:rowOff>
    </xdr:from>
    <xdr:to>
      <xdr:col>5</xdr:col>
      <xdr:colOff>285007</xdr:colOff>
      <xdr:row>169</xdr:row>
      <xdr:rowOff>18375</xdr:rowOff>
    </xdr:to>
    <xdr:pic>
      <xdr:nvPicPr>
        <xdr:cNvPr id="15" name="图片 14">
          <a:extLst>
            <a:ext uri="{FF2B5EF4-FFF2-40B4-BE49-F238E27FC236}">
              <a16:creationId xmlns:a16="http://schemas.microsoft.com/office/drawing/2014/main" id="{D1562015-816E-9D22-F05F-375D31A5CAC7}"/>
            </a:ext>
          </a:extLst>
        </xdr:cNvPr>
        <xdr:cNvPicPr>
          <a:picLocks noChangeAspect="1"/>
        </xdr:cNvPicPr>
      </xdr:nvPicPr>
      <xdr:blipFill>
        <a:blip xmlns:r="http://schemas.openxmlformats.org/officeDocument/2006/relationships" r:embed="rId3"/>
        <a:stretch>
          <a:fillRect/>
        </a:stretch>
      </xdr:blipFill>
      <xdr:spPr>
        <a:xfrm>
          <a:off x="0" y="20373975"/>
          <a:ext cx="5942857" cy="5400000"/>
        </a:xfrm>
        <a:prstGeom prst="rect">
          <a:avLst/>
        </a:prstGeom>
      </xdr:spPr>
    </xdr:pic>
    <xdr:clientData/>
  </xdr:twoCellAnchor>
  <xdr:twoCellAnchor>
    <xdr:from>
      <xdr:col>3</xdr:col>
      <xdr:colOff>390525</xdr:colOff>
      <xdr:row>94</xdr:row>
      <xdr:rowOff>47625</xdr:rowOff>
    </xdr:from>
    <xdr:to>
      <xdr:col>4</xdr:col>
      <xdr:colOff>704850</xdr:colOff>
      <xdr:row>96</xdr:row>
      <xdr:rowOff>19050</xdr:rowOff>
    </xdr:to>
    <xdr:sp macro="" textlink="">
      <xdr:nvSpPr>
        <xdr:cNvPr id="16" name="圆角矩形标注 6">
          <a:extLst>
            <a:ext uri="{FF2B5EF4-FFF2-40B4-BE49-F238E27FC236}">
              <a16:creationId xmlns:a16="http://schemas.microsoft.com/office/drawing/2014/main" id="{A9C5CC20-79A6-435E-B655-D4EA5488C408}"/>
            </a:ext>
          </a:extLst>
        </xdr:cNvPr>
        <xdr:cNvSpPr/>
      </xdr:nvSpPr>
      <xdr:spPr>
        <a:xfrm>
          <a:off x="4591050" y="14373225"/>
          <a:ext cx="962025" cy="276225"/>
        </a:xfrm>
        <a:prstGeom prst="wedgeRoundRectCallout">
          <a:avLst>
            <a:gd name="adj1" fmla="val -50620"/>
            <a:gd name="adj2" fmla="val 110345"/>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r>
            <a:rPr lang="zh-CN" altLang="en-US" sz="1100"/>
            <a:t>，容</a:t>
          </a:r>
          <a:r>
            <a:rPr lang="en-US" altLang="zh-CN" sz="1100"/>
            <a:t>1.8</a:t>
          </a:r>
          <a:endParaRPr lang="zh-CN" altLang="en-US" sz="1100"/>
        </a:p>
      </xdr:txBody>
    </xdr:sp>
    <xdr:clientData/>
  </xdr:twoCellAnchor>
  <xdr:twoCellAnchor>
    <xdr:from>
      <xdr:col>2</xdr:col>
      <xdr:colOff>1028700</xdr:colOff>
      <xdr:row>117</xdr:row>
      <xdr:rowOff>0</xdr:rowOff>
    </xdr:from>
    <xdr:to>
      <xdr:col>3</xdr:col>
      <xdr:colOff>571500</xdr:colOff>
      <xdr:row>118</xdr:row>
      <xdr:rowOff>123825</xdr:rowOff>
    </xdr:to>
    <xdr:sp macro="" textlink="">
      <xdr:nvSpPr>
        <xdr:cNvPr id="17" name="圆角矩形标注 6">
          <a:extLst>
            <a:ext uri="{FF2B5EF4-FFF2-40B4-BE49-F238E27FC236}">
              <a16:creationId xmlns:a16="http://schemas.microsoft.com/office/drawing/2014/main" id="{AD761402-F15B-44E1-B412-142841E791AF}"/>
            </a:ext>
          </a:extLst>
        </xdr:cNvPr>
        <xdr:cNvSpPr/>
      </xdr:nvSpPr>
      <xdr:spPr>
        <a:xfrm>
          <a:off x="3810000" y="17830800"/>
          <a:ext cx="962025" cy="276225"/>
        </a:xfrm>
        <a:prstGeom prst="wedgeRoundRectCallout">
          <a:avLst>
            <a:gd name="adj1" fmla="val 75123"/>
            <a:gd name="adj2" fmla="val 100000"/>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2344</a:t>
          </a:r>
          <a:r>
            <a:rPr lang="zh-CN" altLang="en-US" sz="1100"/>
            <a:t>，容</a:t>
          </a:r>
          <a:r>
            <a:rPr lang="en-US" altLang="zh-CN" sz="1100"/>
            <a:t>1.6</a:t>
          </a:r>
          <a:endParaRPr lang="zh-CN" altLang="en-US" sz="1100"/>
        </a:p>
      </xdr:txBody>
    </xdr:sp>
    <xdr:clientData/>
  </xdr:twoCellAnchor>
  <xdr:twoCellAnchor>
    <xdr:from>
      <xdr:col>2</xdr:col>
      <xdr:colOff>666750</xdr:colOff>
      <xdr:row>124</xdr:row>
      <xdr:rowOff>123825</xdr:rowOff>
    </xdr:from>
    <xdr:to>
      <xdr:col>3</xdr:col>
      <xdr:colOff>209550</xdr:colOff>
      <xdr:row>126</xdr:row>
      <xdr:rowOff>95250</xdr:rowOff>
    </xdr:to>
    <xdr:sp macro="" textlink="">
      <xdr:nvSpPr>
        <xdr:cNvPr id="18" name="圆角矩形标注 6">
          <a:extLst>
            <a:ext uri="{FF2B5EF4-FFF2-40B4-BE49-F238E27FC236}">
              <a16:creationId xmlns:a16="http://schemas.microsoft.com/office/drawing/2014/main" id="{046B7AAF-702F-48EB-9DC7-4D3E49E9A022}"/>
            </a:ext>
          </a:extLst>
        </xdr:cNvPr>
        <xdr:cNvSpPr/>
      </xdr:nvSpPr>
      <xdr:spPr>
        <a:xfrm>
          <a:off x="3448050" y="19021425"/>
          <a:ext cx="962025" cy="276225"/>
        </a:xfrm>
        <a:prstGeom prst="wedgeRoundRectCallout">
          <a:avLst>
            <a:gd name="adj1" fmla="val 93934"/>
            <a:gd name="adj2" fmla="val -131034"/>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2200</a:t>
          </a:r>
          <a:r>
            <a:rPr lang="zh-CN" altLang="en-US" sz="1100"/>
            <a:t>，容</a:t>
          </a:r>
          <a:r>
            <a:rPr lang="en-US" altLang="zh-CN" sz="1100"/>
            <a:t>1.5</a:t>
          </a:r>
          <a:endParaRPr lang="zh-CN" altLang="en-US" sz="1100"/>
        </a:p>
      </xdr:txBody>
    </xdr:sp>
    <xdr:clientData/>
  </xdr:twoCellAnchor>
  <xdr:twoCellAnchor>
    <xdr:from>
      <xdr:col>0</xdr:col>
      <xdr:colOff>1476375</xdr:colOff>
      <xdr:row>124</xdr:row>
      <xdr:rowOff>47625</xdr:rowOff>
    </xdr:from>
    <xdr:to>
      <xdr:col>1</xdr:col>
      <xdr:colOff>114300</xdr:colOff>
      <xdr:row>126</xdr:row>
      <xdr:rowOff>123825</xdr:rowOff>
    </xdr:to>
    <xdr:sp macro="" textlink="">
      <xdr:nvSpPr>
        <xdr:cNvPr id="19" name="矩形标注 11">
          <a:extLst>
            <a:ext uri="{FF2B5EF4-FFF2-40B4-BE49-F238E27FC236}">
              <a16:creationId xmlns:a16="http://schemas.microsoft.com/office/drawing/2014/main" id="{702FE2AE-EC6B-4DAE-A0E6-74D905D18865}"/>
            </a:ext>
          </a:extLst>
        </xdr:cNvPr>
        <xdr:cNvSpPr/>
      </xdr:nvSpPr>
      <xdr:spPr>
        <a:xfrm>
          <a:off x="1476375" y="18945225"/>
          <a:ext cx="933450" cy="381000"/>
        </a:xfrm>
        <a:prstGeom prst="wedgeRectCallout">
          <a:avLst>
            <a:gd name="adj1" fmla="val 72025"/>
            <a:gd name="adj2" fmla="val 25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2500-3000</a:t>
          </a:r>
          <a:endParaRPr lang="zh-CN" altLang="en-US" sz="1100"/>
        </a:p>
      </xdr:txBody>
    </xdr:sp>
    <xdr:clientData/>
  </xdr:twoCellAnchor>
  <xdr:twoCellAnchor>
    <xdr:from>
      <xdr:col>1</xdr:col>
      <xdr:colOff>314325</xdr:colOff>
      <xdr:row>123</xdr:row>
      <xdr:rowOff>9525</xdr:rowOff>
    </xdr:from>
    <xdr:to>
      <xdr:col>2</xdr:col>
      <xdr:colOff>666750</xdr:colOff>
      <xdr:row>129</xdr:row>
      <xdr:rowOff>19050</xdr:rowOff>
    </xdr:to>
    <xdr:sp macro="" textlink="">
      <xdr:nvSpPr>
        <xdr:cNvPr id="20" name="矩形 19">
          <a:extLst>
            <a:ext uri="{FF2B5EF4-FFF2-40B4-BE49-F238E27FC236}">
              <a16:creationId xmlns:a16="http://schemas.microsoft.com/office/drawing/2014/main" id="{628DCFCD-2C31-4973-83A0-24AAAB3DE6AF}"/>
            </a:ext>
          </a:extLst>
        </xdr:cNvPr>
        <xdr:cNvSpPr/>
      </xdr:nvSpPr>
      <xdr:spPr>
        <a:xfrm>
          <a:off x="2609850" y="18754725"/>
          <a:ext cx="838200" cy="923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590551</xdr:colOff>
      <xdr:row>32</xdr:row>
      <xdr:rowOff>30759</xdr:rowOff>
    </xdr:to>
    <xdr:pic>
      <xdr:nvPicPr>
        <xdr:cNvPr id="3" name="图片 2">
          <a:extLst>
            <a:ext uri="{FF2B5EF4-FFF2-40B4-BE49-F238E27FC236}">
              <a16:creationId xmlns:a16="http://schemas.microsoft.com/office/drawing/2014/main" id="{14150419-82FF-E8F7-EFD6-7AFABB9943B1}"/>
            </a:ext>
          </a:extLst>
        </xdr:cNvPr>
        <xdr:cNvPicPr>
          <a:picLocks noChangeAspect="1"/>
        </xdr:cNvPicPr>
      </xdr:nvPicPr>
      <xdr:blipFill>
        <a:blip xmlns:r="http://schemas.openxmlformats.org/officeDocument/2006/relationships" r:embed="rId1"/>
        <a:stretch>
          <a:fillRect/>
        </a:stretch>
      </xdr:blipFill>
      <xdr:spPr>
        <a:xfrm>
          <a:off x="1" y="0"/>
          <a:ext cx="7448550" cy="5517159"/>
        </a:xfrm>
        <a:prstGeom prst="rect">
          <a:avLst/>
        </a:prstGeom>
      </xdr:spPr>
    </xdr:pic>
    <xdr:clientData/>
  </xdr:twoCellAnchor>
  <xdr:twoCellAnchor editAs="oneCell">
    <xdr:from>
      <xdr:col>0</xdr:col>
      <xdr:colOff>0</xdr:colOff>
      <xdr:row>32</xdr:row>
      <xdr:rowOff>9525</xdr:rowOff>
    </xdr:from>
    <xdr:to>
      <xdr:col>10</xdr:col>
      <xdr:colOff>596613</xdr:colOff>
      <xdr:row>64</xdr:row>
      <xdr:rowOff>46770</xdr:rowOff>
    </xdr:to>
    <xdr:pic>
      <xdr:nvPicPr>
        <xdr:cNvPr id="4" name="图片 3">
          <a:extLst>
            <a:ext uri="{FF2B5EF4-FFF2-40B4-BE49-F238E27FC236}">
              <a16:creationId xmlns:a16="http://schemas.microsoft.com/office/drawing/2014/main" id="{49FE1CEC-847F-6490-181B-793634929DBF}"/>
            </a:ext>
          </a:extLst>
        </xdr:cNvPr>
        <xdr:cNvPicPr>
          <a:picLocks noChangeAspect="1"/>
        </xdr:cNvPicPr>
      </xdr:nvPicPr>
      <xdr:blipFill>
        <a:blip xmlns:r="http://schemas.openxmlformats.org/officeDocument/2006/relationships" r:embed="rId2"/>
        <a:stretch>
          <a:fillRect/>
        </a:stretch>
      </xdr:blipFill>
      <xdr:spPr>
        <a:xfrm>
          <a:off x="0" y="5495925"/>
          <a:ext cx="7454613" cy="55236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 Id="rId1"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40989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1936</v>
      </c>
      <c r="B1" s="2190" t="s">
        <v>2033</v>
      </c>
    </row>
    <row r="2" spans="1:55" s="2194" customFormat="1" ht="15" thickTop="1">
      <c r="A2" s="2192" t="s">
        <v>1940</v>
      </c>
      <c r="B2" s="2193" t="str">
        <f>'预评函-封皮'!B37</f>
        <v>出让国有建设用地使用权抵押价格预评估</v>
      </c>
      <c r="AX2" s="2195"/>
      <c r="AZ2" s="2195"/>
      <c r="BA2" s="2196"/>
      <c r="BC2" s="2196"/>
    </row>
    <row r="3" spans="1:55">
      <c r="A3" s="2180" t="s">
        <v>1941</v>
      </c>
      <c r="B3" s="2181">
        <f>'预评函-封皮'!B40</f>
        <v>0</v>
      </c>
    </row>
    <row r="4" spans="1:55" s="2182" customFormat="1">
      <c r="A4" s="2180" t="s">
        <v>1942</v>
      </c>
      <c r="B4" s="2181" t="str">
        <f>'预评函-封皮'!B46</f>
        <v>土地估价师、土地估价师</v>
      </c>
      <c r="N4" s="2182" t="str">
        <f>'预评函-1'!A28</f>
        <v/>
      </c>
    </row>
    <row r="5" spans="1:55" s="2191" customFormat="1" ht="15" thickBot="1">
      <c r="A5" s="2197" t="s">
        <v>1943</v>
      </c>
      <c r="B5" s="2198" t="str">
        <f>'预评函-封皮'!B49</f>
        <v>康正预评字号</v>
      </c>
    </row>
    <row r="6" spans="1:55" s="2199" customFormat="1" ht="15" thickTop="1">
      <c r="A6" s="2192" t="s">
        <v>1985</v>
      </c>
      <c r="B6" s="2193" t="str">
        <f>'预评函-1'!A4</f>
        <v>受贵公司委托，我公司对出让国有建设用地使用权抵押价格进行了预评估。</v>
      </c>
      <c r="AM6" s="2200"/>
    </row>
    <row r="7" spans="1:55">
      <c r="A7" s="2180" t="s">
        <v>1937</v>
      </c>
      <c r="B7" s="2181" t="str">
        <f>'预评函-1'!A6</f>
        <v>估价对象为使用的、位于出让国有建设用地使用权。根据《国有土地使用证》[]，估价对象（分摊）出让国有建设用地使用权面积为16985.07平方米。根据《建设工程规划许可证》[]、《出让合同》[]，估价对象规划建筑面积为42462平方米。</v>
      </c>
    </row>
    <row r="8" spans="1:55">
      <c r="A8" s="2180" t="s">
        <v>1938</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1988</v>
      </c>
      <c r="B9" s="218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1939</v>
      </c>
      <c r="B10" s="2181" t="str">
        <f>'预评函-1'!A11</f>
        <v>2025年6月9日（评估专业人员勘察现场之日）</v>
      </c>
    </row>
    <row r="11" spans="1:55">
      <c r="A11" s="2180" t="s">
        <v>1945</v>
      </c>
      <c r="B11" s="2181" t="str">
        <f>'预评函-1'!A14</f>
        <v>根据《国有土地使用证》[]，本次评估估价对象证载（地类）用途为。</v>
      </c>
    </row>
    <row r="12" spans="1:55">
      <c r="A12" s="2180" t="s">
        <v>1946</v>
      </c>
      <c r="B12" s="2181" t="str">
        <f>'预评函-1'!A15</f>
        <v>本次评估设定用途即为证载用途。</v>
      </c>
    </row>
    <row r="13" spans="1:55">
      <c r="A13" s="2180" t="s">
        <v>1947</v>
      </c>
      <c r="B13" s="2181" t="str">
        <f>'预评函-1'!A17</f>
        <v>根据委托估价方介绍及评估专业人员现场勘查，本次评估估价对象实际土地开发程度为红线外市政基础设施达“七通”（即、、、、、、）、宗地红线内场地平整。</v>
      </c>
    </row>
    <row r="14" spans="1:55">
      <c r="A14" s="2180" t="s">
        <v>1948</v>
      </c>
      <c r="B14" s="2181" t="str">
        <f>'预评函-1'!A18</f>
        <v>。本次评估设定土地开发程度为红线外市政基础设施达“七通”、宗地红线内场地平整。</v>
      </c>
    </row>
    <row r="15" spans="1:55">
      <c r="A15" s="2180" t="s">
        <v>1944</v>
      </c>
      <c r="B15" s="2181" t="str">
        <f>'预评函-1'!A20</f>
        <v>根据《国有土地使用证》[]，估价对象（分摊）出让国有建设用地使用权面积为16985.07平方米。根据《建设工程规划许可证》[]、《出让合同》[]，估价对象规划建筑面积为42462平方米。</v>
      </c>
    </row>
    <row r="16" spans="1:55">
      <c r="A16" s="2180" t="s">
        <v>1949</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9月28日。截至估价期日，出让国有建设用地使用权剩余土地使用年限为。</v>
      </c>
    </row>
    <row r="17" spans="1:48">
      <c r="A17" s="2180" t="s">
        <v>1950</v>
      </c>
      <c r="B17" s="2181" t="str">
        <f>'预评函-1'!A23</f>
        <v>本次评估设定估价对象剩余土地使用年限为。</v>
      </c>
    </row>
    <row r="18" spans="1:48">
      <c r="A18" s="2180" t="s">
        <v>1951</v>
      </c>
      <c r="B18" s="2181" t="str">
        <f>'预评函-1'!A25</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19" spans="1:48">
      <c r="A19" s="2180" t="s">
        <v>1952</v>
      </c>
      <c r="B19" s="2181" t="str">
        <f>'预评函-1'!A26</f>
        <v>本次估价的“抵押价格”是指估价对象在估价期日的“出让国有建设用地使用权价格”扣减估价师于估价期日所知悉的法定优先受偿款后的余额。</v>
      </c>
    </row>
    <row r="20" spans="1:48">
      <c r="A20" s="2180" t="s">
        <v>1953</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1954</v>
      </c>
      <c r="B21" s="2198" t="str">
        <f>'预评函-1'!A28</f>
        <v/>
      </c>
    </row>
    <row r="22" spans="1:48" ht="15" thickTop="1">
      <c r="A22" s="2187" t="s">
        <v>1955</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1956</v>
      </c>
      <c r="B23" s="2181" t="str">
        <f>'预评函-2'!K2</f>
        <v>估价期日：2025年6月9日</v>
      </c>
    </row>
    <row r="24" spans="1:48">
      <c r="A24" s="2180" t="s">
        <v>1957</v>
      </c>
      <c r="B24" s="2181" t="str">
        <f>'预评函-2'!R2</f>
        <v>估价期日的国有建设用地使用权性质：出让</v>
      </c>
    </row>
    <row r="25" spans="1:48">
      <c r="A25" s="2180" t="s">
        <v>2013</v>
      </c>
      <c r="B25" s="2181" t="str">
        <f>'预评函-2'!A3</f>
        <v>估价期日土地使用者</v>
      </c>
    </row>
    <row r="26" spans="1:48">
      <c r="A26" s="2180" t="s">
        <v>1989</v>
      </c>
      <c r="B26" s="2181" t="str">
        <f>'预评函-2'!A5</f>
        <v>中信开发</v>
      </c>
    </row>
    <row r="27" spans="1:48">
      <c r="A27" s="2180" t="s">
        <v>2014</v>
      </c>
      <c r="B27" s="2181" t="str">
        <f>'预评函-2'!B3</f>
        <v>宗地编号/不动产单元号</v>
      </c>
    </row>
    <row r="28" spans="1:48">
      <c r="A28" s="2180" t="s">
        <v>1990</v>
      </c>
      <c r="B28" s="2181" t="str">
        <f>'预评函-2'!B5</f>
        <v>11111111111</v>
      </c>
    </row>
    <row r="29" spans="1:48">
      <c r="A29" s="2180" t="s">
        <v>2016</v>
      </c>
      <c r="B29" s="2181">
        <f>'预评函-2'!C5</f>
        <v>22</v>
      </c>
    </row>
    <row r="30" spans="1:48">
      <c r="A30" s="2180" t="s">
        <v>2017</v>
      </c>
      <c r="B30" s="2181" t="str">
        <f>'预评函-2'!D3</f>
        <v>土地使用证编号/不动产权证书编号</v>
      </c>
    </row>
    <row r="31" spans="1:48">
      <c r="A31" s="2180" t="s">
        <v>1991</v>
      </c>
      <c r="B31" s="2181" t="str">
        <f>'预评函-2'!D5</f>
        <v>京国土字第111号</v>
      </c>
    </row>
    <row r="32" spans="1:48">
      <c r="A32" s="2180" t="s">
        <v>1992</v>
      </c>
      <c r="B32" s="2181">
        <f>'预评函-2'!E5</f>
        <v>0</v>
      </c>
      <c r="AV32" s="2183"/>
    </row>
    <row r="33" spans="1:2">
      <c r="A33" s="2180" t="s">
        <v>1993</v>
      </c>
      <c r="B33" s="2181">
        <f>'预评函-2'!F5</f>
        <v>258</v>
      </c>
    </row>
    <row r="34" spans="1:2">
      <c r="A34" s="2180" t="s">
        <v>1994</v>
      </c>
      <c r="B34" s="2181">
        <f>'预评函-2'!G5</f>
        <v>0</v>
      </c>
    </row>
    <row r="35" spans="1:2">
      <c r="A35" s="2180" t="s">
        <v>1995</v>
      </c>
      <c r="B35" s="2181">
        <f>'预评函-2'!H5</f>
        <v>1.5</v>
      </c>
    </row>
    <row r="36" spans="1:2">
      <c r="A36" s="2180" t="s">
        <v>1996</v>
      </c>
      <c r="B36" s="2181">
        <f>'预评函-2'!I5</f>
        <v>1.5</v>
      </c>
    </row>
    <row r="37" spans="1:2">
      <c r="A37" s="2180" t="s">
        <v>1997</v>
      </c>
      <c r="B37" s="2181">
        <f>'预评函-2'!J5</f>
        <v>1.5</v>
      </c>
    </row>
    <row r="38" spans="1:2">
      <c r="A38" s="2180" t="s">
        <v>1998</v>
      </c>
      <c r="B38" s="2181" t="str">
        <f>'预评函-2'!K5</f>
        <v>红线外七通、宗地红线内</v>
      </c>
    </row>
    <row r="39" spans="1:2">
      <c r="A39" s="2180" t="s">
        <v>1999</v>
      </c>
      <c r="B39" s="2181" t="str">
        <f>'预评函-2'!L5</f>
        <v>红线外七通、宗地红线内场地</v>
      </c>
    </row>
    <row r="40" spans="1:2">
      <c r="A40" s="2180" t="s">
        <v>2018</v>
      </c>
      <c r="B40" s="2181" t="str">
        <f>'预评函-2'!M3</f>
        <v>（剩余）土地使用年限/年</v>
      </c>
    </row>
    <row r="41" spans="1:2">
      <c r="A41" s="2180" t="s">
        <v>2000</v>
      </c>
      <c r="B41" s="2181">
        <f>'预评函-2'!M5</f>
        <v>0</v>
      </c>
    </row>
    <row r="42" spans="1:2">
      <c r="A42" s="2180" t="s">
        <v>2019</v>
      </c>
      <c r="B42" s="2181" t="str">
        <f>'预评函-2'!N3</f>
        <v>（分摊）出让国有建设用地使用权面积/㎡</v>
      </c>
    </row>
    <row r="43" spans="1:2">
      <c r="A43" s="2180" t="s">
        <v>2001</v>
      </c>
      <c r="B43" s="2181">
        <f>'预评函-2'!N5</f>
        <v>16985.07</v>
      </c>
    </row>
    <row r="44" spans="1:2">
      <c r="A44" s="2180" t="s">
        <v>2020</v>
      </c>
      <c r="B44" s="2181" t="str">
        <f>'预评函-2'!O3</f>
        <v>规划建筑面积/㎡</v>
      </c>
    </row>
    <row r="45" spans="1:2">
      <c r="A45" s="2180" t="s">
        <v>2002</v>
      </c>
      <c r="B45" s="2181">
        <f>'预评函-2'!O5</f>
        <v>42462</v>
      </c>
    </row>
    <row r="46" spans="1:2">
      <c r="A46" s="2180" t="s">
        <v>2003</v>
      </c>
      <c r="B46" s="2181">
        <f ca="1">'预评函-2'!P5</f>
        <v>3759</v>
      </c>
    </row>
    <row r="47" spans="1:2">
      <c r="A47" s="2180" t="s">
        <v>2004</v>
      </c>
      <c r="B47" s="2181">
        <f ca="1">'预评函-2'!Q5</f>
        <v>1503</v>
      </c>
    </row>
    <row r="48" spans="1:2">
      <c r="A48" s="2180" t="s">
        <v>2005</v>
      </c>
      <c r="B48" s="2181">
        <f ca="1">'预评函-2'!R5</f>
        <v>6384</v>
      </c>
    </row>
    <row r="49" spans="1:2">
      <c r="A49" s="2180" t="s">
        <v>2021</v>
      </c>
      <c r="B49" s="2181" t="str">
        <f>'预评函-2'!A6</f>
        <v>抵押价格</v>
      </c>
    </row>
    <row r="50" spans="1:2">
      <c r="A50" s="2180" t="s">
        <v>2006</v>
      </c>
      <c r="B50" s="2181">
        <f ca="1">'预评函-2'!R6</f>
        <v>6226</v>
      </c>
    </row>
    <row r="51" spans="1:2">
      <c r="A51" s="2180" t="s">
        <v>2022</v>
      </c>
      <c r="B51" s="2181" t="str">
        <f>'预评函-2'!A7</f>
        <v>——</v>
      </c>
    </row>
    <row r="52" spans="1:2">
      <c r="A52" s="2180" t="s">
        <v>2007</v>
      </c>
      <c r="B52" s="2181" t="str">
        <f>'预评函-2'!R7</f>
        <v>——</v>
      </c>
    </row>
    <row r="53" spans="1:2">
      <c r="A53" s="2180" t="s">
        <v>2023</v>
      </c>
      <c r="B53" s="2181" t="str">
        <f>'预评函-2'!A8</f>
        <v>——</v>
      </c>
    </row>
    <row r="54" spans="1:2" s="2191" customFormat="1" ht="15" thickBot="1">
      <c r="A54" s="2197" t="s">
        <v>2008</v>
      </c>
      <c r="B54" s="2198" t="str">
        <f>'预评函-2'!R8</f>
        <v>——</v>
      </c>
    </row>
    <row r="55" spans="1:2" ht="15" thickTop="1">
      <c r="A55" s="2187" t="s">
        <v>1958</v>
      </c>
      <c r="B55" s="2188" t="str">
        <f>'预评函-3'!A2</f>
        <v>1.权利限制：根据估价对象《不动产权证书》原件、《国有土地使用权》复印件，截至估价期日，估价对象抵押权未见登记。未设定租赁等其他他项权利。</v>
      </c>
    </row>
    <row r="56" spans="1:2">
      <c r="A56" s="2180" t="s">
        <v>1959</v>
      </c>
      <c r="B56" s="2181" t="str">
        <f>'预评函-3'!A3</f>
        <v>2.基础设施条件：估价对象实际开发程度为红线外七通、宗地红线内；本次评估设定开发程度为红线外七通、宗地红线内场地。</v>
      </c>
    </row>
    <row r="57" spans="1:2">
      <c r="A57" s="2180" t="s">
        <v>1960</v>
      </c>
      <c r="B57" s="2181" t="str">
        <f>'预评函-3'!A4</f>
        <v>3.估价规划限制条件：详见《建设工程规划许可证》[]、《出让合同》[]。</v>
      </c>
    </row>
    <row r="58" spans="1:2" s="2191" customFormat="1" ht="15" thickBot="1">
      <c r="A58" s="2197" t="s">
        <v>2009</v>
      </c>
      <c r="B58" s="2198" t="str">
        <f>'预评函-3'!A5</f>
        <v>4.影响价格的其他限定条件：无。</v>
      </c>
    </row>
    <row r="59" spans="1:2" ht="15" thickTop="1">
      <c r="A59" s="2187" t="s">
        <v>1961</v>
      </c>
      <c r="B59" s="2188" t="str">
        <f>'预评函-3'!A8</f>
        <v>2.本《评估意见函》仅供金融机构进行内部审核使用，不做其他目的之用。</v>
      </c>
    </row>
    <row r="60" spans="1:2">
      <c r="A60" s="2180" t="s">
        <v>1962</v>
      </c>
      <c r="B60" s="2181" t="str">
        <f>'预评函-3'!A9</f>
        <v>3.抵押双方在办理抵押登记手续时，应使用本公司出具的正式《土地估价报告》，特提请报告使用者注意。</v>
      </c>
    </row>
    <row r="61" spans="1:2">
      <c r="A61" s="2180" t="s">
        <v>1964</v>
      </c>
      <c r="B61" s="2181" t="str">
        <f>'预评函-3'!A10</f>
        <v>4.估价师所知悉的法定优先受偿款情况为：</v>
      </c>
    </row>
    <row r="62" spans="1:2">
      <c r="A62" s="2180" t="s">
        <v>1963</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180" t="s">
        <v>1965</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1966</v>
      </c>
      <c r="B64" s="2184" t="str">
        <f>'预评函-3'!A13</f>
        <v>（3）。</v>
      </c>
    </row>
    <row r="65" spans="1:2">
      <c r="A65" s="2180" t="s">
        <v>1967</v>
      </c>
      <c r="B65" s="2181" t="str">
        <f>'预评函-3'!A14</f>
        <v>综上，本次评估估价师知悉的法定优先受偿款为人民币158万元整。</v>
      </c>
    </row>
    <row r="66" spans="1:2">
      <c r="A66" s="2180" t="s">
        <v>1968</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1969</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1972</v>
      </c>
      <c r="B68" s="2201">
        <f>'预评函-3'!D30</f>
        <v>42558</v>
      </c>
    </row>
    <row r="69" spans="1:2" ht="15" thickTop="1">
      <c r="A69" s="2187" t="s">
        <v>1970</v>
      </c>
      <c r="B69" s="2188" t="str">
        <f>'预评函-3'!A20</f>
        <v>土地估价师</v>
      </c>
    </row>
    <row r="70" spans="1:2">
      <c r="A70" s="2180" t="s">
        <v>1970</v>
      </c>
      <c r="B70" s="2181">
        <f>'预评函-3'!B20</f>
        <v>0</v>
      </c>
    </row>
    <row r="71" spans="1:2">
      <c r="A71" s="2180" t="s">
        <v>1971</v>
      </c>
      <c r="B71" s="2181" t="str">
        <f>'预评函-3'!A21</f>
        <v>土地估价师</v>
      </c>
    </row>
    <row r="72" spans="1:2" s="2191" customFormat="1" ht="15" thickBot="1">
      <c r="A72" s="2197" t="s">
        <v>1971</v>
      </c>
      <c r="B72" s="2198">
        <f>'预评函-3'!B21</f>
        <v>0</v>
      </c>
    </row>
    <row r="73" spans="1:2" ht="15" thickTop="1">
      <c r="A73" s="2187" t="s">
        <v>2030</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2031</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2032</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2062</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4"/>
    <col min="9" max="18" width="9.625" style="2694" customWidth="1"/>
    <col min="19" max="16384" width="15.25" style="2694"/>
  </cols>
  <sheetData>
    <row r="1" spans="1:18">
      <c r="A1" s="3030" t="s">
        <v>2661</v>
      </c>
      <c r="B1" s="3031"/>
      <c r="C1" s="3031"/>
      <c r="D1" s="3031"/>
      <c r="E1" s="3031"/>
      <c r="F1" s="3032"/>
      <c r="I1" s="3049" t="s">
        <v>3274</v>
      </c>
      <c r="J1" s="3062"/>
      <c r="K1" s="3062"/>
      <c r="L1" s="3062"/>
      <c r="M1" s="3062"/>
      <c r="N1" s="3195"/>
      <c r="O1" s="3195"/>
      <c r="P1" s="3195"/>
      <c r="Q1" s="3195"/>
      <c r="R1" s="3195"/>
    </row>
    <row r="2" spans="1:18">
      <c r="A2" s="3033"/>
      <c r="B2" s="3034"/>
      <c r="C2" s="3034"/>
      <c r="D2" s="3034"/>
      <c r="E2" s="3034"/>
      <c r="F2" s="3035"/>
      <c r="I2" s="3450" t="s">
        <v>3275</v>
      </c>
      <c r="J2" s="3450"/>
      <c r="K2" s="3450"/>
      <c r="L2" s="3450"/>
      <c r="M2" s="3450"/>
      <c r="N2" s="3450"/>
      <c r="O2" s="3450"/>
      <c r="P2" s="3450"/>
      <c r="Q2" s="3450"/>
      <c r="R2" s="3450"/>
    </row>
    <row r="3" spans="1:18">
      <c r="A3" s="2987" t="s">
        <v>2662</v>
      </c>
      <c r="B3" s="3036">
        <f>项目基本情况!D3</f>
        <v>45817</v>
      </c>
      <c r="C3" s="3037"/>
      <c r="D3" s="3037"/>
      <c r="E3" s="3037"/>
      <c r="F3" s="3035"/>
      <c r="I3" s="3053"/>
      <c r="J3" s="3053" t="s">
        <v>3276</v>
      </c>
      <c r="K3" s="3053" t="s">
        <v>3277</v>
      </c>
      <c r="L3" s="3053" t="s">
        <v>3278</v>
      </c>
      <c r="M3" s="3053" t="s">
        <v>3279</v>
      </c>
      <c r="N3" s="3392" t="s">
        <v>3280</v>
      </c>
      <c r="O3" s="3392" t="s">
        <v>3281</v>
      </c>
      <c r="P3" s="3392" t="s">
        <v>3282</v>
      </c>
      <c r="Q3" s="3392" t="s">
        <v>3283</v>
      </c>
      <c r="R3" s="3392" t="s">
        <v>3272</v>
      </c>
    </row>
    <row r="4" spans="1:18">
      <c r="A4" s="2987" t="s">
        <v>2663</v>
      </c>
      <c r="B4" s="3038" t="s">
        <v>2664</v>
      </c>
      <c r="C4" s="3038" t="s">
        <v>2665</v>
      </c>
      <c r="D4" s="3038" t="s">
        <v>2666</v>
      </c>
      <c r="E4" s="3038" t="s">
        <v>2667</v>
      </c>
      <c r="F4" s="3035"/>
      <c r="I4" s="3053" t="s">
        <v>3284</v>
      </c>
      <c r="J4" s="3053">
        <v>80</v>
      </c>
      <c r="K4" s="3053">
        <v>70</v>
      </c>
      <c r="L4" s="3053">
        <v>20</v>
      </c>
      <c r="M4" s="3053">
        <v>30</v>
      </c>
      <c r="N4" s="3038">
        <v>45</v>
      </c>
      <c r="O4" s="3038">
        <v>60</v>
      </c>
      <c r="P4" s="3038">
        <v>50</v>
      </c>
      <c r="Q4" s="3038">
        <v>20</v>
      </c>
      <c r="R4" s="3038">
        <v>375</v>
      </c>
    </row>
    <row r="5" spans="1:18">
      <c r="A5" s="3039"/>
      <c r="B5" s="3036"/>
      <c r="C5" s="3038">
        <f>ROUNDDOWN(MIN((B5-B3)/365,A5),2)</f>
        <v>-125.52</v>
      </c>
      <c r="D5" s="3040">
        <f>IF(ISERROR(ROUND(POWER(1+E5,A5-C5)*(POWER(1+E5,C5)-1)/(POWER(1+E5,A5)-1),3)),0,ROUND(POWER(1+E5,A5-C5)*(POWER(1+E5,C5)-1)/(POWER(1+E5,A5)-1),4))</f>
        <v>0</v>
      </c>
      <c r="E5" s="3041"/>
      <c r="F5" s="3035"/>
      <c r="I5" s="3053" t="s">
        <v>3285</v>
      </c>
      <c r="J5" s="3053">
        <v>70</v>
      </c>
      <c r="K5" s="3053">
        <v>60</v>
      </c>
      <c r="L5" s="3053">
        <v>15</v>
      </c>
      <c r="M5" s="3053">
        <v>25</v>
      </c>
      <c r="N5" s="3038">
        <v>40</v>
      </c>
      <c r="O5" s="3038">
        <v>50</v>
      </c>
      <c r="P5" s="3038">
        <v>40</v>
      </c>
      <c r="Q5" s="3038">
        <v>15</v>
      </c>
      <c r="R5" s="3038">
        <v>315</v>
      </c>
    </row>
    <row r="6" spans="1:18">
      <c r="A6" s="3039"/>
      <c r="B6" s="3036"/>
      <c r="C6" s="3038">
        <f>ROUNDDOWN(MIN((B6-B3)/365,A6),2)</f>
        <v>-125.52</v>
      </c>
      <c r="D6" s="3040">
        <f>IF(ISERROR(ROUND(POWER(1+E6,A6-C6)*(POWER(1+E6,C6)-1)/(POWER(1+E6,A6)-1),3)),0,ROUND(POWER(1+E6,A6-C6)*(POWER(1+E6,C6)-1)/(POWER(1+E6,A6)-1),4))</f>
        <v>0</v>
      </c>
      <c r="E6" s="3041"/>
      <c r="F6" s="3035"/>
      <c r="I6" s="3053" t="s">
        <v>3286</v>
      </c>
      <c r="J6" s="3053">
        <v>60</v>
      </c>
      <c r="K6" s="3053">
        <v>50</v>
      </c>
      <c r="L6" s="3053">
        <v>10</v>
      </c>
      <c r="M6" s="3053">
        <v>20</v>
      </c>
      <c r="N6" s="3038">
        <v>35</v>
      </c>
      <c r="O6" s="3038">
        <v>40</v>
      </c>
      <c r="P6" s="3038">
        <v>30</v>
      </c>
      <c r="Q6" s="3038">
        <v>10</v>
      </c>
      <c r="R6" s="3038">
        <v>255</v>
      </c>
    </row>
    <row r="7" spans="1:18">
      <c r="A7" s="3039"/>
      <c r="B7" s="3036"/>
      <c r="C7" s="3038">
        <f>ROUNDDOWN(MIN((B7-B3)/365,A7),2)</f>
        <v>-125.52</v>
      </c>
      <c r="D7" s="3040">
        <f>IF(ISERROR(ROUND(POWER(1+E7,A7-C7)*(POWER(1+E7,C7)-1)/(POWER(1+E7,A7)-1),3)),0,ROUND(POWER(1+E7,A7-C7)*(POWER(1+E7,C7)-1)/(POWER(1+E7,A7)-1),4))</f>
        <v>0</v>
      </c>
      <c r="E7" s="3041"/>
      <c r="F7" s="3035"/>
    </row>
    <row r="8" spans="1:18">
      <c r="A8" s="3033"/>
      <c r="B8" s="3034"/>
      <c r="C8" s="3034"/>
      <c r="D8" s="3034"/>
      <c r="E8" s="3034"/>
      <c r="F8" s="3035"/>
    </row>
    <row r="9" spans="1:18">
      <c r="A9" s="2987" t="s">
        <v>2668</v>
      </c>
      <c r="B9" s="3038"/>
      <c r="C9" s="3038"/>
      <c r="D9" s="3038"/>
      <c r="E9" s="3038"/>
      <c r="F9" s="3042"/>
    </row>
    <row r="10" spans="1:18">
      <c r="A10" s="2987" t="s">
        <v>2669</v>
      </c>
      <c r="B10" s="3038"/>
      <c r="C10" s="3038"/>
      <c r="D10" s="3038" t="s">
        <v>2667</v>
      </c>
      <c r="E10" s="3038"/>
      <c r="F10" s="3042" t="s">
        <v>2666</v>
      </c>
    </row>
    <row r="11" spans="1:18">
      <c r="A11" s="2987" t="s">
        <v>2670</v>
      </c>
      <c r="B11" s="3043"/>
      <c r="C11" s="3038" t="s">
        <v>2671</v>
      </c>
      <c r="D11" s="3043"/>
      <c r="E11" s="3038" t="s">
        <v>2672</v>
      </c>
      <c r="F11" s="3044">
        <f>ROUND(1-(1/(POWER(1+D11,B11))),4)</f>
        <v>0</v>
      </c>
    </row>
    <row r="12" spans="1:18">
      <c r="A12" s="2987" t="s">
        <v>2673</v>
      </c>
      <c r="B12" s="3043"/>
      <c r="C12" s="3038" t="s">
        <v>2674</v>
      </c>
      <c r="D12" s="3043"/>
      <c r="E12" s="3038" t="s">
        <v>2675</v>
      </c>
      <c r="F12" s="3044">
        <f>ROUND(1-(1/(POWER(1+D12,B12))),4)</f>
        <v>0</v>
      </c>
    </row>
    <row r="13" spans="1:18">
      <c r="A13" s="2987" t="s">
        <v>2676</v>
      </c>
      <c r="B13" s="3038"/>
      <c r="C13" s="3037"/>
      <c r="D13" s="3034"/>
      <c r="E13" s="3034"/>
      <c r="F13" s="3035"/>
    </row>
    <row r="14" spans="1:18">
      <c r="A14" s="2987" t="s">
        <v>2677</v>
      </c>
      <c r="B14" s="3043"/>
      <c r="C14" s="3037"/>
      <c r="D14" s="3034"/>
      <c r="E14" s="3034"/>
      <c r="F14" s="3035"/>
    </row>
    <row r="15" spans="1:18">
      <c r="A15" s="2987" t="s">
        <v>2678</v>
      </c>
      <c r="B15" s="3038" t="e">
        <f>ROUND(B14*F12/F11,2)</f>
        <v>#DIV/0!</v>
      </c>
      <c r="C15" s="3038" t="e">
        <f>ROUND(F12/F11,4)</f>
        <v>#DIV/0!</v>
      </c>
      <c r="D15" s="3034"/>
      <c r="E15" s="3034"/>
      <c r="F15" s="3035"/>
    </row>
    <row r="16" spans="1:18">
      <c r="A16" s="2987" t="s">
        <v>2679</v>
      </c>
      <c r="B16" s="3038"/>
      <c r="C16" s="3037"/>
      <c r="D16" s="3034"/>
      <c r="E16" s="3034"/>
      <c r="F16" s="3035"/>
    </row>
    <row r="17" spans="1:14">
      <c r="A17" s="2987" t="s">
        <v>2678</v>
      </c>
      <c r="B17" s="3043"/>
      <c r="C17" s="3037"/>
      <c r="D17" s="3034"/>
      <c r="E17" s="3034"/>
      <c r="F17" s="3035"/>
    </row>
    <row r="18" spans="1:14" ht="14.25" thickBot="1">
      <c r="A18" s="3045" t="s">
        <v>2677</v>
      </c>
      <c r="B18" s="3046" t="e">
        <f>ROUND(B17*F11/F12,2)</f>
        <v>#DIV/0!</v>
      </c>
      <c r="C18" s="3046" t="e">
        <f>ROUND(F11/F12,4)</f>
        <v>#DIV/0!</v>
      </c>
      <c r="D18" s="3047"/>
      <c r="E18" s="3047"/>
      <c r="F18" s="3048"/>
    </row>
    <row r="19" spans="1:14" ht="14.25" thickBot="1"/>
    <row r="20" spans="1:14" ht="14.25" thickTop="1">
      <c r="A20" s="3049" t="s">
        <v>2680</v>
      </c>
      <c r="B20" s="3050"/>
      <c r="C20" s="3050"/>
      <c r="D20" s="3050"/>
      <c r="E20" s="3050"/>
      <c r="F20" s="3050"/>
      <c r="G20" s="3051"/>
      <c r="I20" s="3395" t="s">
        <v>3287</v>
      </c>
      <c r="J20" s="3395" t="s">
        <v>3288</v>
      </c>
      <c r="K20" s="3395"/>
      <c r="L20" s="3395"/>
      <c r="M20" s="3395"/>
      <c r="N20" s="3396"/>
    </row>
    <row r="21" spans="1:14">
      <c r="A21" s="3052"/>
      <c r="B21" s="3053" t="s">
        <v>2681</v>
      </c>
      <c r="C21" s="3053" t="s">
        <v>2682</v>
      </c>
      <c r="D21" s="3053" t="s">
        <v>2683</v>
      </c>
      <c r="E21" s="3053" t="s">
        <v>2684</v>
      </c>
      <c r="F21" s="3053" t="s">
        <v>2685</v>
      </c>
      <c r="G21" s="3054" t="s">
        <v>2686</v>
      </c>
      <c r="I21" s="3397">
        <v>5</v>
      </c>
      <c r="J21" s="3397">
        <v>54.2</v>
      </c>
      <c r="K21" s="3397"/>
      <c r="L21" s="3397"/>
      <c r="M21" s="3397"/>
    </row>
    <row r="22" spans="1:14">
      <c r="A22" s="3052" t="s">
        <v>2687</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2688</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3289</v>
      </c>
      <c r="M23" s="3397"/>
      <c r="N23" s="3398" t="s">
        <v>3290</v>
      </c>
    </row>
    <row r="24" spans="1:14">
      <c r="A24" s="3057" t="s">
        <v>2689</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3291</v>
      </c>
      <c r="M24" s="3397"/>
      <c r="N24" s="3398">
        <v>10</v>
      </c>
    </row>
    <row r="25" spans="1:14">
      <c r="A25" s="3057" t="s">
        <v>2690</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3292</v>
      </c>
      <c r="M25" s="3397"/>
      <c r="N25" s="3398">
        <v>8</v>
      </c>
    </row>
    <row r="26" spans="1:14">
      <c r="A26" s="3058"/>
      <c r="B26" s="3059"/>
      <c r="C26" s="3059"/>
      <c r="D26" s="3059"/>
      <c r="E26" s="3059"/>
      <c r="F26" s="3059"/>
      <c r="G26" s="3060"/>
      <c r="I26" s="3397">
        <v>30</v>
      </c>
      <c r="J26" s="3397">
        <v>90.5</v>
      </c>
      <c r="K26" s="3397">
        <f t="shared" si="0"/>
        <v>4.2000000000000028</v>
      </c>
      <c r="L26" s="3397" t="s">
        <v>3293</v>
      </c>
      <c r="M26" s="3397"/>
      <c r="N26" s="3398">
        <v>5</v>
      </c>
    </row>
    <row r="27" spans="1:14">
      <c r="A27" s="3061" t="s">
        <v>2691</v>
      </c>
      <c r="B27" s="3062"/>
      <c r="C27" s="3062"/>
      <c r="D27" s="3062"/>
      <c r="E27" s="3062"/>
      <c r="F27" s="3062"/>
      <c r="G27" s="3063"/>
      <c r="I27" s="3397">
        <v>35</v>
      </c>
      <c r="J27" s="3397">
        <v>93.8</v>
      </c>
      <c r="K27" s="3397">
        <f t="shared" si="0"/>
        <v>3.2999999999999972</v>
      </c>
      <c r="L27" s="3397" t="s">
        <v>3294</v>
      </c>
      <c r="M27" s="3397"/>
      <c r="N27" s="3398">
        <v>3</v>
      </c>
    </row>
    <row r="28" spans="1:14">
      <c r="A28" s="3061" t="s">
        <v>2692</v>
      </c>
      <c r="B28" s="3062"/>
      <c r="C28" s="3062"/>
      <c r="D28" s="3062"/>
      <c r="E28" s="3062"/>
      <c r="F28" s="3062"/>
      <c r="G28" s="3063"/>
      <c r="I28" s="3397">
        <v>40</v>
      </c>
      <c r="J28" s="3397">
        <v>96.4</v>
      </c>
      <c r="K28" s="3397">
        <f t="shared" si="0"/>
        <v>2.6000000000000085</v>
      </c>
      <c r="L28" s="3397" t="s">
        <v>3295</v>
      </c>
      <c r="M28" s="3397"/>
      <c r="N28" s="3398">
        <v>2</v>
      </c>
    </row>
    <row r="29" spans="1:14">
      <c r="A29" s="3061" t="s">
        <v>2693</v>
      </c>
      <c r="B29" s="3062"/>
      <c r="C29" s="3062"/>
      <c r="D29" s="3062"/>
      <c r="E29" s="3062"/>
      <c r="F29" s="3062"/>
      <c r="G29" s="3063"/>
      <c r="I29" s="3397">
        <v>45</v>
      </c>
      <c r="J29" s="3397">
        <v>98.4</v>
      </c>
      <c r="K29" s="3397">
        <f t="shared" si="0"/>
        <v>2</v>
      </c>
      <c r="L29" s="3397"/>
      <c r="M29" s="3397"/>
    </row>
    <row r="30" spans="1:14">
      <c r="A30" s="3061" t="s">
        <v>2694</v>
      </c>
      <c r="B30" s="3062"/>
      <c r="C30" s="3062"/>
      <c r="D30" s="3062"/>
      <c r="E30" s="3062"/>
      <c r="F30" s="3062"/>
      <c r="G30" s="3063"/>
      <c r="I30" s="3397">
        <v>50</v>
      </c>
      <c r="J30" s="3397">
        <v>100</v>
      </c>
      <c r="K30" s="3397">
        <f t="shared" si="0"/>
        <v>1.5999999999999943</v>
      </c>
      <c r="L30" s="3397"/>
      <c r="M30" s="3397"/>
    </row>
    <row r="31" spans="1:14">
      <c r="A31" s="3061" t="s">
        <v>2695</v>
      </c>
      <c r="B31" s="3062"/>
      <c r="C31" s="3062"/>
      <c r="D31" s="3062"/>
      <c r="E31" s="3062"/>
      <c r="F31" s="3062"/>
      <c r="G31" s="3063"/>
      <c r="I31" s="3397" t="s">
        <v>3296</v>
      </c>
      <c r="J31" s="3397"/>
      <c r="K31" s="3397"/>
      <c r="L31" s="3397"/>
      <c r="M31" s="3397"/>
    </row>
    <row r="32" spans="1:14">
      <c r="A32" s="3061" t="s">
        <v>2696</v>
      </c>
      <c r="B32" s="3062"/>
      <c r="C32" s="3062"/>
      <c r="D32" s="3062"/>
      <c r="E32" s="3062"/>
      <c r="F32" s="3062"/>
      <c r="G32" s="3063"/>
      <c r="I32" s="3397"/>
      <c r="J32" s="3397"/>
      <c r="K32" s="3397"/>
      <c r="L32" s="3397"/>
      <c r="M32" s="3397"/>
    </row>
    <row r="33" spans="1:14">
      <c r="A33" s="3061" t="s">
        <v>2697</v>
      </c>
      <c r="B33" s="3062"/>
      <c r="C33" s="3062"/>
      <c r="D33" s="3062"/>
      <c r="E33" s="3062"/>
      <c r="F33" s="3062"/>
      <c r="G33" s="3063"/>
      <c r="I33" s="3397" t="s">
        <v>3287</v>
      </c>
      <c r="J33" s="3397" t="s">
        <v>3297</v>
      </c>
      <c r="K33" s="3397"/>
      <c r="L33" s="3397"/>
      <c r="M33" s="3397"/>
    </row>
    <row r="34" spans="1:14">
      <c r="A34" s="3061" t="s">
        <v>2698</v>
      </c>
      <c r="B34" s="3062"/>
      <c r="C34" s="3062"/>
      <c r="D34" s="3062"/>
      <c r="E34" s="3062"/>
      <c r="F34" s="3062"/>
      <c r="G34" s="3063"/>
      <c r="I34" s="3397">
        <v>5</v>
      </c>
      <c r="J34" s="3397">
        <v>55.1</v>
      </c>
      <c r="K34" s="3397"/>
      <c r="L34" s="3397"/>
      <c r="M34" s="3397"/>
    </row>
    <row r="35" spans="1:14">
      <c r="A35" s="3061" t="s">
        <v>2699</v>
      </c>
      <c r="B35" s="3062"/>
      <c r="C35" s="3062"/>
      <c r="D35" s="3062"/>
      <c r="E35" s="3062"/>
      <c r="F35" s="3062"/>
      <c r="G35" s="3063"/>
      <c r="I35" s="3397">
        <v>10</v>
      </c>
      <c r="J35" s="3397">
        <v>67</v>
      </c>
      <c r="K35" s="3397">
        <f>J35-J34</f>
        <v>11.899999999999999</v>
      </c>
      <c r="L35" s="3397"/>
      <c r="M35" s="3397"/>
    </row>
    <row r="36" spans="1:14">
      <c r="A36" s="3061" t="s">
        <v>2700</v>
      </c>
      <c r="B36" s="3062"/>
      <c r="C36" s="3062"/>
      <c r="D36" s="3062"/>
      <c r="E36" s="3062"/>
      <c r="F36" s="3062"/>
      <c r="G36" s="3063"/>
      <c r="I36" s="3397">
        <v>15</v>
      </c>
      <c r="J36" s="3397">
        <v>76.3</v>
      </c>
      <c r="K36" s="3397">
        <f t="shared" ref="K36:K41" si="1">J36-J35</f>
        <v>9.2999999999999972</v>
      </c>
      <c r="L36" s="3397" t="s">
        <v>3289</v>
      </c>
      <c r="M36" s="3397"/>
      <c r="N36" s="3398" t="s">
        <v>3290</v>
      </c>
    </row>
    <row r="37" spans="1:14">
      <c r="A37" s="3061" t="s">
        <v>2701</v>
      </c>
      <c r="B37" s="3062"/>
      <c r="C37" s="3062"/>
      <c r="D37" s="3062"/>
      <c r="E37" s="3062"/>
      <c r="F37" s="3062"/>
      <c r="G37" s="3063"/>
      <c r="I37" s="3397">
        <v>20</v>
      </c>
      <c r="J37" s="3397">
        <v>83.6</v>
      </c>
      <c r="K37" s="3397">
        <f t="shared" si="1"/>
        <v>7.2999999999999972</v>
      </c>
      <c r="L37" s="3397" t="s">
        <v>3291</v>
      </c>
      <c r="M37" s="3397"/>
      <c r="N37" s="3398">
        <v>10</v>
      </c>
    </row>
    <row r="38" spans="1:14">
      <c r="A38" s="3061" t="s">
        <v>2702</v>
      </c>
      <c r="B38" s="3062"/>
      <c r="C38" s="3062"/>
      <c r="D38" s="3062"/>
      <c r="E38" s="3062"/>
      <c r="F38" s="3062"/>
      <c r="G38" s="3063"/>
      <c r="I38" s="3397">
        <v>25</v>
      </c>
      <c r="J38" s="3397">
        <v>89.3</v>
      </c>
      <c r="K38" s="3397">
        <f t="shared" si="1"/>
        <v>5.7000000000000028</v>
      </c>
      <c r="L38" s="3397" t="s">
        <v>3292</v>
      </c>
      <c r="M38" s="3397"/>
      <c r="N38" s="3398">
        <v>8</v>
      </c>
    </row>
    <row r="39" spans="1:14">
      <c r="A39" s="3061"/>
      <c r="B39" s="3062"/>
      <c r="C39" s="3062"/>
      <c r="D39" s="3062"/>
      <c r="E39" s="3062"/>
      <c r="F39" s="3062"/>
      <c r="G39" s="3063"/>
      <c r="I39" s="3397">
        <v>30</v>
      </c>
      <c r="J39" s="3397">
        <v>93.8</v>
      </c>
      <c r="K39" s="3397">
        <f t="shared" si="1"/>
        <v>4.5</v>
      </c>
      <c r="L39" s="3397" t="s">
        <v>3293</v>
      </c>
      <c r="M39" s="3397"/>
      <c r="N39" s="3398">
        <v>6</v>
      </c>
    </row>
    <row r="40" spans="1:14">
      <c r="A40" s="3064" t="s">
        <v>2703</v>
      </c>
      <c r="B40" s="3065"/>
      <c r="C40" s="3065"/>
      <c r="D40" s="3065"/>
      <c r="E40" s="3065"/>
      <c r="F40" s="3065"/>
      <c r="G40" s="3066"/>
      <c r="I40" s="3397">
        <v>35</v>
      </c>
      <c r="J40" s="3397">
        <v>97.2</v>
      </c>
      <c r="K40" s="3397">
        <f t="shared" si="1"/>
        <v>3.4000000000000057</v>
      </c>
      <c r="L40" s="3397" t="s">
        <v>3294</v>
      </c>
      <c r="M40" s="3397"/>
      <c r="N40" s="3398">
        <v>3</v>
      </c>
    </row>
    <row r="41" spans="1:14">
      <c r="A41" s="3067" t="s">
        <v>2704</v>
      </c>
      <c r="B41" s="3068" t="s">
        <v>2705</v>
      </c>
      <c r="C41" s="3069" t="s">
        <v>2706</v>
      </c>
      <c r="D41" s="3069" t="s">
        <v>2707</v>
      </c>
      <c r="E41" s="3070"/>
      <c r="F41" s="3071"/>
      <c r="G41" s="3072"/>
      <c r="I41" s="3397">
        <v>40</v>
      </c>
      <c r="J41" s="3397">
        <v>100</v>
      </c>
      <c r="K41" s="3397">
        <f t="shared" si="1"/>
        <v>2.7999999999999972</v>
      </c>
      <c r="L41" s="3397"/>
      <c r="M41" s="3397"/>
    </row>
    <row r="42" spans="1:14">
      <c r="A42" s="3067" t="s">
        <v>2708</v>
      </c>
      <c r="B42" s="3068" t="s">
        <v>2709</v>
      </c>
      <c r="C42" s="3069" t="s">
        <v>2709</v>
      </c>
      <c r="D42" s="3073" t="s">
        <v>2710</v>
      </c>
      <c r="E42" s="3065" t="s">
        <v>2711</v>
      </c>
      <c r="F42" s="3065"/>
      <c r="G42" s="3066"/>
      <c r="I42" s="3397"/>
      <c r="J42" s="3397"/>
      <c r="K42" s="3397"/>
      <c r="L42" s="3397"/>
      <c r="M42" s="3397"/>
    </row>
    <row r="43" spans="1:14">
      <c r="A43" s="3067" t="s">
        <v>2712</v>
      </c>
      <c r="B43" s="3068" t="s">
        <v>2713</v>
      </c>
      <c r="C43" s="3069" t="s">
        <v>2714</v>
      </c>
      <c r="D43" s="3069" t="s">
        <v>2715</v>
      </c>
      <c r="E43" s="3070" t="s">
        <v>2716</v>
      </c>
      <c r="F43" s="3071"/>
      <c r="G43" s="3072"/>
      <c r="I43" s="3397" t="s">
        <v>3287</v>
      </c>
      <c r="J43" s="3397" t="s">
        <v>3298</v>
      </c>
      <c r="K43" s="3397"/>
      <c r="L43" s="3397"/>
      <c r="M43" s="3397"/>
    </row>
    <row r="44" spans="1:14">
      <c r="A44" s="3067" t="s">
        <v>2717</v>
      </c>
      <c r="B44" s="3068" t="s">
        <v>2718</v>
      </c>
      <c r="C44" s="3069" t="s">
        <v>2719</v>
      </c>
      <c r="D44" s="3073">
        <v>0.5</v>
      </c>
      <c r="E44" s="3070" t="s">
        <v>2720</v>
      </c>
      <c r="F44" s="3071"/>
      <c r="G44" s="3072"/>
      <c r="I44" s="3397">
        <v>30</v>
      </c>
      <c r="J44" s="3397">
        <v>81.7</v>
      </c>
      <c r="K44" s="3397"/>
      <c r="L44" s="3397"/>
      <c r="M44" s="3397"/>
    </row>
    <row r="45" spans="1:14" ht="14.25" thickBot="1">
      <c r="A45" s="3074" t="s">
        <v>2721</v>
      </c>
      <c r="B45" s="3075" t="s">
        <v>2709</v>
      </c>
      <c r="C45" s="3076" t="s">
        <v>2709</v>
      </c>
      <c r="D45" s="3076" t="s">
        <v>2722</v>
      </c>
      <c r="E45" s="3077" t="s">
        <v>2723</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4.25" thickBot="1"/>
    <row r="49" spans="1:4">
      <c r="A49" s="3049" t="s">
        <v>3273</v>
      </c>
    </row>
    <row r="50" spans="1:4">
      <c r="A50" s="3392" t="s">
        <v>3263</v>
      </c>
      <c r="B50" s="3392" t="s">
        <v>3260</v>
      </c>
      <c r="C50" s="3392" t="s">
        <v>3261</v>
      </c>
      <c r="D50" s="3392" t="s">
        <v>3262</v>
      </c>
    </row>
    <row r="51" spans="1:4">
      <c r="A51" s="3392" t="s">
        <v>3264</v>
      </c>
      <c r="B51" s="3038">
        <f>B52+B53</f>
        <v>15000</v>
      </c>
      <c r="C51" s="3393">
        <f>D51/B51</f>
        <v>2666.6666666666665</v>
      </c>
      <c r="D51" s="3038">
        <f>D52+D53</f>
        <v>40000000</v>
      </c>
    </row>
    <row r="52" spans="1:4">
      <c r="A52" s="2749" t="s">
        <v>3265</v>
      </c>
      <c r="B52" s="3389">
        <v>10000</v>
      </c>
      <c r="C52" s="3389">
        <v>1500</v>
      </c>
      <c r="D52" s="2354">
        <f>C52*B52</f>
        <v>15000000</v>
      </c>
    </row>
    <row r="53" spans="1:4">
      <c r="A53" s="2749" t="s">
        <v>3266</v>
      </c>
      <c r="B53" s="3389">
        <v>5000</v>
      </c>
      <c r="C53" s="3389">
        <v>5000</v>
      </c>
      <c r="D53" s="2354">
        <f>C53*B53</f>
        <v>25000000</v>
      </c>
    </row>
    <row r="54" spans="1:4">
      <c r="A54" s="3392" t="s">
        <v>3267</v>
      </c>
      <c r="B54" s="3038">
        <f>B51</f>
        <v>15000</v>
      </c>
      <c r="C54" s="3043">
        <v>700</v>
      </c>
      <c r="D54" s="3038">
        <f t="shared" ref="D54:D55" si="3">C54*B54</f>
        <v>10500000</v>
      </c>
    </row>
    <row r="55" spans="1:4">
      <c r="A55" s="3392" t="s">
        <v>3268</v>
      </c>
      <c r="B55" s="3038">
        <f>B51</f>
        <v>15000</v>
      </c>
      <c r="C55" s="3043">
        <v>1500</v>
      </c>
      <c r="D55" s="3038">
        <f t="shared" si="3"/>
        <v>22500000</v>
      </c>
    </row>
    <row r="56" spans="1:4">
      <c r="A56" s="3392" t="s">
        <v>3269</v>
      </c>
      <c r="B56" s="3038">
        <f>B51</f>
        <v>15000</v>
      </c>
      <c r="C56" s="3394">
        <f>C51+C54+C55</f>
        <v>4866.6666666666661</v>
      </c>
      <c r="D56" s="3038">
        <f>D51+D54+D55</f>
        <v>73000000</v>
      </c>
    </row>
    <row r="58" spans="1:4">
      <c r="A58" s="3392" t="s">
        <v>3270</v>
      </c>
      <c r="B58" s="3390">
        <v>0.05</v>
      </c>
      <c r="C58" s="3038">
        <f>C56*(1+B58)</f>
        <v>5110</v>
      </c>
      <c r="D58" s="3038">
        <f>D56*B58</f>
        <v>3650000</v>
      </c>
    </row>
    <row r="60" spans="1:4">
      <c r="A60" s="3392" t="s">
        <v>3271</v>
      </c>
      <c r="B60" s="3043">
        <v>3500</v>
      </c>
      <c r="C60" s="3043">
        <f>C53</f>
        <v>5000</v>
      </c>
      <c r="D60" s="3038">
        <f>C60*B60</f>
        <v>17500000</v>
      </c>
    </row>
    <row r="62" spans="1:4">
      <c r="A62" s="3392" t="s">
        <v>3272</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D18" sqref="D18"/>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4" t="s">
        <v>1455</v>
      </c>
      <c r="B1" s="3466" t="str">
        <f>IF(B10="北京市","北京市",C10)&amp;F10&amp;A17&amp;"国有建设用地使用权"&amp;B9&amp;"预评估"</f>
        <v>出让国有建设用地使用权抵押价格预评估</v>
      </c>
      <c r="C1" s="3467"/>
      <c r="D1" s="3467"/>
      <c r="E1" s="3467"/>
      <c r="F1" s="3467"/>
      <c r="G1" s="3467"/>
      <c r="H1" s="3467"/>
      <c r="I1" s="3468"/>
      <c r="J1" s="2601"/>
      <c r="K1" s="1969" t="str">
        <f>IF(B10="北京市","北京市",C10)&amp;F10&amp;A17&amp;"国有建设用地使用权"&amp;B9</f>
        <v>出让国有建设用地使用权抵押价格</v>
      </c>
      <c r="L1" s="2581"/>
      <c r="M1" s="2581"/>
      <c r="N1" s="2582"/>
      <c r="O1" s="2583"/>
      <c r="P1" s="2582"/>
      <c r="Q1" s="2582"/>
      <c r="R1" s="2582"/>
      <c r="S1" s="2582"/>
      <c r="T1" s="2582"/>
      <c r="U1" s="2582"/>
    </row>
    <row r="2" spans="1:21">
      <c r="A2" s="1375" t="s">
        <v>1456</v>
      </c>
      <c r="B2" s="1528"/>
      <c r="D2" s="2601"/>
      <c r="E2" s="2601"/>
      <c r="F2" s="2601"/>
      <c r="G2" s="2601"/>
      <c r="H2" s="2601"/>
      <c r="I2" s="2602"/>
      <c r="J2" s="2601"/>
      <c r="K2" s="1969" t="str">
        <f>IF(B10="北京市","北京市",C10)&amp;F10&amp;A17&amp;"国有建设用地使用权"</f>
        <v>出让国有建设用地使用权</v>
      </c>
      <c r="L2" s="2581"/>
      <c r="M2" s="2581"/>
      <c r="N2" s="2582"/>
      <c r="O2" s="2583"/>
      <c r="P2" s="2582"/>
      <c r="Q2" s="2582"/>
      <c r="R2" s="2582"/>
      <c r="S2" s="2582"/>
      <c r="T2" s="2582"/>
      <c r="U2" s="2582"/>
    </row>
    <row r="3" spans="1:21">
      <c r="A3" s="1376" t="s">
        <v>1457</v>
      </c>
      <c r="B3" s="1377">
        <v>45817</v>
      </c>
      <c r="C3" s="2530" t="s">
        <v>1511</v>
      </c>
      <c r="D3" s="1377">
        <f>B3</f>
        <v>45817</v>
      </c>
      <c r="E3" s="2601"/>
      <c r="F3" s="2601"/>
      <c r="G3" s="2601"/>
      <c r="H3" s="2601"/>
      <c r="I3" s="2602"/>
      <c r="J3" s="2601"/>
      <c r="K3" s="2585"/>
      <c r="L3" s="2581"/>
      <c r="M3" s="2581"/>
      <c r="N3" s="2582"/>
      <c r="O3" s="2583"/>
      <c r="P3" s="2582"/>
      <c r="Q3" s="2582"/>
      <c r="R3" s="2582"/>
      <c r="S3" s="2582"/>
      <c r="T3" s="2582"/>
      <c r="U3" s="2582"/>
    </row>
    <row r="4" spans="1:21" ht="15" thickBot="1">
      <c r="A4" s="1379" t="s">
        <v>1458</v>
      </c>
      <c r="B4" s="1529" t="s">
        <v>2160</v>
      </c>
      <c r="C4" s="1532">
        <f>SUMIF(土地估价师,B4,估价师及机构信息!E3:E17)</f>
        <v>0</v>
      </c>
      <c r="D4" s="1529" t="s">
        <v>2160</v>
      </c>
      <c r="E4" s="1532">
        <f>SUMIF(土地估价师,D4,估价师及机构信息!E3:E17)</f>
        <v>0</v>
      </c>
      <c r="F4" s="1529" t="s">
        <v>875</v>
      </c>
      <c r="G4" s="1532">
        <f>SUMIF(土地估价师,F4,估价师及机构信息!E3:E17)</f>
        <v>0</v>
      </c>
      <c r="H4" s="1529" t="s">
        <v>875</v>
      </c>
      <c r="I4" s="1532">
        <f>SUMIF(土地估价师,H4,估价师及机构信息!E3:E17)</f>
        <v>0</v>
      </c>
      <c r="J4" s="2601"/>
      <c r="K4" s="1969" t="str">
        <f>IF(AND(F4="——",H4="——"),B4&amp;"、"&amp;D4,IF(AND(F4&lt;&gt;"——",H4="——"),B4&amp;"、"&amp;D4&amp;"、"&amp;F4,B4&amp;"、"&amp;D4&amp;"、"&amp;F4&amp;"、"&amp;H4))</f>
        <v>土地估价师、土地估价师</v>
      </c>
      <c r="L4" s="2581"/>
      <c r="M4" s="2581"/>
      <c r="N4" s="2582"/>
      <c r="O4" s="2583"/>
      <c r="P4" s="2582"/>
      <c r="Q4" s="2582"/>
      <c r="R4" s="2582"/>
      <c r="S4" s="2582"/>
      <c r="T4" s="2582"/>
      <c r="U4" s="2582"/>
    </row>
    <row r="5" spans="1:21" ht="15" thickTop="1">
      <c r="A5" s="1380" t="s">
        <v>1459</v>
      </c>
      <c r="B5" s="1482"/>
      <c r="C5" s="1381"/>
      <c r="D5" s="1382"/>
      <c r="E5" s="2601"/>
      <c r="F5" s="2601"/>
      <c r="G5" s="2601"/>
      <c r="H5" s="2601"/>
      <c r="I5" s="2602"/>
      <c r="J5" s="2601"/>
      <c r="K5" s="2585"/>
      <c r="L5" s="2581"/>
      <c r="M5" s="2581"/>
      <c r="N5" s="2582"/>
      <c r="O5" s="2583"/>
      <c r="P5" s="2582"/>
      <c r="Q5" s="2582"/>
      <c r="R5" s="2582"/>
      <c r="S5" s="2582"/>
      <c r="T5" s="2582"/>
      <c r="U5" s="2582"/>
    </row>
    <row r="6" spans="1:21" ht="26.25">
      <c r="A6" s="1378" t="s">
        <v>1986</v>
      </c>
      <c r="B6" s="1482"/>
      <c r="C6" s="1459"/>
      <c r="D6" s="1383"/>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4" t="s">
        <v>1987</v>
      </c>
      <c r="B7" s="1482"/>
      <c r="C7" s="1459"/>
      <c r="D7" s="1383"/>
      <c r="E7" s="2601"/>
      <c r="F7" s="2601"/>
      <c r="G7" s="2601"/>
      <c r="H7" s="2601"/>
      <c r="I7" s="2602"/>
      <c r="J7" s="2601"/>
      <c r="K7" s="2585"/>
      <c r="L7" s="2581"/>
      <c r="M7" s="2581"/>
      <c r="N7" s="2582"/>
      <c r="O7" s="2583"/>
      <c r="P7" s="2582"/>
      <c r="Q7" s="2582"/>
      <c r="R7" s="2582"/>
      <c r="S7" s="2582"/>
      <c r="T7" s="2582"/>
      <c r="U7" s="2582"/>
    </row>
    <row r="8" spans="1:21">
      <c r="A8" s="2531" t="s">
        <v>1460</v>
      </c>
      <c r="B8" s="1385" t="s">
        <v>3306</v>
      </c>
      <c r="C8" s="1386"/>
      <c r="D8" s="3472" t="s">
        <v>1462</v>
      </c>
      <c r="E8" s="1530" t="s">
        <v>3307</v>
      </c>
      <c r="F8" s="1387"/>
      <c r="G8" s="2601"/>
      <c r="H8" s="2601"/>
      <c r="I8" s="2602"/>
      <c r="J8" s="2601"/>
      <c r="K8" s="2585"/>
      <c r="L8" s="2581"/>
      <c r="M8" s="2581"/>
      <c r="N8" s="2582"/>
      <c r="O8" s="2583"/>
      <c r="P8" s="2582"/>
      <c r="Q8" s="2582"/>
      <c r="R8" s="2582"/>
      <c r="S8" s="2582"/>
      <c r="T8" s="2582"/>
      <c r="U8" s="2582"/>
    </row>
    <row r="9" spans="1:21" ht="15" thickBot="1">
      <c r="A9" s="2532" t="s">
        <v>1461</v>
      </c>
      <c r="B9" s="1388" t="s">
        <v>3307</v>
      </c>
      <c r="C9" s="1389"/>
      <c r="D9" s="3473"/>
      <c r="E9" s="1388" t="s">
        <v>875</v>
      </c>
      <c r="F9" s="1445"/>
      <c r="G9" s="2604"/>
      <c r="H9" s="2604"/>
      <c r="I9" s="2605"/>
      <c r="J9" s="2601"/>
      <c r="K9" s="2585"/>
      <c r="L9" s="2581"/>
      <c r="M9" s="2581"/>
      <c r="N9" s="2582"/>
      <c r="O9" s="2583"/>
      <c r="P9" s="2582"/>
      <c r="Q9" s="2582"/>
      <c r="R9" s="2582"/>
      <c r="S9" s="2582"/>
      <c r="T9" s="2582"/>
      <c r="U9" s="2582"/>
    </row>
    <row r="10" spans="1:21" ht="15" thickTop="1">
      <c r="A10" s="2533" t="s">
        <v>1515</v>
      </c>
      <c r="B10" s="1423" t="s">
        <v>3308</v>
      </c>
      <c r="C10" s="1390"/>
      <c r="D10" s="1382"/>
      <c r="E10" s="1391" t="s">
        <v>1464</v>
      </c>
      <c r="F10" s="1392"/>
      <c r="G10" s="1443"/>
      <c r="H10" s="1444"/>
      <c r="I10" s="1382"/>
      <c r="J10" s="2601"/>
      <c r="K10" s="2585"/>
      <c r="L10" s="2581"/>
      <c r="M10" s="2581"/>
      <c r="N10" s="2582"/>
      <c r="O10" s="2583"/>
      <c r="P10" s="2582"/>
      <c r="Q10" s="2582"/>
      <c r="R10" s="2582"/>
      <c r="S10" s="2582"/>
      <c r="T10" s="2582"/>
      <c r="U10" s="2582"/>
    </row>
    <row r="11" spans="1:21">
      <c r="A11" s="2534" t="s">
        <v>1516</v>
      </c>
      <c r="B11" s="1404" t="s">
        <v>3309</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1574</v>
      </c>
      <c r="B12" s="3469"/>
      <c r="C12" s="3470"/>
      <c r="D12" s="3471"/>
      <c r="E12" s="1405" t="s">
        <v>1577</v>
      </c>
      <c r="F12" s="3487" t="s">
        <v>2161</v>
      </c>
      <c r="G12" s="3488"/>
      <c r="H12" s="3488"/>
      <c r="I12" s="3489"/>
      <c r="J12" s="2601"/>
      <c r="K12" s="2585"/>
      <c r="L12" s="2581"/>
      <c r="M12" s="2581"/>
      <c r="N12" s="2582"/>
      <c r="O12" s="2583"/>
      <c r="P12" s="2582"/>
      <c r="Q12" s="2582"/>
      <c r="R12" s="2582"/>
      <c r="S12" s="2582"/>
      <c r="T12" s="2582"/>
      <c r="U12" s="2582"/>
    </row>
    <row r="13" spans="1:21">
      <c r="A13" s="1397" t="s">
        <v>1575</v>
      </c>
      <c r="B13" s="3469"/>
      <c r="C13" s="3470"/>
      <c r="D13" s="3471"/>
      <c r="E13" s="1405" t="s">
        <v>1577</v>
      </c>
      <c r="F13" s="3487" t="s">
        <v>2162</v>
      </c>
      <c r="G13" s="3488"/>
      <c r="H13" s="3488"/>
      <c r="I13" s="3489"/>
      <c r="J13" s="2601"/>
      <c r="K13" s="2585"/>
      <c r="L13" s="2581"/>
      <c r="M13" s="2581"/>
      <c r="N13" s="2582"/>
      <c r="O13" s="2583"/>
      <c r="P13" s="2582"/>
      <c r="Q13" s="2582"/>
      <c r="R13" s="2582"/>
      <c r="S13" s="2582"/>
      <c r="T13" s="2582"/>
      <c r="U13" s="2582"/>
    </row>
    <row r="14" spans="1:21">
      <c r="A14" s="1376" t="s">
        <v>1578</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8"/>
      <c r="C15" s="1464" t="s">
        <v>1467</v>
      </c>
      <c r="D15" s="1464" t="s">
        <v>1468</v>
      </c>
      <c r="E15" s="1464" t="s">
        <v>1177</v>
      </c>
      <c r="F15" s="1396" t="s">
        <v>1469</v>
      </c>
      <c r="G15" s="1396" t="s">
        <v>1470</v>
      </c>
      <c r="H15" s="1396" t="s">
        <v>774</v>
      </c>
      <c r="I15" s="1396" t="s">
        <v>2725</v>
      </c>
      <c r="J15" s="2601"/>
      <c r="K15" s="2585"/>
      <c r="L15" s="2581"/>
      <c r="M15" s="2581"/>
      <c r="N15" s="2582"/>
      <c r="O15" s="2583"/>
      <c r="P15" s="2582"/>
      <c r="Q15" s="2582"/>
      <c r="R15" s="2582"/>
      <c r="S15" s="2582"/>
      <c r="T15" s="2582"/>
      <c r="U15" s="2582"/>
    </row>
    <row r="16" spans="1:21" ht="28.5">
      <c r="A16" s="2535" t="s">
        <v>1465</v>
      </c>
      <c r="B16" s="1405" t="s">
        <v>1466</v>
      </c>
      <c r="C16" s="1464" t="s">
        <v>1467</v>
      </c>
      <c r="D16" s="1426" t="s">
        <v>2726</v>
      </c>
      <c r="E16" s="1426" t="s">
        <v>1210</v>
      </c>
      <c r="F16" s="1426" t="s">
        <v>2727</v>
      </c>
      <c r="G16" s="1426" t="s">
        <v>2728</v>
      </c>
      <c r="H16" s="1396" t="s">
        <v>774</v>
      </c>
      <c r="I16" s="1396" t="s">
        <v>2725</v>
      </c>
      <c r="J16" s="2601"/>
      <c r="K16" s="1396" t="str">
        <f>IF(D17="","",D16&amp;TEXT(D17,"yyyy年m月d日;;"))</f>
        <v>商业2053年9月28日</v>
      </c>
      <c r="L16" s="1405" t="str">
        <f>IF(OR(K16="",M16=""),"","、")</f>
        <v/>
      </c>
      <c r="M16" s="1396" t="str">
        <f>IF(E17="","",E16&amp;TEXT(E17,"yyyy年m月d日;;"))</f>
        <v/>
      </c>
      <c r="N16" s="1405" t="str">
        <f>IF(OR(M16="",O16=""),"","、")</f>
        <v/>
      </c>
      <c r="O16" s="1396" t="str">
        <f>IF(F17="","",F16&amp;TEXT(F17,"yyyy年m月d日;;"))</f>
        <v/>
      </c>
      <c r="P16" s="1405" t="str">
        <f>IF(OR(O16="",Q16=""),"","、")</f>
        <v/>
      </c>
      <c r="Q16" s="1396" t="str">
        <f>IF(G17="","",G16&amp;TEXT(G17,"yyyy年m月d日;;"))</f>
        <v/>
      </c>
      <c r="R16" s="1405" t="str">
        <f>IF(OR(Q16="",S16=""),"","、")</f>
        <v/>
      </c>
      <c r="S16" s="1396" t="str">
        <f>IF(H17="","",H16&amp;TEXT(H17,"yyyy年m月d日;;"))</f>
        <v/>
      </c>
      <c r="T16" s="1405" t="str">
        <f>IF(OR(S16="",U16=""),"","、")</f>
        <v/>
      </c>
      <c r="U16" s="1396" t="str">
        <f>IF(I17="","",I16&amp;TEXT(I17,"yyyy年m月d日;;"))</f>
        <v/>
      </c>
    </row>
    <row r="17" spans="1:21">
      <c r="A17" s="3080" t="s">
        <v>2729</v>
      </c>
      <c r="B17" s="2536" t="s">
        <v>1471</v>
      </c>
      <c r="C17" s="3079"/>
      <c r="D17" s="3079">
        <v>56155</v>
      </c>
      <c r="E17" s="3079"/>
      <c r="F17" s="3079"/>
      <c r="G17" s="3079"/>
      <c r="H17" s="3079"/>
      <c r="I17" s="3079"/>
      <c r="J17" s="2601"/>
      <c r="K17" s="2580" t="str">
        <f>CONCATENATE(K16,L16,M16,N16,O16,P16,Q16,R16,S16,T16,,U16)</f>
        <v>商业2053年9月28日</v>
      </c>
      <c r="L17" s="2581"/>
      <c r="M17" s="2581"/>
      <c r="N17" s="2582"/>
      <c r="O17" s="2583"/>
      <c r="P17" s="2582"/>
      <c r="Q17" s="2582"/>
      <c r="R17" s="2582"/>
      <c r="S17" s="2582"/>
      <c r="T17" s="2582"/>
      <c r="U17" s="2582"/>
    </row>
    <row r="18" spans="1:21">
      <c r="A18" s="1461"/>
      <c r="B18" s="2536" t="s">
        <v>1472</v>
      </c>
      <c r="C18" s="1394">
        <v>70</v>
      </c>
      <c r="D18" s="1394">
        <v>40</v>
      </c>
      <c r="E18" s="1394">
        <v>50</v>
      </c>
      <c r="F18" s="1394"/>
      <c r="G18" s="1394"/>
      <c r="H18" s="1394"/>
      <c r="I18" s="1394"/>
      <c r="J18" s="2601"/>
      <c r="K18" s="2585"/>
      <c r="L18" s="2581"/>
      <c r="M18" s="2581"/>
      <c r="N18" s="2582"/>
      <c r="O18" s="2583"/>
      <c r="P18" s="2582"/>
      <c r="Q18" s="2582"/>
      <c r="R18" s="2582"/>
      <c r="S18" s="2582"/>
      <c r="T18" s="2582"/>
      <c r="U18" s="2582"/>
    </row>
    <row r="19" spans="1:21">
      <c r="A19" s="1461"/>
      <c r="B19" s="1375" t="s">
        <v>1473</v>
      </c>
      <c r="C19" s="1456" t="str">
        <f>IF(A17="出让",IF(C17="","",ROUNDDOWN(MIN((C17-$D$3)/365,C18),2)),C18)</f>
        <v/>
      </c>
      <c r="D19" s="1456">
        <f>IF(A17="出让",IF(D17="","",ROUNDDOWN(MIN((D17-$D$3)/365,D18),2)),D18)</f>
        <v>28.32</v>
      </c>
      <c r="E19" s="1395" t="str">
        <f>IF(A17="出让",IF(E17="","",ROUNDDOWN(MIN((E17-$D$3)/365,E18),2)),E18)</f>
        <v/>
      </c>
      <c r="F19" s="1395" t="str">
        <f>IF(A17="出让",IF(F17="","",ROUNDDOWN(MIN((F17-$D$3)/365,F18),2)),F18)</f>
        <v/>
      </c>
      <c r="G19" s="1395" t="str">
        <f>IF(A17="出让",IF(G17="","",ROUNDDOWN(MIN((G17-$D$3)/365,G18),2)),G18)</f>
        <v/>
      </c>
      <c r="H19" s="1395" t="str">
        <f>IF(A17="出让",IF(H17="","",ROUNDDOWN(MIN((H17-$D$3)/365,H18),2)),H18)</f>
        <v/>
      </c>
      <c r="I19" s="1395" t="str">
        <f>IF(A17="出让",IF(I17="","",ROUNDDOWN(MIN((I17-$D$3)/365,I18),2)),I18)</f>
        <v/>
      </c>
      <c r="J19" s="2601"/>
      <c r="K19" s="2585"/>
      <c r="L19" s="2581"/>
      <c r="M19" s="2581"/>
      <c r="N19" s="2582"/>
      <c r="O19" s="2583"/>
      <c r="P19" s="2582"/>
      <c r="Q19" s="2582"/>
      <c r="R19" s="2582"/>
      <c r="S19" s="2582"/>
      <c r="T19" s="2582"/>
      <c r="U19" s="2582"/>
    </row>
    <row r="20" spans="1:21">
      <c r="A20" s="1479"/>
      <c r="B20" s="1480"/>
      <c r="C20" s="1481" t="s">
        <v>1576</v>
      </c>
      <c r="D20" s="3484"/>
      <c r="E20" s="3485"/>
      <c r="F20" s="3485"/>
      <c r="G20" s="3485"/>
      <c r="H20" s="3485"/>
      <c r="I20" s="3486"/>
      <c r="J20" s="2601"/>
      <c r="K20" s="2585"/>
      <c r="L20" s="2581"/>
      <c r="M20" s="2581"/>
      <c r="N20" s="2582"/>
      <c r="O20" s="2583"/>
      <c r="P20" s="2582"/>
      <c r="Q20" s="2582"/>
      <c r="R20" s="2582"/>
      <c r="S20" s="2582"/>
      <c r="T20" s="2582"/>
      <c r="U20" s="2582"/>
    </row>
    <row r="21" spans="1:21">
      <c r="A21" s="1461" t="s">
        <v>1474</v>
      </c>
      <c r="B21" s="1462" t="s">
        <v>1475</v>
      </c>
      <c r="C21" s="1457">
        <f>'数据-汇总表'!E3</f>
        <v>42462</v>
      </c>
      <c r="D21" s="1458" t="s">
        <v>1476</v>
      </c>
      <c r="E21" s="3474" t="s">
        <v>1514</v>
      </c>
      <c r="F21" s="3475"/>
      <c r="G21" s="3475"/>
      <c r="H21" s="3475"/>
      <c r="I21" s="3476"/>
      <c r="J21" s="2601"/>
      <c r="K21" s="2585"/>
      <c r="L21" s="2581"/>
      <c r="M21" s="2581"/>
      <c r="N21" s="2582"/>
      <c r="O21" s="2583"/>
      <c r="P21" s="2582"/>
      <c r="Q21" s="2582"/>
      <c r="R21" s="2582"/>
      <c r="S21" s="2582"/>
      <c r="T21" s="2582"/>
      <c r="U21" s="2582"/>
    </row>
    <row r="22" spans="1:21">
      <c r="A22" s="2364" t="s">
        <v>875</v>
      </c>
      <c r="B22" s="1376" t="s">
        <v>1477</v>
      </c>
      <c r="C22" s="1396">
        <f>'数据-汇总表'!D3</f>
        <v>16985.07</v>
      </c>
      <c r="D22" s="1397" t="s">
        <v>1476</v>
      </c>
      <c r="E22" s="3474" t="s">
        <v>2163</v>
      </c>
      <c r="F22" s="3475"/>
      <c r="G22" s="3475"/>
      <c r="H22" s="3475"/>
      <c r="I22" s="3476"/>
      <c r="J22" s="2601"/>
      <c r="K22" s="2585"/>
      <c r="L22" s="2581"/>
      <c r="M22" s="2581"/>
      <c r="N22" s="2582"/>
      <c r="O22" s="2583"/>
      <c r="P22" s="2582"/>
      <c r="Q22" s="2582"/>
      <c r="R22" s="2582"/>
      <c r="S22" s="2582"/>
      <c r="T22" s="2582"/>
      <c r="U22" s="2582"/>
    </row>
    <row r="23" spans="1:21" ht="29.25" thickBot="1">
      <c r="A23" s="1463" t="s">
        <v>1478</v>
      </c>
      <c r="B23" s="1406" t="s">
        <v>1479</v>
      </c>
      <c r="C23" s="1407"/>
      <c r="D23" s="1408" t="s">
        <v>1480</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1481</v>
      </c>
      <c r="B24" s="3477" t="s">
        <v>1482</v>
      </c>
      <c r="C24" s="3478"/>
      <c r="D24" s="3479" t="s">
        <v>1483</v>
      </c>
      <c r="E24" s="3480"/>
      <c r="F24" s="1412" t="s">
        <v>1484</v>
      </c>
      <c r="G24" s="2601"/>
      <c r="H24" s="2601"/>
      <c r="I24" s="2602"/>
      <c r="J24" s="2601"/>
      <c r="K24" s="3465" t="s">
        <v>1485</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1680</v>
      </c>
      <c r="C25" s="1413" t="s">
        <v>1486</v>
      </c>
      <c r="D25" s="1414"/>
      <c r="E25" s="1415" t="s">
        <v>875</v>
      </c>
      <c r="F25" s="1416"/>
      <c r="G25" s="2601"/>
      <c r="H25" s="2601"/>
      <c r="I25" s="2602"/>
      <c r="J25" s="2601"/>
      <c r="K25" s="3465"/>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1487</v>
      </c>
      <c r="C26" s="1413" t="s">
        <v>1681</v>
      </c>
      <c r="D26" s="2601"/>
      <c r="E26" s="2601"/>
      <c r="F26" s="2606"/>
      <c r="G26" s="2601"/>
      <c r="H26" s="2601"/>
      <c r="I26" s="2602"/>
      <c r="J26" s="2601"/>
      <c r="K26" s="3465"/>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427"/>
      <c r="N26" s="2582"/>
      <c r="O26" s="2583"/>
      <c r="P26" s="2582"/>
      <c r="Q26" s="2582"/>
      <c r="R26" s="2582"/>
      <c r="S26" s="2582"/>
      <c r="T26" s="2582"/>
      <c r="U26" s="2582"/>
    </row>
    <row r="27" spans="1:21">
      <c r="A27" s="1453" t="s">
        <v>1488</v>
      </c>
      <c r="B27" s="1451" t="s">
        <v>1489</v>
      </c>
      <c r="C27" s="1417"/>
      <c r="D27" s="2088" t="s">
        <v>1489</v>
      </c>
      <c r="E27" s="1418"/>
      <c r="F27" s="2606"/>
      <c r="G27" s="2601"/>
      <c r="H27" s="2601"/>
      <c r="I27" s="2602"/>
      <c r="J27" s="2601"/>
      <c r="K27" s="2585"/>
      <c r="L27" s="2581"/>
      <c r="M27" s="2581"/>
      <c r="N27" s="2582"/>
      <c r="O27" s="2583"/>
      <c r="P27" s="2582"/>
      <c r="Q27" s="2582"/>
      <c r="R27" s="2582"/>
      <c r="S27" s="2582"/>
      <c r="T27" s="2582"/>
      <c r="U27" s="2582"/>
    </row>
    <row r="28" spans="1:21">
      <c r="A28" s="1454"/>
      <c r="B28" s="1451" t="s">
        <v>1490</v>
      </c>
      <c r="C28" s="1419"/>
      <c r="D28" s="2089" t="s">
        <v>1490</v>
      </c>
      <c r="E28" s="1420"/>
      <c r="F28" s="2606"/>
      <c r="G28" s="2601"/>
      <c r="H28" s="2601"/>
      <c r="I28" s="2602"/>
      <c r="J28" s="2601"/>
      <c r="K28" s="2585"/>
      <c r="L28" s="2581"/>
      <c r="M28" s="2581"/>
      <c r="N28" s="2582"/>
      <c r="O28" s="2583"/>
      <c r="P28" s="2582"/>
      <c r="Q28" s="2582"/>
      <c r="R28" s="2582"/>
      <c r="S28" s="2582"/>
      <c r="T28" s="2582"/>
      <c r="U28" s="2582"/>
    </row>
    <row r="29" spans="1:21">
      <c r="A29" s="1454"/>
      <c r="B29" s="1451" t="s">
        <v>1491</v>
      </c>
      <c r="C29" s="1419"/>
      <c r="D29" s="2089" t="s">
        <v>1491</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1492</v>
      </c>
      <c r="C30" s="1421"/>
      <c r="D30" s="2090" t="s">
        <v>1492</v>
      </c>
      <c r="E30" s="1422"/>
      <c r="F30" s="2607"/>
      <c r="G30" s="2604"/>
      <c r="H30" s="2604"/>
      <c r="I30" s="2605"/>
      <c r="J30" s="2601"/>
      <c r="K30" s="2585"/>
      <c r="L30" s="2581"/>
      <c r="M30" s="2581"/>
      <c r="N30" s="2582"/>
      <c r="O30" s="2583"/>
      <c r="P30" s="2582"/>
      <c r="Q30" s="2582"/>
      <c r="R30" s="2582"/>
      <c r="S30" s="2582"/>
      <c r="T30" s="2582"/>
      <c r="U30" s="2582"/>
    </row>
    <row r="31" spans="1:21" ht="15" thickTop="1">
      <c r="A31" s="3451" t="s">
        <v>1517</v>
      </c>
      <c r="B31" s="1462" t="s">
        <v>1518</v>
      </c>
      <c r="C31" s="3490"/>
      <c r="D31" s="3491"/>
      <c r="E31" s="2601"/>
      <c r="F31" s="2601"/>
      <c r="G31" s="2601"/>
      <c r="H31" s="2601"/>
      <c r="I31" s="2602"/>
      <c r="J31" s="2601"/>
      <c r="K31" s="2588"/>
      <c r="L31" s="2582"/>
      <c r="M31" s="2582"/>
      <c r="N31" s="2582"/>
      <c r="O31" s="2582"/>
      <c r="P31" s="2582"/>
      <c r="Q31" s="2582"/>
      <c r="R31" s="2582"/>
      <c r="S31" s="2582"/>
      <c r="T31" s="2582"/>
      <c r="U31" s="2582"/>
    </row>
    <row r="32" spans="1:21">
      <c r="A32" s="3451"/>
      <c r="B32" s="1376" t="s">
        <v>1519</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451"/>
      <c r="B33" s="1376" t="s">
        <v>1520</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452"/>
      <c r="B34" s="1376" t="s">
        <v>1521</v>
      </c>
      <c r="C34" s="3453"/>
      <c r="D34" s="3454"/>
      <c r="E34" s="2601"/>
      <c r="F34" s="2601"/>
      <c r="G34" s="2601"/>
      <c r="H34" s="2601"/>
      <c r="I34" s="2602"/>
      <c r="J34" s="2601"/>
      <c r="K34" s="2588"/>
      <c r="L34" s="2582"/>
      <c r="M34" s="2582"/>
      <c r="N34" s="2582"/>
      <c r="O34" s="2582"/>
      <c r="P34" s="2582"/>
      <c r="Q34" s="2582"/>
      <c r="R34" s="2582"/>
      <c r="S34" s="2582"/>
      <c r="T34" s="2582"/>
      <c r="U34" s="2582"/>
    </row>
    <row r="35" spans="1:28">
      <c r="A35" s="3455" t="s">
        <v>783</v>
      </c>
      <c r="B35" s="1426"/>
      <c r="C35" s="1470" t="str">
        <f>IF(B35="场地平整","——","具体情况：")</f>
        <v>具体情况：</v>
      </c>
      <c r="D35" s="3457"/>
      <c r="E35" s="3458"/>
      <c r="F35" s="3458"/>
      <c r="G35" s="3458"/>
      <c r="H35" s="3458"/>
      <c r="I35" s="3459"/>
      <c r="J35" s="2601"/>
      <c r="K35" s="2589"/>
      <c r="L35" s="2581"/>
      <c r="M35" s="2581"/>
      <c r="N35" s="2582"/>
      <c r="O35" s="2583"/>
      <c r="P35" s="2582"/>
      <c r="Q35" s="2582"/>
      <c r="R35" s="2582"/>
      <c r="S35" s="2582"/>
      <c r="T35" s="2582"/>
      <c r="U35" s="2582"/>
    </row>
    <row r="36" spans="1:28">
      <c r="A36" s="3451"/>
      <c r="B36" s="3460" t="s">
        <v>1570</v>
      </c>
      <c r="C36" s="3461"/>
      <c r="D36" s="1485"/>
      <c r="E36" s="3462"/>
      <c r="F36" s="3462"/>
      <c r="G36" s="1397" t="str">
        <f>IF(B35="场地未平整","估价结果处理","")</f>
        <v/>
      </c>
      <c r="H36" s="3463"/>
      <c r="I36" s="3463"/>
      <c r="J36" s="2601"/>
      <c r="K36" s="2589"/>
      <c r="L36" s="2581"/>
      <c r="M36" s="2581"/>
      <c r="N36" s="2582"/>
      <c r="O36" s="2583"/>
      <c r="P36" s="2582"/>
      <c r="Q36" s="2582"/>
      <c r="R36" s="2582"/>
      <c r="S36" s="2582"/>
      <c r="T36" s="2582"/>
      <c r="U36" s="2582"/>
    </row>
    <row r="37" spans="1:28" ht="28.5">
      <c r="A37" s="3451"/>
      <c r="B37" s="3481" t="s">
        <v>784</v>
      </c>
      <c r="C37" s="1428" t="s">
        <v>785</v>
      </c>
      <c r="D37" s="1429"/>
      <c r="E37" s="1430"/>
      <c r="F37" s="2601"/>
      <c r="G37" s="2601"/>
      <c r="H37" s="2601"/>
      <c r="I37" s="2602"/>
      <c r="J37" s="2601"/>
      <c r="K37" s="2589"/>
      <c r="L37" s="2582"/>
      <c r="M37" s="2582"/>
      <c r="N37" s="2582"/>
      <c r="O37" s="2582"/>
      <c r="P37" s="2582"/>
      <c r="Q37" s="2582"/>
      <c r="R37" s="2582"/>
      <c r="S37" s="2582"/>
      <c r="T37" s="2582"/>
      <c r="U37" s="2582"/>
    </row>
    <row r="38" spans="1:28">
      <c r="A38" s="3451"/>
      <c r="B38" s="3482"/>
      <c r="C38" s="1384" t="s">
        <v>786</v>
      </c>
      <c r="D38" s="1484">
        <f>ROUNDDOWN(MIN(('数据-取费表'!$B$2-D37)/365,D34),1)</f>
        <v>125.5</v>
      </c>
      <c r="E38" s="1431" t="s">
        <v>787</v>
      </c>
      <c r="F38" s="2601"/>
      <c r="G38" s="2601"/>
      <c r="H38" s="2601"/>
      <c r="I38" s="2602"/>
      <c r="J38" s="2601"/>
      <c r="K38" s="2589"/>
      <c r="L38" s="2582"/>
      <c r="M38" s="2582"/>
      <c r="N38" s="2582"/>
      <c r="O38" s="2582"/>
      <c r="P38" s="2582"/>
      <c r="Q38" s="2582"/>
      <c r="R38" s="2582"/>
      <c r="S38" s="2582"/>
      <c r="T38" s="2582"/>
      <c r="U38" s="2582"/>
    </row>
    <row r="39" spans="1:28">
      <c r="A39" s="3452"/>
      <c r="B39" s="3483"/>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1493</v>
      </c>
      <c r="B40" s="1398"/>
      <c r="C40" s="1398"/>
      <c r="D40" s="1398"/>
      <c r="E40" s="1398"/>
      <c r="F40" s="1398"/>
      <c r="G40" s="1398"/>
      <c r="H40" s="1398"/>
      <c r="I40" s="2602"/>
      <c r="J40" s="2601"/>
      <c r="K40" s="1434">
        <f>COUNTIF(B40:H40,"——")</f>
        <v>0</v>
      </c>
      <c r="L40" s="1405" t="s">
        <v>1494</v>
      </c>
      <c r="M40" s="1402" t="s">
        <v>1495</v>
      </c>
      <c r="N40" s="1402" t="s">
        <v>1496</v>
      </c>
      <c r="O40" s="1402" t="s">
        <v>1497</v>
      </c>
      <c r="P40" s="1402" t="s">
        <v>1498</v>
      </c>
      <c r="Q40" s="1402" t="s">
        <v>1499</v>
      </c>
      <c r="R40" s="1402" t="s">
        <v>1500</v>
      </c>
      <c r="S40" s="3464" t="s">
        <v>1501</v>
      </c>
      <c r="T40" s="1405" t="str">
        <f>NUMBERSTRING(7-K40,1)&amp;"通"</f>
        <v>七通</v>
      </c>
      <c r="U40" s="2582"/>
    </row>
    <row r="41" spans="1:28">
      <c r="A41" s="1378"/>
      <c r="B41" s="3456" t="s">
        <v>1248</v>
      </c>
      <c r="C41" s="3456"/>
      <c r="D41" s="3456"/>
      <c r="E41" s="3456"/>
      <c r="F41" s="1435">
        <f>C10</f>
        <v>0</v>
      </c>
      <c r="G41" s="2601"/>
      <c r="H41" s="2601"/>
      <c r="I41" s="2602"/>
      <c r="J41" s="2601"/>
      <c r="K41" s="1405"/>
      <c r="L41" s="1402">
        <f>B40</f>
        <v>0</v>
      </c>
      <c r="M41" s="1436" t="str">
        <f>B40&amp;"、"&amp;C40</f>
        <v>、</v>
      </c>
      <c r="N41" s="1437" t="str">
        <f>B40&amp;"、"&amp;C40&amp;"、"&amp;D40</f>
        <v>、、</v>
      </c>
      <c r="O41" s="1437" t="str">
        <f>B40&amp;"、"&amp;C40&amp;"、"&amp;D40&amp;"、"&amp;E40</f>
        <v>、、、</v>
      </c>
      <c r="P41" s="1437" t="str">
        <f>B40&amp;"、"&amp;C40&amp;"、"&amp;D40&amp;"、"&amp;E40&amp;"、"&amp;F40</f>
        <v>、、、、</v>
      </c>
      <c r="Q41" s="1437" t="str">
        <f>B40&amp;"、"&amp;C40&amp;"、"&amp;D40&amp;"、"&amp;E40&amp;"、"&amp;F40&amp;"、"&amp;G40</f>
        <v>、、、、、</v>
      </c>
      <c r="R41" s="1437" t="str">
        <f>B40&amp;"、"&amp;C40&amp;"、"&amp;D40&amp;"、"&amp;E40&amp;"、"&amp;F40&amp;"、"&amp;G40&amp;"、"&amp;H40</f>
        <v>、、、、、、</v>
      </c>
      <c r="S41" s="3464"/>
      <c r="T41" s="1436" t="str">
        <f>IF(T40="一通",L41,IF(T40="二通",M41,IF(T40="三通",N41,IF(T40="四通",O41,IF(T40="五通",P41,IF(T40="六通",Q41,R41))))))</f>
        <v>、、、、、、</v>
      </c>
      <c r="U41" s="2582"/>
    </row>
    <row r="42" spans="1:28">
      <c r="A42" s="1438"/>
      <c r="B42" s="1464" t="s">
        <v>1420</v>
      </c>
      <c r="C42" s="1464" t="s">
        <v>1421</v>
      </c>
      <c r="D42" s="1464" t="s">
        <v>1422</v>
      </c>
      <c r="E42" s="1464" t="s">
        <v>2730</v>
      </c>
      <c r="F42" s="1464" t="s">
        <v>2731</v>
      </c>
      <c r="G42" s="2601"/>
      <c r="H42" s="2601"/>
      <c r="I42" s="2602"/>
      <c r="J42" s="2601"/>
      <c r="K42" s="2585"/>
      <c r="L42" s="2581"/>
      <c r="M42" s="2581"/>
      <c r="N42" s="2582"/>
      <c r="O42" s="2583"/>
      <c r="P42" s="2582"/>
      <c r="Q42" s="2582"/>
      <c r="R42" s="2582"/>
      <c r="S42" s="2582"/>
      <c r="T42" s="2582"/>
      <c r="U42" s="2582"/>
    </row>
    <row r="43" spans="1:28">
      <c r="A43" s="2557" t="s">
        <v>1233</v>
      </c>
      <c r="B43" s="1440"/>
      <c r="C43" s="1440"/>
      <c r="D43" s="1440"/>
      <c r="E43" s="1440"/>
      <c r="F43" s="1440"/>
      <c r="G43" s="2601"/>
      <c r="H43" s="2601"/>
      <c r="I43" s="2602"/>
      <c r="J43" s="2601"/>
      <c r="K43" s="2585"/>
      <c r="L43" s="2581"/>
      <c r="M43" s="2581"/>
      <c r="N43" s="2582"/>
      <c r="O43" s="2583"/>
      <c r="P43" s="2582"/>
      <c r="Q43" s="2582"/>
      <c r="R43" s="2582"/>
      <c r="S43" s="2582"/>
      <c r="T43" s="2582"/>
      <c r="U43" s="2582"/>
    </row>
    <row r="44" spans="1:28">
      <c r="A44" s="2557" t="s">
        <v>1234</v>
      </c>
      <c r="B44" s="1440"/>
      <c r="C44" s="1440"/>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2164</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5"/>
      <c r="B46" s="1375"/>
      <c r="C46" s="1375"/>
      <c r="D46" s="1375"/>
      <c r="E46" s="1375"/>
      <c r="F46" s="1375"/>
      <c r="G46" s="1375"/>
      <c r="H46" s="1375"/>
      <c r="I46" s="1401"/>
      <c r="J46" s="1375"/>
      <c r="K46" s="2585"/>
      <c r="L46" s="2581"/>
      <c r="M46" s="2581"/>
      <c r="N46" s="2582"/>
      <c r="O46" s="2583"/>
      <c r="P46" s="2582"/>
      <c r="Q46" s="2582"/>
      <c r="R46" s="2582"/>
      <c r="S46" s="2582"/>
      <c r="T46" s="2582"/>
      <c r="U46" s="2582"/>
    </row>
    <row r="47" spans="1:28">
      <c r="A47" s="1441" t="s">
        <v>1522</v>
      </c>
      <c r="B47" s="1442"/>
      <c r="C47" s="1433"/>
      <c r="D47" s="1375"/>
      <c r="E47" s="1375"/>
      <c r="F47" s="1375"/>
      <c r="G47" s="1375"/>
      <c r="H47" s="1375"/>
      <c r="I47" s="1401"/>
      <c r="J47" s="1375"/>
      <c r="K47" s="2585"/>
      <c r="L47" s="2581"/>
      <c r="M47" s="2581"/>
      <c r="N47" s="2582"/>
      <c r="O47" s="2583"/>
      <c r="P47" s="2582"/>
      <c r="Q47" s="2582"/>
      <c r="R47" s="2582"/>
      <c r="S47" s="2582"/>
      <c r="T47" s="2582"/>
      <c r="U47" s="2582"/>
    </row>
    <row r="48" spans="1:28" ht="28.5">
      <c r="A48" s="1405" t="s">
        <v>1523</v>
      </c>
      <c r="B48" s="1396" t="s">
        <v>1524</v>
      </c>
      <c r="C48" s="1396" t="s">
        <v>1525</v>
      </c>
      <c r="D48" s="1396" t="s">
        <v>1526</v>
      </c>
      <c r="E48" s="1396" t="s">
        <v>1527</v>
      </c>
      <c r="F48" s="1396" t="s">
        <v>1528</v>
      </c>
      <c r="G48" s="1396" t="s">
        <v>1529</v>
      </c>
      <c r="H48" s="1396" t="s">
        <v>1530</v>
      </c>
      <c r="I48" s="1396" t="s">
        <v>1531</v>
      </c>
      <c r="J48" s="1469" t="s">
        <v>1532</v>
      </c>
      <c r="K48" s="2595" t="s">
        <v>1533</v>
      </c>
      <c r="L48" s="2595" t="s">
        <v>1534</v>
      </c>
      <c r="M48" s="2595" t="s">
        <v>1535</v>
      </c>
      <c r="N48" s="2596" t="s">
        <v>1536</v>
      </c>
      <c r="O48" s="2596" t="s">
        <v>1537</v>
      </c>
      <c r="P48" s="2596" t="s">
        <v>1538</v>
      </c>
      <c r="Q48" s="2587" t="s">
        <v>1539</v>
      </c>
      <c r="R48" s="2587" t="s">
        <v>1540</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C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hidden="1" customWidth="1"/>
    <col min="12"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1688</v>
      </c>
      <c r="BA2" s="1925" t="s">
        <v>1687</v>
      </c>
      <c r="BB2" s="38"/>
      <c r="BC2" s="38"/>
      <c r="BD2" s="38"/>
      <c r="BE2" s="38"/>
      <c r="BF2" s="38"/>
      <c r="BG2" s="38"/>
      <c r="BH2" s="38"/>
      <c r="BI2" s="38"/>
      <c r="BJ2" s="38"/>
      <c r="BK2" s="38"/>
      <c r="BL2" s="38"/>
      <c r="BM2" s="38"/>
      <c r="BN2" s="38"/>
      <c r="BO2" s="38"/>
      <c r="BP2" s="38"/>
      <c r="BQ2" s="38"/>
      <c r="BR2" s="38"/>
      <c r="BS2" s="38"/>
      <c r="BT2" s="38"/>
    </row>
    <row r="3" spans="1:72" s="15" customFormat="1" ht="12.75">
      <c r="A3" s="18">
        <v>16985.07</v>
      </c>
      <c r="B3" s="19">
        <f>IF(C3="否",G5-AT5,G5)</f>
        <v>42462</v>
      </c>
      <c r="C3" s="20" t="s">
        <v>3312</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5"/>
      <c r="B4" s="1036"/>
      <c r="C4" s="1037"/>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8"/>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1"/>
      <c r="C5" s="901"/>
      <c r="D5" s="907"/>
      <c r="E5" s="23" t="s">
        <v>0</v>
      </c>
      <c r="F5" s="23">
        <f>SUM(F13:F572)</f>
        <v>0</v>
      </c>
      <c r="G5" s="23">
        <f>SUM(G13:G572)</f>
        <v>42462</v>
      </c>
      <c r="H5" s="23">
        <f t="shared" ref="H5:AT5" si="0">SUM(H13:H641)</f>
        <v>42292.15</v>
      </c>
      <c r="I5" s="23">
        <f t="shared" si="0"/>
        <v>42292.15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169.85</v>
      </c>
      <c r="AD5" s="23">
        <f t="shared" si="0"/>
        <v>0</v>
      </c>
      <c r="AE5" s="23">
        <f t="shared" si="0"/>
        <v>0</v>
      </c>
      <c r="AF5" s="23">
        <f t="shared" si="0"/>
        <v>0</v>
      </c>
      <c r="AG5" s="23">
        <f t="shared" si="0"/>
        <v>0</v>
      </c>
      <c r="AH5" s="23">
        <f t="shared" si="0"/>
        <v>169.85</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0"/>
      <c r="AV5" s="22" t="s">
        <v>134</v>
      </c>
      <c r="AW5" s="901"/>
      <c r="AX5" s="901"/>
      <c r="AY5" s="24" t="s">
        <v>2</v>
      </c>
      <c r="AZ5" s="25">
        <f t="shared" ref="AZ5:BT5" si="1">SUM(AZ13:AZ641)</f>
        <v>42462</v>
      </c>
      <c r="BA5" s="25">
        <f t="shared" si="1"/>
        <v>42292.15</v>
      </c>
      <c r="BB5" s="25">
        <f t="shared" si="1"/>
        <v>42292.15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169.85</v>
      </c>
      <c r="BM5" s="25">
        <f t="shared" si="1"/>
        <v>0</v>
      </c>
      <c r="BN5" s="25">
        <f t="shared" si="1"/>
        <v>0</v>
      </c>
      <c r="BO5" s="25">
        <f t="shared" si="1"/>
        <v>169.85</v>
      </c>
      <c r="BP5" s="25">
        <f t="shared" si="1"/>
        <v>0</v>
      </c>
      <c r="BQ5" s="25">
        <f t="shared" si="1"/>
        <v>0</v>
      </c>
      <c r="BR5" s="25">
        <f t="shared" si="1"/>
        <v>0</v>
      </c>
      <c r="BS5" s="25">
        <f t="shared" si="1"/>
        <v>0</v>
      </c>
      <c r="BT5" s="26">
        <f t="shared" si="1"/>
        <v>0</v>
      </c>
    </row>
    <row r="6" spans="1:72" s="33" customFormat="1" ht="12.75">
      <c r="A6" s="22" t="s">
        <v>135</v>
      </c>
      <c r="B6" s="27"/>
      <c r="C6" s="27"/>
      <c r="D6" s="28"/>
      <c r="E6" s="23">
        <f>H6+AC6+AT6</f>
        <v>16985.07</v>
      </c>
      <c r="F6" s="23" t="s">
        <v>0</v>
      </c>
      <c r="G6" s="23" t="s">
        <v>1</v>
      </c>
      <c r="H6" s="29">
        <f>SUMIF(I$12:AB$12,"总值",I6:AB6)</f>
        <v>16917.13</v>
      </c>
      <c r="I6" s="23">
        <f t="shared" ref="I6:AB6" si="2">ROUND($A$3*I5/$B$3,2)</f>
        <v>16917.13</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67.94</v>
      </c>
      <c r="AD6" s="23">
        <f t="shared" ref="AD6:AS6" si="3">ROUND($A$3*AD5/$B$3,2)</f>
        <v>0</v>
      </c>
      <c r="AE6" s="23">
        <f t="shared" si="3"/>
        <v>0</v>
      </c>
      <c r="AF6" s="23">
        <f t="shared" si="3"/>
        <v>0</v>
      </c>
      <c r="AG6" s="23">
        <f t="shared" si="3"/>
        <v>0</v>
      </c>
      <c r="AH6" s="23">
        <f t="shared" si="3"/>
        <v>67.94</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16985.07</v>
      </c>
      <c r="AZ6" s="23" t="s">
        <v>2</v>
      </c>
      <c r="BA6" s="23">
        <f>ROUND($AY$6*BA5/$AZ$5,2)</f>
        <v>16917.13</v>
      </c>
      <c r="BB6" s="23">
        <f>ROUND($AY$6*BB5/$AZ$5,2)</f>
        <v>16917.13</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67.94</v>
      </c>
      <c r="BM6" s="23">
        <f t="shared" si="5"/>
        <v>0</v>
      </c>
      <c r="BN6" s="23">
        <f t="shared" si="5"/>
        <v>0</v>
      </c>
      <c r="BO6" s="23">
        <f t="shared" si="5"/>
        <v>67.94</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1"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2"/>
      <c r="K8" s="912"/>
      <c r="L8" s="912"/>
      <c r="M8" s="912"/>
      <c r="N8" s="912"/>
      <c r="O8" s="912"/>
      <c r="P8" s="912"/>
      <c r="Q8" s="912"/>
      <c r="R8" s="912"/>
      <c r="S8" s="912"/>
      <c r="T8" s="912"/>
      <c r="U8" s="912"/>
      <c r="V8" s="45"/>
      <c r="W8" s="912"/>
      <c r="X8" s="912"/>
      <c r="Y8" s="912"/>
      <c r="Z8" s="912"/>
      <c r="AA8" s="45"/>
      <c r="AB8" s="46"/>
      <c r="AC8" s="47" t="s">
        <v>150</v>
      </c>
      <c r="AD8" s="48"/>
      <c r="AE8" s="39"/>
      <c r="AF8" s="912"/>
      <c r="AG8" s="912"/>
      <c r="AH8" s="912"/>
      <c r="AI8" s="912"/>
      <c r="AJ8" s="912"/>
      <c r="AK8" s="912"/>
      <c r="AL8" s="912"/>
      <c r="AM8" s="912"/>
      <c r="AN8" s="912"/>
      <c r="AO8" s="912"/>
      <c r="AP8" s="912"/>
      <c r="AQ8" s="912"/>
      <c r="AR8" s="912"/>
      <c r="AS8" s="913"/>
      <c r="AT8" s="1913" t="s">
        <v>791</v>
      </c>
      <c r="AU8" s="41" t="s">
        <v>151</v>
      </c>
      <c r="AV8" s="51"/>
      <c r="AW8" s="866"/>
      <c r="AX8" s="51"/>
      <c r="AY8" s="38" t="s">
        <v>152</v>
      </c>
      <c r="AZ8" s="911" t="s">
        <v>153</v>
      </c>
      <c r="BA8" s="912"/>
      <c r="BB8" s="912"/>
      <c r="BC8" s="912"/>
      <c r="BD8" s="912"/>
      <c r="BE8" s="912"/>
      <c r="BF8" s="912"/>
      <c r="BG8" s="912"/>
      <c r="BH8" s="912"/>
      <c r="BI8" s="912"/>
      <c r="BJ8" s="912"/>
      <c r="BK8" s="912"/>
      <c r="BL8" s="912"/>
      <c r="BM8" s="912"/>
      <c r="BN8" s="912"/>
      <c r="BO8" s="912"/>
      <c r="BP8" s="912"/>
      <c r="BQ8" s="912"/>
      <c r="BR8" s="912"/>
      <c r="BS8" s="912"/>
      <c r="BT8" s="52"/>
    </row>
    <row r="9" spans="1:72" s="53" customFormat="1" ht="12.75">
      <c r="A9" s="41"/>
      <c r="B9" s="41"/>
      <c r="C9" s="41"/>
      <c r="D9" s="41"/>
      <c r="E9" s="41"/>
      <c r="F9" s="41"/>
      <c r="G9" s="51"/>
      <c r="H9" s="54" t="s">
        <v>154</v>
      </c>
      <c r="I9" s="2302" t="s">
        <v>3311</v>
      </c>
      <c r="J9" s="47"/>
      <c r="K9" s="2302"/>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9" t="s">
        <v>157</v>
      </c>
      <c r="AQ9" s="1031"/>
      <c r="AR9" s="1029" t="s">
        <v>158</v>
      </c>
      <c r="AS9" s="1914"/>
      <c r="AT9" s="41"/>
      <c r="AU9" s="41" t="s">
        <v>160</v>
      </c>
      <c r="AV9" s="51"/>
      <c r="AW9" s="866"/>
      <c r="AX9" s="51"/>
      <c r="AY9" s="58"/>
      <c r="AZ9" s="58" t="s">
        <v>161</v>
      </c>
      <c r="BA9" s="59" t="s">
        <v>162</v>
      </c>
      <c r="BB9" s="60"/>
      <c r="BC9" s="906"/>
      <c r="BD9" s="906"/>
      <c r="BE9" s="906"/>
      <c r="BF9" s="906"/>
      <c r="BG9" s="906"/>
      <c r="BH9" s="906"/>
      <c r="BI9" s="906"/>
      <c r="BJ9" s="906"/>
      <c r="BK9" s="61"/>
      <c r="BL9" s="22" t="s">
        <v>163</v>
      </c>
      <c r="BM9" s="912"/>
      <c r="BN9" s="44"/>
      <c r="BO9" s="912"/>
      <c r="BP9" s="912"/>
      <c r="BQ9" s="912"/>
      <c r="BR9" s="912"/>
      <c r="BS9" s="912"/>
      <c r="BT9" s="52"/>
    </row>
    <row r="10" spans="1:72" s="53" customFormat="1" ht="12.75">
      <c r="A10" s="41"/>
      <c r="B10" s="41"/>
      <c r="C10" s="41"/>
      <c r="D10" s="41"/>
      <c r="E10" s="41"/>
      <c r="F10" s="41"/>
      <c r="G10" s="51"/>
      <c r="H10" s="58"/>
      <c r="I10" s="2302" t="s">
        <v>2726</v>
      </c>
      <c r="J10" s="47"/>
      <c r="K10" s="2304"/>
      <c r="L10" s="47"/>
      <c r="M10" s="2304"/>
      <c r="N10" s="47"/>
      <c r="O10" s="62"/>
      <c r="P10" s="47"/>
      <c r="Q10" s="62"/>
      <c r="R10" s="47"/>
      <c r="S10" s="62"/>
      <c r="T10" s="47"/>
      <c r="U10" s="62"/>
      <c r="V10" s="47"/>
      <c r="W10" s="62"/>
      <c r="X10" s="47"/>
      <c r="Y10" s="62"/>
      <c r="Z10" s="47"/>
      <c r="AA10" s="62"/>
      <c r="AB10" s="47"/>
      <c r="AC10" s="51"/>
      <c r="AD10" s="1899" t="s">
        <v>1672</v>
      </c>
      <c r="AE10" s="1921"/>
      <c r="AF10" s="1899" t="s">
        <v>1672</v>
      </c>
      <c r="AG10" s="1921"/>
      <c r="AH10" s="1899" t="s">
        <v>1673</v>
      </c>
      <c r="AI10" s="1921"/>
      <c r="AJ10" s="22" t="s">
        <v>1686</v>
      </c>
      <c r="AK10" s="1918"/>
      <c r="AL10" s="1899" t="s">
        <v>1674</v>
      </c>
      <c r="AM10" s="1900"/>
      <c r="AN10" s="22" t="s">
        <v>164</v>
      </c>
      <c r="AO10" s="57"/>
      <c r="AP10" s="1029" t="s">
        <v>165</v>
      </c>
      <c r="AQ10" s="1031"/>
      <c r="AR10" s="1029" t="s">
        <v>165</v>
      </c>
      <c r="AS10" s="1031"/>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1" t="str">
        <f>AD9</f>
        <v>地上</v>
      </c>
      <c r="BN10" s="65" t="str">
        <f>AF9</f>
        <v>地下</v>
      </c>
      <c r="BO10" s="911" t="str">
        <f>AH9</f>
        <v>地上</v>
      </c>
      <c r="BP10" s="65" t="str">
        <f>AJ9</f>
        <v>地下</v>
      </c>
      <c r="BQ10" s="911" t="str">
        <f>AL9</f>
        <v>地上</v>
      </c>
      <c r="BR10" s="65" t="str">
        <f>AN9</f>
        <v>地下</v>
      </c>
      <c r="BS10" s="911" t="str">
        <f>AP9</f>
        <v>地上</v>
      </c>
      <c r="BT10" s="909" t="str">
        <f>AR9</f>
        <v>地下</v>
      </c>
    </row>
    <row r="11" spans="1:72" s="53" customFormat="1" ht="12.75">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19" t="s">
        <v>1685</v>
      </c>
      <c r="AE11" s="913"/>
      <c r="AF11" s="1919" t="s">
        <v>1685</v>
      </c>
      <c r="AG11" s="913"/>
      <c r="AH11" s="1919" t="s">
        <v>1684</v>
      </c>
      <c r="AI11" s="1920"/>
      <c r="AJ11" s="1919" t="s">
        <v>1684</v>
      </c>
      <c r="AK11" s="1918"/>
      <c r="AL11" s="911"/>
      <c r="AM11" s="913"/>
      <c r="AN11" s="911"/>
      <c r="AO11" s="913"/>
      <c r="AP11" s="1030"/>
      <c r="AQ11" s="1032"/>
      <c r="AR11" s="1030"/>
      <c r="AS11" s="1032"/>
      <c r="AT11" s="866"/>
      <c r="AU11" s="41"/>
      <c r="AV11" s="51"/>
      <c r="AW11" s="866"/>
      <c r="AX11" s="51"/>
      <c r="AY11" s="58"/>
      <c r="AZ11" s="58"/>
      <c r="BA11" s="58"/>
      <c r="BB11" s="46" t="str">
        <f>I10</f>
        <v>商业</v>
      </c>
      <c r="BC11" s="46">
        <f>K10</f>
        <v>0</v>
      </c>
      <c r="BD11" s="46">
        <f>M10</f>
        <v>0</v>
      </c>
      <c r="BE11" s="46">
        <f>O10</f>
        <v>0</v>
      </c>
      <c r="BF11" s="46">
        <f>Q10</f>
        <v>0</v>
      </c>
      <c r="BG11" s="46">
        <f>S10</f>
        <v>0</v>
      </c>
      <c r="BH11" s="46">
        <f>U10</f>
        <v>0</v>
      </c>
      <c r="BI11" s="46">
        <f>W10</f>
        <v>0</v>
      </c>
      <c r="BJ11" s="46">
        <f>Y10</f>
        <v>0</v>
      </c>
      <c r="BK11" s="46">
        <f>AA10</f>
        <v>0</v>
      </c>
      <c r="BL11" s="51"/>
      <c r="BM11" s="911" t="str">
        <f>AD10</f>
        <v>公共配套设施</v>
      </c>
      <c r="BN11" s="911" t="str">
        <f>AF10</f>
        <v>公共配套设施</v>
      </c>
      <c r="BO11" s="49" t="str">
        <f>AH10</f>
        <v>物业管理用房</v>
      </c>
      <c r="BP11" s="49" t="str">
        <f>AJ10</f>
        <v>物业管理用房</v>
      </c>
      <c r="BQ11" s="49" t="str">
        <f>AL10</f>
        <v>设备及其他</v>
      </c>
      <c r="BR11" s="49" t="str">
        <f>AN10</f>
        <v>设备及其他</v>
      </c>
      <c r="BS11" s="50" t="str">
        <f>AP10</f>
        <v>未注明</v>
      </c>
      <c r="BT11" s="908" t="str">
        <f>AR10</f>
        <v>未注明</v>
      </c>
    </row>
    <row r="12" spans="1:72" s="15" customFormat="1" ht="12.75">
      <c r="A12" s="68"/>
      <c r="B12" s="68"/>
      <c r="C12" s="68"/>
      <c r="D12" s="68"/>
      <c r="E12" s="68"/>
      <c r="F12" s="68"/>
      <c r="G12" s="69"/>
      <c r="H12" s="70"/>
      <c r="I12" s="90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0" t="s">
        <v>167</v>
      </c>
      <c r="W12" s="14" t="s">
        <v>166</v>
      </c>
      <c r="X12" s="14" t="s">
        <v>167</v>
      </c>
      <c r="Y12" s="14" t="s">
        <v>166</v>
      </c>
      <c r="Z12" s="14" t="s">
        <v>167</v>
      </c>
      <c r="AA12" s="14" t="s">
        <v>166</v>
      </c>
      <c r="AB12" s="14" t="s">
        <v>167</v>
      </c>
      <c r="AC12" s="71"/>
      <c r="AD12" s="907" t="s">
        <v>166</v>
      </c>
      <c r="AE12" s="14" t="s">
        <v>167</v>
      </c>
      <c r="AF12" s="14" t="s">
        <v>166</v>
      </c>
      <c r="AG12" s="14" t="s">
        <v>167</v>
      </c>
      <c r="AH12" s="14" t="s">
        <v>166</v>
      </c>
      <c r="AI12" s="14" t="s">
        <v>167</v>
      </c>
      <c r="AJ12" s="14" t="s">
        <v>166</v>
      </c>
      <c r="AK12" s="14" t="s">
        <v>167</v>
      </c>
      <c r="AL12" s="14" t="s">
        <v>166</v>
      </c>
      <c r="AM12" s="14" t="s">
        <v>167</v>
      </c>
      <c r="AN12" s="14" t="s">
        <v>166</v>
      </c>
      <c r="AO12" s="14" t="s">
        <v>167</v>
      </c>
      <c r="AP12" s="1028" t="s">
        <v>166</v>
      </c>
      <c r="AQ12" s="1028" t="s">
        <v>167</v>
      </c>
      <c r="AR12" s="1034" t="s">
        <v>166</v>
      </c>
      <c r="AS12" s="1033"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1" t="str">
        <f>AD11</f>
        <v>（住宅）</v>
      </c>
      <c r="BN12" s="911" t="str">
        <f>AF11</f>
        <v>（住宅）</v>
      </c>
      <c r="BO12" s="49" t="str">
        <f>AH11</f>
        <v>（住宅、计出让金）</v>
      </c>
      <c r="BP12" s="49" t="str">
        <f>AJ11</f>
        <v>（住宅、计出让金）</v>
      </c>
      <c r="BQ12" s="49">
        <f>AL11</f>
        <v>0</v>
      </c>
      <c r="BR12" s="49">
        <f>AN11</f>
        <v>0</v>
      </c>
      <c r="BS12" s="50">
        <f>AP11</f>
        <v>0</v>
      </c>
      <c r="BT12" s="908">
        <f>AR11</f>
        <v>0</v>
      </c>
    </row>
    <row r="13" spans="1:72" s="15" customFormat="1" ht="12.75">
      <c r="A13" s="2298"/>
      <c r="B13" s="2298"/>
      <c r="C13" s="2298" t="s">
        <v>3672</v>
      </c>
      <c r="D13" s="2299" t="s">
        <v>3310</v>
      </c>
      <c r="E13" s="23">
        <f t="shared" ref="E13:E20" si="6">IF($C$3="是",ROUND($A$3*G13/$B$3,2),ROUND($A$3*(G13-AT13)/$B$3,2))</f>
        <v>16985.07</v>
      </c>
      <c r="F13" s="76"/>
      <c r="G13" s="77">
        <f t="shared" ref="G13:G20" si="7">H13+AC13+AT13</f>
        <v>42462</v>
      </c>
      <c r="H13" s="29">
        <f t="shared" ref="H13:H20" si="8">SUMIF(I$12:AB$12,"总值",I13:AB13)</f>
        <v>42292.15</v>
      </c>
      <c r="I13" s="2301">
        <f>42462-AH13</f>
        <v>42292.15</v>
      </c>
      <c r="J13" s="2301"/>
      <c r="K13" s="2301"/>
      <c r="L13" s="2301"/>
      <c r="M13" s="2301"/>
      <c r="N13" s="78"/>
      <c r="O13" s="78"/>
      <c r="P13" s="78"/>
      <c r="Q13" s="78"/>
      <c r="R13" s="78"/>
      <c r="S13" s="78"/>
      <c r="T13" s="78"/>
      <c r="U13" s="78"/>
      <c r="V13" s="78"/>
      <c r="W13" s="78"/>
      <c r="X13" s="78"/>
      <c r="Y13" s="78"/>
      <c r="Z13" s="78"/>
      <c r="AA13" s="78"/>
      <c r="AB13" s="78"/>
      <c r="AC13" s="23">
        <f t="shared" ref="AC13:AC20" si="9">SUMIF(AD$12:AS$12,"总值",AD13:AS13)</f>
        <v>169.85</v>
      </c>
      <c r="AD13" s="2305"/>
      <c r="AE13" s="2305"/>
      <c r="AF13" s="2305"/>
      <c r="AG13" s="2305"/>
      <c r="AH13" s="2305">
        <f>ROUND(42462*0.004,2)</f>
        <v>169.85</v>
      </c>
      <c r="AI13" s="2305"/>
      <c r="AJ13" s="2305"/>
      <c r="AK13" s="2305"/>
      <c r="AL13" s="2305"/>
      <c r="AM13" s="2305"/>
      <c r="AN13" s="2305"/>
      <c r="AO13" s="2305"/>
      <c r="AP13" s="2305"/>
      <c r="AQ13" s="2305"/>
      <c r="AR13" s="2305"/>
      <c r="AS13" s="2305"/>
      <c r="AT13" s="2306"/>
      <c r="AU13" s="2307"/>
      <c r="AV13" s="14">
        <f t="shared" ref="AV13:AX20" si="10">A13</f>
        <v>0</v>
      </c>
      <c r="AW13" s="14">
        <f t="shared" si="10"/>
        <v>0</v>
      </c>
      <c r="AX13" s="14" t="str">
        <f t="shared" si="10"/>
        <v>商务金融</v>
      </c>
      <c r="AY13" s="907">
        <f t="shared" ref="AY13:AY20" si="11">ROUND($AY$6*AZ13/$AZ$5,2)</f>
        <v>16985.07</v>
      </c>
      <c r="AZ13" s="23">
        <f t="shared" ref="AZ13:AZ20" si="12">BA13+BL13</f>
        <v>42462</v>
      </c>
      <c r="BA13" s="23">
        <f t="shared" ref="BA13:BA20" si="13">SUM(BB13:BK13)</f>
        <v>42292.15</v>
      </c>
      <c r="BB13" s="23">
        <f t="shared" ref="BB13:BB20" si="14">IF($D13="是",I13-J13,0)</f>
        <v>42292.15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169.85</v>
      </c>
      <c r="BM13" s="23">
        <f t="shared" ref="BM13:BM20" si="25">IF($D13="是",AD13-AE13,0)</f>
        <v>0</v>
      </c>
      <c r="BN13" s="23">
        <f t="shared" ref="BN13:BN20" si="26">IF($D13="是",AF13-AG13,0)</f>
        <v>0</v>
      </c>
      <c r="BO13" s="23">
        <f t="shared" ref="BO13:BO20" si="27">IF($D13="是",AH13-AI13,0)</f>
        <v>169.85</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7">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7">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7">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7">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8"/>
      <c r="J18" s="85"/>
      <c r="K18" s="1178"/>
      <c r="L18" s="85"/>
      <c r="M18" s="85"/>
      <c r="N18" s="85"/>
      <c r="O18" s="85"/>
      <c r="P18" s="85"/>
      <c r="Q18" s="85"/>
      <c r="R18" s="85"/>
      <c r="S18" s="85"/>
      <c r="T18" s="85"/>
      <c r="U18" s="85"/>
      <c r="V18" s="85"/>
      <c r="W18" s="85"/>
      <c r="X18" s="85"/>
      <c r="Y18" s="85"/>
      <c r="Z18" s="85"/>
      <c r="AA18" s="85"/>
      <c r="AB18" s="85"/>
      <c r="AC18" s="81">
        <f t="shared" si="9"/>
        <v>0</v>
      </c>
      <c r="AD18" s="86"/>
      <c r="AE18" s="86"/>
      <c r="AF18" s="1178"/>
      <c r="AG18" s="86"/>
      <c r="AH18" s="86"/>
      <c r="AI18" s="86"/>
      <c r="AJ18" s="86"/>
      <c r="AK18" s="86"/>
      <c r="AL18" s="1155"/>
      <c r="AM18" s="86"/>
      <c r="AN18" s="1178"/>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0"/>
      <c r="C19" s="1178"/>
      <c r="D19" s="2299"/>
      <c r="E19" s="81">
        <f t="shared" si="6"/>
        <v>0</v>
      </c>
      <c r="F19" s="82"/>
      <c r="G19" s="83">
        <f t="shared" si="7"/>
        <v>0</v>
      </c>
      <c r="H19" s="84">
        <f t="shared" si="8"/>
        <v>0</v>
      </c>
      <c r="I19" s="1178"/>
      <c r="J19" s="85"/>
      <c r="K19" s="1178"/>
      <c r="L19" s="85"/>
      <c r="M19" s="85"/>
      <c r="N19" s="85"/>
      <c r="O19" s="85"/>
      <c r="P19" s="85"/>
      <c r="Q19" s="85"/>
      <c r="R19" s="85"/>
      <c r="S19" s="85"/>
      <c r="T19" s="85"/>
      <c r="U19" s="85"/>
      <c r="V19" s="85"/>
      <c r="W19" s="85"/>
      <c r="X19" s="85"/>
      <c r="Y19" s="85"/>
      <c r="Z19" s="85"/>
      <c r="AA19" s="85"/>
      <c r="AB19" s="85"/>
      <c r="AC19" s="81">
        <f t="shared" si="9"/>
        <v>0</v>
      </c>
      <c r="AD19" s="86"/>
      <c r="AE19" s="86"/>
      <c r="AF19" s="1178"/>
      <c r="AG19" s="86"/>
      <c r="AH19" s="86"/>
      <c r="AI19" s="86"/>
      <c r="AJ19" s="86"/>
      <c r="AK19" s="86"/>
      <c r="AL19" s="86"/>
      <c r="AM19" s="86"/>
      <c r="AN19" s="1178"/>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0"/>
      <c r="C20" s="1178"/>
      <c r="D20" s="2299"/>
      <c r="E20" s="81">
        <f t="shared" si="6"/>
        <v>0</v>
      </c>
      <c r="F20" s="82"/>
      <c r="G20" s="83">
        <f t="shared" si="7"/>
        <v>0</v>
      </c>
      <c r="H20" s="84">
        <f t="shared" si="8"/>
        <v>0</v>
      </c>
      <c r="I20" s="1178"/>
      <c r="J20" s="85"/>
      <c r="K20" s="1178"/>
      <c r="L20" s="85"/>
      <c r="M20" s="85"/>
      <c r="N20" s="85"/>
      <c r="O20" s="85"/>
      <c r="P20" s="85"/>
      <c r="Q20" s="85"/>
      <c r="R20" s="85"/>
      <c r="S20" s="85"/>
      <c r="T20" s="85"/>
      <c r="U20" s="85"/>
      <c r="V20" s="85"/>
      <c r="W20" s="85"/>
      <c r="X20" s="85"/>
      <c r="Y20" s="85"/>
      <c r="Z20" s="85"/>
      <c r="AA20" s="85"/>
      <c r="AB20" s="85"/>
      <c r="AC20" s="81">
        <f t="shared" si="9"/>
        <v>0</v>
      </c>
      <c r="AD20" s="86"/>
      <c r="AE20" s="86"/>
      <c r="AF20" s="1178"/>
      <c r="AG20" s="86"/>
      <c r="AH20" s="86"/>
      <c r="AI20" s="86"/>
      <c r="AJ20" s="86"/>
      <c r="AK20" s="86"/>
      <c r="AL20" s="86"/>
      <c r="AM20" s="86"/>
      <c r="AN20" s="1178"/>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7"/>
      <c r="C21" s="1178"/>
      <c r="D21" s="2299"/>
      <c r="E21" s="81">
        <f t="shared" ref="E21:E112" si="33">IF($C$3="是",ROUND($A$3*G21/$B$3,2),ROUND($A$3*(G21-AT21)/$B$3,2))</f>
        <v>0</v>
      </c>
      <c r="F21" s="82"/>
      <c r="G21" s="83">
        <f t="shared" ref="G21:G109" si="34">H21+AC21+AT21</f>
        <v>0</v>
      </c>
      <c r="H21" s="84">
        <f t="shared" ref="H21:H109" si="35">SUMIF(I$12:AB$12,"总值",I21:AB21)</f>
        <v>0</v>
      </c>
      <c r="I21" s="1178"/>
      <c r="J21" s="85"/>
      <c r="K21" s="117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9"/>
      <c r="AG21" s="86"/>
      <c r="AH21" s="86"/>
      <c r="AI21" s="86"/>
      <c r="AJ21" s="86"/>
      <c r="AK21" s="86"/>
      <c r="AL21" s="86"/>
      <c r="AM21" s="86"/>
      <c r="AN21" s="1155"/>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7"/>
      <c r="C22" s="1178"/>
      <c r="D22" s="2299"/>
      <c r="E22" s="81">
        <f t="shared" si="33"/>
        <v>0</v>
      </c>
      <c r="F22" s="82"/>
      <c r="G22" s="83">
        <f t="shared" si="34"/>
        <v>0</v>
      </c>
      <c r="H22" s="84">
        <f t="shared" si="35"/>
        <v>0</v>
      </c>
      <c r="I22" s="1178"/>
      <c r="J22" s="85"/>
      <c r="K22" s="1178"/>
      <c r="L22" s="85"/>
      <c r="M22" s="1155"/>
      <c r="N22" s="85"/>
      <c r="O22" s="85"/>
      <c r="P22" s="85"/>
      <c r="Q22" s="85"/>
      <c r="R22" s="85"/>
      <c r="S22" s="85"/>
      <c r="T22" s="85"/>
      <c r="U22" s="85"/>
      <c r="V22" s="85"/>
      <c r="W22" s="85"/>
      <c r="X22" s="85"/>
      <c r="Y22" s="85"/>
      <c r="Z22" s="85"/>
      <c r="AA22" s="85"/>
      <c r="AB22" s="85"/>
      <c r="AC22" s="81">
        <f t="shared" si="36"/>
        <v>0</v>
      </c>
      <c r="AD22" s="1155"/>
      <c r="AE22" s="86"/>
      <c r="AF22" s="1179"/>
      <c r="AG22" s="86"/>
      <c r="AH22" s="86"/>
      <c r="AI22" s="86"/>
      <c r="AJ22" s="86"/>
      <c r="AK22" s="86"/>
      <c r="AL22" s="1155"/>
      <c r="AM22" s="86"/>
      <c r="AN22" s="1155"/>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7"/>
      <c r="C23" s="1178"/>
      <c r="D23" s="2299"/>
      <c r="E23" s="81">
        <f t="shared" si="33"/>
        <v>0</v>
      </c>
      <c r="F23" s="82"/>
      <c r="G23" s="83">
        <f t="shared" si="34"/>
        <v>0</v>
      </c>
      <c r="H23" s="84">
        <f t="shared" si="35"/>
        <v>0</v>
      </c>
      <c r="I23" s="1178"/>
      <c r="J23" s="85"/>
      <c r="K23" s="1178"/>
      <c r="L23" s="85"/>
      <c r="M23" s="1155"/>
      <c r="N23" s="85"/>
      <c r="O23" s="85"/>
      <c r="P23" s="85"/>
      <c r="Q23" s="85"/>
      <c r="R23" s="85"/>
      <c r="S23" s="85"/>
      <c r="T23" s="85"/>
      <c r="U23" s="85"/>
      <c r="V23" s="85"/>
      <c r="W23" s="85"/>
      <c r="X23" s="85"/>
      <c r="Y23" s="85"/>
      <c r="Z23" s="85"/>
      <c r="AA23" s="85"/>
      <c r="AB23" s="85"/>
      <c r="AC23" s="81">
        <f t="shared" si="36"/>
        <v>0</v>
      </c>
      <c r="AD23" s="86"/>
      <c r="AE23" s="86"/>
      <c r="AF23" s="1179"/>
      <c r="AG23" s="86"/>
      <c r="AH23" s="86"/>
      <c r="AI23" s="86"/>
      <c r="AJ23" s="86"/>
      <c r="AK23" s="86"/>
      <c r="AL23" s="1155"/>
      <c r="AM23" s="86"/>
      <c r="AN23" s="1155"/>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7"/>
      <c r="C24" s="1178"/>
      <c r="D24" s="2299"/>
      <c r="E24" s="81">
        <f t="shared" si="33"/>
        <v>0</v>
      </c>
      <c r="F24" s="82"/>
      <c r="G24" s="83">
        <f t="shared" si="34"/>
        <v>0</v>
      </c>
      <c r="H24" s="84">
        <f t="shared" si="35"/>
        <v>0</v>
      </c>
      <c r="I24" s="1178"/>
      <c r="J24" s="85"/>
      <c r="K24" s="1178"/>
      <c r="L24" s="85"/>
      <c r="M24" s="85"/>
      <c r="N24" s="85"/>
      <c r="O24" s="1155"/>
      <c r="P24" s="85"/>
      <c r="Q24" s="85"/>
      <c r="R24" s="85"/>
      <c r="S24" s="85"/>
      <c r="T24" s="85"/>
      <c r="U24" s="85"/>
      <c r="V24" s="85"/>
      <c r="W24" s="85"/>
      <c r="X24" s="85"/>
      <c r="Y24" s="85"/>
      <c r="Z24" s="85"/>
      <c r="AA24" s="85"/>
      <c r="AB24" s="85"/>
      <c r="AC24" s="81">
        <f t="shared" si="36"/>
        <v>0</v>
      </c>
      <c r="AD24" s="86"/>
      <c r="AE24" s="86"/>
      <c r="AF24" s="1179"/>
      <c r="AG24" s="86"/>
      <c r="AH24" s="86"/>
      <c r="AI24" s="86"/>
      <c r="AJ24" s="86"/>
      <c r="AK24" s="86"/>
      <c r="AL24" s="86"/>
      <c r="AM24" s="86"/>
      <c r="AN24" s="1155"/>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7"/>
      <c r="C25" s="1178"/>
      <c r="D25" s="2299"/>
      <c r="E25" s="81">
        <f t="shared" si="33"/>
        <v>0</v>
      </c>
      <c r="F25" s="82"/>
      <c r="G25" s="83">
        <f t="shared" si="34"/>
        <v>0</v>
      </c>
      <c r="H25" s="84">
        <f t="shared" si="35"/>
        <v>0</v>
      </c>
      <c r="I25" s="1178"/>
      <c r="J25" s="85"/>
      <c r="K25" s="1178"/>
      <c r="L25" s="85"/>
      <c r="M25" s="85"/>
      <c r="N25" s="85"/>
      <c r="O25" s="85"/>
      <c r="P25" s="85"/>
      <c r="Q25" s="85"/>
      <c r="R25" s="85"/>
      <c r="S25" s="85"/>
      <c r="T25" s="85"/>
      <c r="U25" s="85"/>
      <c r="V25" s="85"/>
      <c r="W25" s="85"/>
      <c r="X25" s="85"/>
      <c r="Y25" s="85"/>
      <c r="Z25" s="85"/>
      <c r="AA25" s="85"/>
      <c r="AB25" s="85"/>
      <c r="AC25" s="81">
        <f t="shared" si="36"/>
        <v>0</v>
      </c>
      <c r="AD25" s="86"/>
      <c r="AE25" s="86"/>
      <c r="AF25" s="1179"/>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7"/>
      <c r="C26" s="1178"/>
      <c r="D26" s="2299"/>
      <c r="E26" s="81">
        <f t="shared" si="33"/>
        <v>0</v>
      </c>
      <c r="F26" s="82"/>
      <c r="G26" s="83">
        <f t="shared" si="34"/>
        <v>0</v>
      </c>
      <c r="H26" s="84">
        <f t="shared" si="35"/>
        <v>0</v>
      </c>
      <c r="I26" s="1178"/>
      <c r="J26" s="85"/>
      <c r="K26" s="1178"/>
      <c r="L26" s="85"/>
      <c r="M26" s="85"/>
      <c r="N26" s="85"/>
      <c r="O26" s="85"/>
      <c r="P26" s="85"/>
      <c r="Q26" s="85"/>
      <c r="R26" s="85"/>
      <c r="S26" s="85"/>
      <c r="T26" s="85"/>
      <c r="U26" s="85"/>
      <c r="V26" s="85"/>
      <c r="W26" s="85"/>
      <c r="X26" s="85"/>
      <c r="Y26" s="85"/>
      <c r="Z26" s="85"/>
      <c r="AA26" s="85"/>
      <c r="AB26" s="85"/>
      <c r="AC26" s="81">
        <f t="shared" si="36"/>
        <v>0</v>
      </c>
      <c r="AD26" s="86"/>
      <c r="AE26" s="86"/>
      <c r="AF26" s="1179"/>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7"/>
      <c r="C27" s="1178"/>
      <c r="D27" s="2299"/>
      <c r="E27" s="81">
        <f t="shared" si="33"/>
        <v>0</v>
      </c>
      <c r="F27" s="82"/>
      <c r="G27" s="83">
        <f t="shared" si="34"/>
        <v>0</v>
      </c>
      <c r="H27" s="84">
        <f t="shared" si="35"/>
        <v>0</v>
      </c>
      <c r="I27" s="1178"/>
      <c r="J27" s="85"/>
      <c r="K27" s="1178"/>
      <c r="L27" s="85"/>
      <c r="M27" s="85"/>
      <c r="N27" s="85"/>
      <c r="O27" s="85"/>
      <c r="P27" s="85"/>
      <c r="Q27" s="85"/>
      <c r="R27" s="85"/>
      <c r="S27" s="85"/>
      <c r="T27" s="85"/>
      <c r="U27" s="85"/>
      <c r="V27" s="85"/>
      <c r="W27" s="85"/>
      <c r="X27" s="85"/>
      <c r="Y27" s="85"/>
      <c r="Z27" s="85"/>
      <c r="AA27" s="85"/>
      <c r="AB27" s="85"/>
      <c r="AC27" s="81">
        <f t="shared" si="36"/>
        <v>0</v>
      </c>
      <c r="AD27" s="86"/>
      <c r="AE27" s="86"/>
      <c r="AF27" s="1179"/>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7"/>
      <c r="C28" s="1178"/>
      <c r="D28" s="2299"/>
      <c r="E28" s="81">
        <f t="shared" si="33"/>
        <v>0</v>
      </c>
      <c r="F28" s="82"/>
      <c r="G28" s="83">
        <f t="shared" si="34"/>
        <v>0</v>
      </c>
      <c r="H28" s="84">
        <f t="shared" si="35"/>
        <v>0</v>
      </c>
      <c r="I28" s="1178"/>
      <c r="J28" s="85"/>
      <c r="K28" s="1178"/>
      <c r="L28" s="85"/>
      <c r="M28" s="85"/>
      <c r="N28" s="85"/>
      <c r="O28" s="85"/>
      <c r="P28" s="85"/>
      <c r="Q28" s="85"/>
      <c r="R28" s="85"/>
      <c r="S28" s="85"/>
      <c r="T28" s="85"/>
      <c r="U28" s="85"/>
      <c r="V28" s="85"/>
      <c r="W28" s="85"/>
      <c r="X28" s="85"/>
      <c r="Y28" s="85"/>
      <c r="Z28" s="85"/>
      <c r="AA28" s="85"/>
      <c r="AB28" s="85"/>
      <c r="AC28" s="81">
        <f t="shared" si="36"/>
        <v>0</v>
      </c>
      <c r="AD28" s="86"/>
      <c r="AE28" s="86"/>
      <c r="AF28" s="1178"/>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7"/>
      <c r="C29" s="1178"/>
      <c r="D29" s="2299"/>
      <c r="E29" s="81">
        <f t="shared" si="33"/>
        <v>0</v>
      </c>
      <c r="F29" s="82"/>
      <c r="G29" s="83">
        <f t="shared" si="34"/>
        <v>0</v>
      </c>
      <c r="H29" s="84">
        <f t="shared" si="35"/>
        <v>0</v>
      </c>
      <c r="I29" s="1178"/>
      <c r="J29" s="85"/>
      <c r="K29" s="1178"/>
      <c r="L29" s="85"/>
      <c r="M29" s="85"/>
      <c r="N29" s="85"/>
      <c r="O29" s="85"/>
      <c r="P29" s="85"/>
      <c r="Q29" s="85"/>
      <c r="R29" s="85"/>
      <c r="S29" s="85"/>
      <c r="T29" s="85"/>
      <c r="U29" s="85"/>
      <c r="V29" s="85"/>
      <c r="W29" s="85"/>
      <c r="X29" s="85"/>
      <c r="Y29" s="85"/>
      <c r="Z29" s="85"/>
      <c r="AA29" s="85"/>
      <c r="AB29" s="85"/>
      <c r="AC29" s="81">
        <f t="shared" si="36"/>
        <v>0</v>
      </c>
      <c r="AD29" s="86"/>
      <c r="AE29" s="86"/>
      <c r="AF29" s="1178"/>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7"/>
      <c r="C30" s="1178"/>
      <c r="D30" s="2299"/>
      <c r="E30" s="81">
        <f t="shared" si="33"/>
        <v>0</v>
      </c>
      <c r="F30" s="82"/>
      <c r="G30" s="83">
        <f t="shared" si="34"/>
        <v>0</v>
      </c>
      <c r="H30" s="84">
        <f t="shared" si="35"/>
        <v>0</v>
      </c>
      <c r="I30" s="1178"/>
      <c r="J30" s="85"/>
      <c r="K30" s="1178"/>
      <c r="L30" s="85"/>
      <c r="M30" s="85"/>
      <c r="N30" s="85"/>
      <c r="O30" s="85"/>
      <c r="P30" s="85"/>
      <c r="Q30" s="85"/>
      <c r="R30" s="85"/>
      <c r="S30" s="85"/>
      <c r="T30" s="85"/>
      <c r="U30" s="85"/>
      <c r="V30" s="85"/>
      <c r="W30" s="85"/>
      <c r="X30" s="85"/>
      <c r="Y30" s="85"/>
      <c r="Z30" s="85"/>
      <c r="AA30" s="85"/>
      <c r="AB30" s="85"/>
      <c r="AC30" s="81">
        <f t="shared" si="36"/>
        <v>0</v>
      </c>
      <c r="AD30" s="86"/>
      <c r="AE30" s="86"/>
      <c r="AF30" s="1178"/>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7"/>
      <c r="C31" s="1178"/>
      <c r="D31" s="2299"/>
      <c r="E31" s="81">
        <f t="shared" si="33"/>
        <v>0</v>
      </c>
      <c r="F31" s="82"/>
      <c r="G31" s="83">
        <f t="shared" si="34"/>
        <v>0</v>
      </c>
      <c r="H31" s="84">
        <f t="shared" si="35"/>
        <v>0</v>
      </c>
      <c r="I31" s="1178"/>
      <c r="J31" s="85"/>
      <c r="K31" s="1178"/>
      <c r="L31" s="85"/>
      <c r="M31" s="85"/>
      <c r="N31" s="85"/>
      <c r="O31" s="85"/>
      <c r="P31" s="85"/>
      <c r="Q31" s="85"/>
      <c r="R31" s="85"/>
      <c r="S31" s="85"/>
      <c r="T31" s="85"/>
      <c r="U31" s="85"/>
      <c r="V31" s="85"/>
      <c r="W31" s="85"/>
      <c r="X31" s="85"/>
      <c r="Y31" s="85"/>
      <c r="Z31" s="85"/>
      <c r="AA31" s="85"/>
      <c r="AB31" s="85"/>
      <c r="AC31" s="81">
        <f t="shared" si="36"/>
        <v>0</v>
      </c>
      <c r="AD31" s="86"/>
      <c r="AE31" s="86"/>
      <c r="AF31" s="1178"/>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7"/>
      <c r="C32" s="1178"/>
      <c r="D32" s="2299"/>
      <c r="E32" s="81">
        <f t="shared" si="33"/>
        <v>0</v>
      </c>
      <c r="F32" s="82"/>
      <c r="G32" s="83">
        <f t="shared" si="34"/>
        <v>0</v>
      </c>
      <c r="H32" s="84">
        <f t="shared" si="35"/>
        <v>0</v>
      </c>
      <c r="I32" s="1178"/>
      <c r="J32" s="85"/>
      <c r="K32" s="1178"/>
      <c r="L32" s="85"/>
      <c r="M32" s="85"/>
      <c r="N32" s="85"/>
      <c r="O32" s="85"/>
      <c r="P32" s="85"/>
      <c r="Q32" s="85"/>
      <c r="R32" s="85"/>
      <c r="S32" s="85"/>
      <c r="T32" s="85"/>
      <c r="U32" s="85"/>
      <c r="V32" s="85"/>
      <c r="W32" s="85"/>
      <c r="X32" s="85"/>
      <c r="Y32" s="85"/>
      <c r="Z32" s="85"/>
      <c r="AA32" s="85"/>
      <c r="AB32" s="85"/>
      <c r="AC32" s="81">
        <f t="shared" si="36"/>
        <v>0</v>
      </c>
      <c r="AD32" s="86"/>
      <c r="AE32" s="86"/>
      <c r="AF32" s="1178"/>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7"/>
      <c r="C33" s="1178"/>
      <c r="D33" s="2299"/>
      <c r="E33" s="81">
        <f t="shared" si="33"/>
        <v>0</v>
      </c>
      <c r="F33" s="82"/>
      <c r="G33" s="83">
        <f t="shared" si="34"/>
        <v>0</v>
      </c>
      <c r="H33" s="84">
        <f t="shared" si="35"/>
        <v>0</v>
      </c>
      <c r="I33" s="1178"/>
      <c r="J33" s="85"/>
      <c r="K33" s="1178"/>
      <c r="L33" s="85"/>
      <c r="M33" s="85"/>
      <c r="N33" s="85"/>
      <c r="O33" s="85"/>
      <c r="P33" s="85"/>
      <c r="Q33" s="85"/>
      <c r="R33" s="85"/>
      <c r="S33" s="85"/>
      <c r="T33" s="85"/>
      <c r="U33" s="85"/>
      <c r="V33" s="85"/>
      <c r="W33" s="85"/>
      <c r="X33" s="85"/>
      <c r="Y33" s="85"/>
      <c r="Z33" s="85"/>
      <c r="AA33" s="85"/>
      <c r="AB33" s="85"/>
      <c r="AC33" s="81">
        <f t="shared" si="36"/>
        <v>0</v>
      </c>
      <c r="AD33" s="86"/>
      <c r="AE33" s="86"/>
      <c r="AF33" s="1178"/>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7"/>
      <c r="C34" s="1178"/>
      <c r="D34" s="2299"/>
      <c r="E34" s="81">
        <f t="shared" si="33"/>
        <v>0</v>
      </c>
      <c r="F34" s="82"/>
      <c r="G34" s="83">
        <f t="shared" si="34"/>
        <v>0</v>
      </c>
      <c r="H34" s="84">
        <f t="shared" si="35"/>
        <v>0</v>
      </c>
      <c r="I34" s="1178"/>
      <c r="J34" s="85"/>
      <c r="K34" s="1178"/>
      <c r="L34" s="85"/>
      <c r="M34" s="85"/>
      <c r="N34" s="85"/>
      <c r="O34" s="85"/>
      <c r="P34" s="85"/>
      <c r="Q34" s="85"/>
      <c r="R34" s="85"/>
      <c r="S34" s="85"/>
      <c r="T34" s="85"/>
      <c r="U34" s="85"/>
      <c r="V34" s="85"/>
      <c r="W34" s="85"/>
      <c r="X34" s="85"/>
      <c r="Y34" s="85"/>
      <c r="Z34" s="85"/>
      <c r="AA34" s="85"/>
      <c r="AB34" s="85"/>
      <c r="AC34" s="81">
        <f t="shared" si="36"/>
        <v>0</v>
      </c>
      <c r="AD34" s="86"/>
      <c r="AE34" s="86"/>
      <c r="AF34" s="1178"/>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7"/>
      <c r="C35" s="1178"/>
      <c r="D35" s="2299"/>
      <c r="E35" s="81">
        <f t="shared" si="33"/>
        <v>0</v>
      </c>
      <c r="F35" s="82"/>
      <c r="G35" s="83">
        <f t="shared" si="34"/>
        <v>0</v>
      </c>
      <c r="H35" s="84">
        <f t="shared" si="35"/>
        <v>0</v>
      </c>
      <c r="I35" s="1178"/>
      <c r="J35" s="85"/>
      <c r="K35" s="1178"/>
      <c r="L35" s="85"/>
      <c r="M35" s="85"/>
      <c r="N35" s="85"/>
      <c r="O35" s="85"/>
      <c r="P35" s="85"/>
      <c r="Q35" s="85"/>
      <c r="R35" s="85"/>
      <c r="S35" s="85"/>
      <c r="T35" s="85"/>
      <c r="U35" s="85"/>
      <c r="V35" s="85"/>
      <c r="W35" s="85"/>
      <c r="X35" s="85"/>
      <c r="Y35" s="85"/>
      <c r="Z35" s="85"/>
      <c r="AA35" s="85"/>
      <c r="AB35" s="85"/>
      <c r="AC35" s="81">
        <f t="shared" si="36"/>
        <v>0</v>
      </c>
      <c r="AD35" s="86"/>
      <c r="AE35" s="86"/>
      <c r="AF35" s="1178"/>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7"/>
      <c r="C36" s="1178"/>
      <c r="D36" s="2299"/>
      <c r="E36" s="81">
        <f t="shared" si="33"/>
        <v>0</v>
      </c>
      <c r="F36" s="82"/>
      <c r="G36" s="83">
        <f t="shared" si="34"/>
        <v>0</v>
      </c>
      <c r="H36" s="84">
        <f t="shared" si="35"/>
        <v>0</v>
      </c>
      <c r="I36" s="1178"/>
      <c r="J36" s="85"/>
      <c r="K36" s="1178"/>
      <c r="L36" s="85"/>
      <c r="M36" s="85"/>
      <c r="N36" s="85"/>
      <c r="O36" s="85"/>
      <c r="P36" s="85"/>
      <c r="Q36" s="85"/>
      <c r="R36" s="85"/>
      <c r="S36" s="85"/>
      <c r="T36" s="85"/>
      <c r="U36" s="85"/>
      <c r="V36" s="85"/>
      <c r="W36" s="85"/>
      <c r="X36" s="85"/>
      <c r="Y36" s="85"/>
      <c r="Z36" s="85"/>
      <c r="AA36" s="85"/>
      <c r="AB36" s="85"/>
      <c r="AC36" s="81">
        <f t="shared" si="36"/>
        <v>0</v>
      </c>
      <c r="AD36" s="86"/>
      <c r="AE36" s="86"/>
      <c r="AF36" s="1178"/>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7"/>
      <c r="C37" s="1178"/>
      <c r="D37" s="2299"/>
      <c r="E37" s="81">
        <f t="shared" si="33"/>
        <v>0</v>
      </c>
      <c r="F37" s="82"/>
      <c r="G37" s="83">
        <f t="shared" si="34"/>
        <v>0</v>
      </c>
      <c r="H37" s="84">
        <f t="shared" si="35"/>
        <v>0</v>
      </c>
      <c r="I37" s="1178"/>
      <c r="J37" s="85"/>
      <c r="K37" s="1178"/>
      <c r="L37" s="85"/>
      <c r="M37" s="85"/>
      <c r="N37" s="85"/>
      <c r="O37" s="85"/>
      <c r="P37" s="85"/>
      <c r="Q37" s="85"/>
      <c r="R37" s="85"/>
      <c r="S37" s="85"/>
      <c r="T37" s="85"/>
      <c r="U37" s="85"/>
      <c r="V37" s="85"/>
      <c r="W37" s="85"/>
      <c r="X37" s="85"/>
      <c r="Y37" s="85"/>
      <c r="Z37" s="85"/>
      <c r="AA37" s="85"/>
      <c r="AB37" s="85"/>
      <c r="AC37" s="81">
        <f t="shared" si="36"/>
        <v>0</v>
      </c>
      <c r="AD37" s="86"/>
      <c r="AE37" s="86"/>
      <c r="AF37" s="1178"/>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7"/>
      <c r="C38" s="1178"/>
      <c r="D38" s="2299"/>
      <c r="E38" s="81">
        <f t="shared" si="33"/>
        <v>0</v>
      </c>
      <c r="F38" s="82"/>
      <c r="G38" s="83">
        <f t="shared" si="34"/>
        <v>0</v>
      </c>
      <c r="H38" s="84">
        <f t="shared" si="35"/>
        <v>0</v>
      </c>
      <c r="I38" s="1178"/>
      <c r="J38" s="85"/>
      <c r="K38" s="1178"/>
      <c r="L38" s="85"/>
      <c r="M38" s="85"/>
      <c r="N38" s="85"/>
      <c r="O38" s="85"/>
      <c r="P38" s="85"/>
      <c r="Q38" s="85"/>
      <c r="R38" s="85"/>
      <c r="S38" s="85"/>
      <c r="T38" s="85"/>
      <c r="U38" s="85"/>
      <c r="V38" s="85"/>
      <c r="W38" s="85"/>
      <c r="X38" s="85"/>
      <c r="Y38" s="85"/>
      <c r="Z38" s="85"/>
      <c r="AA38" s="85"/>
      <c r="AB38" s="85"/>
      <c r="AC38" s="81">
        <f t="shared" si="36"/>
        <v>0</v>
      </c>
      <c r="AD38" s="86"/>
      <c r="AE38" s="86"/>
      <c r="AF38" s="1178"/>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7"/>
      <c r="C39" s="1178"/>
      <c r="D39" s="2299"/>
      <c r="E39" s="81">
        <f t="shared" si="33"/>
        <v>0</v>
      </c>
      <c r="F39" s="82"/>
      <c r="G39" s="83">
        <f t="shared" si="34"/>
        <v>0</v>
      </c>
      <c r="H39" s="84">
        <f t="shared" si="35"/>
        <v>0</v>
      </c>
      <c r="I39" s="1178"/>
      <c r="J39" s="85"/>
      <c r="K39" s="1178"/>
      <c r="L39" s="85"/>
      <c r="M39" s="85"/>
      <c r="N39" s="85"/>
      <c r="O39" s="85"/>
      <c r="P39" s="85"/>
      <c r="Q39" s="85"/>
      <c r="R39" s="85"/>
      <c r="S39" s="85"/>
      <c r="T39" s="85"/>
      <c r="U39" s="85"/>
      <c r="V39" s="85"/>
      <c r="W39" s="85"/>
      <c r="X39" s="85"/>
      <c r="Y39" s="85"/>
      <c r="Z39" s="85"/>
      <c r="AA39" s="85"/>
      <c r="AB39" s="85"/>
      <c r="AC39" s="81">
        <f t="shared" si="36"/>
        <v>0</v>
      </c>
      <c r="AD39" s="86"/>
      <c r="AE39" s="86"/>
      <c r="AF39" s="1178"/>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7"/>
      <c r="C40" s="1178"/>
      <c r="D40" s="2299"/>
      <c r="E40" s="81">
        <f t="shared" si="33"/>
        <v>0</v>
      </c>
      <c r="F40" s="82"/>
      <c r="G40" s="83">
        <f t="shared" si="34"/>
        <v>0</v>
      </c>
      <c r="H40" s="84">
        <f t="shared" si="35"/>
        <v>0</v>
      </c>
      <c r="I40" s="1178"/>
      <c r="J40" s="85"/>
      <c r="K40" s="1178"/>
      <c r="L40" s="85"/>
      <c r="M40" s="85"/>
      <c r="N40" s="85"/>
      <c r="O40" s="85"/>
      <c r="P40" s="85"/>
      <c r="Q40" s="85"/>
      <c r="R40" s="85"/>
      <c r="S40" s="85"/>
      <c r="T40" s="85"/>
      <c r="U40" s="85"/>
      <c r="V40" s="85"/>
      <c r="W40" s="85"/>
      <c r="X40" s="85"/>
      <c r="Y40" s="85"/>
      <c r="Z40" s="85"/>
      <c r="AA40" s="85"/>
      <c r="AB40" s="85"/>
      <c r="AC40" s="81">
        <f t="shared" si="36"/>
        <v>0</v>
      </c>
      <c r="AD40" s="86"/>
      <c r="AE40" s="86"/>
      <c r="AF40" s="1178"/>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7"/>
      <c r="C41" s="1178"/>
      <c r="D41" s="2299"/>
      <c r="E41" s="81">
        <f t="shared" si="33"/>
        <v>0</v>
      </c>
      <c r="F41" s="82"/>
      <c r="G41" s="83">
        <f t="shared" si="34"/>
        <v>0</v>
      </c>
      <c r="H41" s="84">
        <f t="shared" si="35"/>
        <v>0</v>
      </c>
      <c r="I41" s="1178"/>
      <c r="J41" s="85"/>
      <c r="K41" s="1178"/>
      <c r="L41" s="85"/>
      <c r="M41" s="85"/>
      <c r="N41" s="85"/>
      <c r="O41" s="85"/>
      <c r="P41" s="85"/>
      <c r="Q41" s="85"/>
      <c r="R41" s="85"/>
      <c r="S41" s="85"/>
      <c r="T41" s="85"/>
      <c r="U41" s="85"/>
      <c r="V41" s="85"/>
      <c r="W41" s="85"/>
      <c r="X41" s="85"/>
      <c r="Y41" s="85"/>
      <c r="Z41" s="85"/>
      <c r="AA41" s="85"/>
      <c r="AB41" s="85"/>
      <c r="AC41" s="81">
        <f t="shared" si="36"/>
        <v>0</v>
      </c>
      <c r="AD41" s="86"/>
      <c r="AE41" s="86"/>
      <c r="AF41" s="1178"/>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7"/>
      <c r="C42" s="1178"/>
      <c r="D42" s="2299"/>
      <c r="E42" s="81">
        <f t="shared" si="33"/>
        <v>0</v>
      </c>
      <c r="F42" s="82"/>
      <c r="G42" s="83">
        <f t="shared" si="34"/>
        <v>0</v>
      </c>
      <c r="H42" s="84">
        <f t="shared" si="35"/>
        <v>0</v>
      </c>
      <c r="I42" s="1178"/>
      <c r="J42" s="85"/>
      <c r="K42" s="1178"/>
      <c r="L42" s="85"/>
      <c r="M42" s="85"/>
      <c r="N42" s="85"/>
      <c r="O42" s="85"/>
      <c r="P42" s="85"/>
      <c r="Q42" s="85"/>
      <c r="R42" s="85"/>
      <c r="S42" s="85"/>
      <c r="T42" s="85"/>
      <c r="U42" s="85"/>
      <c r="V42" s="85"/>
      <c r="W42" s="85"/>
      <c r="X42" s="85"/>
      <c r="Y42" s="85"/>
      <c r="Z42" s="85"/>
      <c r="AA42" s="85"/>
      <c r="AB42" s="85"/>
      <c r="AC42" s="81">
        <f t="shared" si="36"/>
        <v>0</v>
      </c>
      <c r="AD42" s="86"/>
      <c r="AE42" s="86"/>
      <c r="AF42" s="1178"/>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7"/>
      <c r="C43" s="1178"/>
      <c r="D43" s="2299"/>
      <c r="E43" s="81">
        <f t="shared" si="33"/>
        <v>0</v>
      </c>
      <c r="F43" s="82"/>
      <c r="G43" s="83">
        <f t="shared" si="34"/>
        <v>0</v>
      </c>
      <c r="H43" s="84">
        <f t="shared" si="35"/>
        <v>0</v>
      </c>
      <c r="I43" s="1178"/>
      <c r="J43" s="85"/>
      <c r="K43" s="1178"/>
      <c r="L43" s="85"/>
      <c r="M43" s="85"/>
      <c r="N43" s="85"/>
      <c r="O43" s="85"/>
      <c r="P43" s="85"/>
      <c r="Q43" s="85"/>
      <c r="R43" s="85"/>
      <c r="S43" s="85"/>
      <c r="T43" s="85"/>
      <c r="U43" s="85"/>
      <c r="V43" s="85"/>
      <c r="W43" s="85"/>
      <c r="X43" s="85"/>
      <c r="Y43" s="85"/>
      <c r="Z43" s="85"/>
      <c r="AA43" s="85"/>
      <c r="AB43" s="85"/>
      <c r="AC43" s="81">
        <f t="shared" si="36"/>
        <v>0</v>
      </c>
      <c r="AD43" s="86"/>
      <c r="AE43" s="86"/>
      <c r="AF43" s="1178"/>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7"/>
      <c r="C44" s="1178"/>
      <c r="D44" s="2299"/>
      <c r="E44" s="81">
        <f t="shared" si="33"/>
        <v>0</v>
      </c>
      <c r="F44" s="82"/>
      <c r="G44" s="83">
        <f t="shared" si="34"/>
        <v>0</v>
      </c>
      <c r="H44" s="84">
        <f t="shared" si="35"/>
        <v>0</v>
      </c>
      <c r="I44" s="1178"/>
      <c r="J44" s="85"/>
      <c r="K44" s="1178"/>
      <c r="L44" s="85"/>
      <c r="M44" s="85"/>
      <c r="N44" s="85"/>
      <c r="O44" s="85"/>
      <c r="P44" s="85"/>
      <c r="Q44" s="85"/>
      <c r="R44" s="85"/>
      <c r="S44" s="85"/>
      <c r="T44" s="85"/>
      <c r="U44" s="85"/>
      <c r="V44" s="85"/>
      <c r="W44" s="85"/>
      <c r="X44" s="85"/>
      <c r="Y44" s="85"/>
      <c r="Z44" s="85"/>
      <c r="AA44" s="85"/>
      <c r="AB44" s="85"/>
      <c r="AC44" s="81">
        <f t="shared" si="36"/>
        <v>0</v>
      </c>
      <c r="AD44" s="86"/>
      <c r="AE44" s="86"/>
      <c r="AF44" s="1178"/>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7"/>
      <c r="C45" s="1178"/>
      <c r="D45" s="2299"/>
      <c r="E45" s="81">
        <f t="shared" si="33"/>
        <v>0</v>
      </c>
      <c r="F45" s="82"/>
      <c r="G45" s="83">
        <f t="shared" si="34"/>
        <v>0</v>
      </c>
      <c r="H45" s="84">
        <f t="shared" si="35"/>
        <v>0</v>
      </c>
      <c r="I45" s="1178"/>
      <c r="J45" s="85"/>
      <c r="K45" s="1178"/>
      <c r="L45" s="85"/>
      <c r="M45" s="85"/>
      <c r="N45" s="85"/>
      <c r="O45" s="85"/>
      <c r="P45" s="85"/>
      <c r="Q45" s="85"/>
      <c r="R45" s="85"/>
      <c r="S45" s="85"/>
      <c r="T45" s="85"/>
      <c r="U45" s="85"/>
      <c r="V45" s="85"/>
      <c r="W45" s="85"/>
      <c r="X45" s="85"/>
      <c r="Y45" s="85"/>
      <c r="Z45" s="85"/>
      <c r="AA45" s="85"/>
      <c r="AB45" s="85"/>
      <c r="AC45" s="81">
        <f t="shared" si="36"/>
        <v>0</v>
      </c>
      <c r="AD45" s="86"/>
      <c r="AE45" s="86"/>
      <c r="AF45" s="1178"/>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7"/>
      <c r="C46" s="1178"/>
      <c r="D46" s="2299"/>
      <c r="E46" s="81">
        <f t="shared" si="33"/>
        <v>0</v>
      </c>
      <c r="F46" s="82"/>
      <c r="G46" s="83">
        <f t="shared" si="34"/>
        <v>0</v>
      </c>
      <c r="H46" s="84">
        <f t="shared" si="35"/>
        <v>0</v>
      </c>
      <c r="I46" s="1178"/>
      <c r="J46" s="85"/>
      <c r="K46" s="1178"/>
      <c r="L46" s="85"/>
      <c r="M46" s="85"/>
      <c r="N46" s="85"/>
      <c r="O46" s="85"/>
      <c r="P46" s="85"/>
      <c r="Q46" s="85"/>
      <c r="R46" s="85"/>
      <c r="S46" s="85"/>
      <c r="T46" s="85"/>
      <c r="U46" s="85"/>
      <c r="V46" s="85"/>
      <c r="W46" s="85"/>
      <c r="X46" s="85"/>
      <c r="Y46" s="85"/>
      <c r="Z46" s="85"/>
      <c r="AA46" s="85"/>
      <c r="AB46" s="85"/>
      <c r="AC46" s="81">
        <f t="shared" si="36"/>
        <v>0</v>
      </c>
      <c r="AD46" s="86"/>
      <c r="AE46" s="86"/>
      <c r="AF46" s="1178"/>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7"/>
      <c r="C47" s="1178"/>
      <c r="D47" s="2299"/>
      <c r="E47" s="81">
        <f t="shared" si="33"/>
        <v>0</v>
      </c>
      <c r="F47" s="82"/>
      <c r="G47" s="83">
        <f t="shared" si="34"/>
        <v>0</v>
      </c>
      <c r="H47" s="84">
        <f t="shared" si="35"/>
        <v>0</v>
      </c>
      <c r="I47" s="1178"/>
      <c r="J47" s="85"/>
      <c r="K47" s="1178"/>
      <c r="L47" s="85"/>
      <c r="M47" s="85"/>
      <c r="N47" s="85"/>
      <c r="O47" s="85"/>
      <c r="P47" s="85"/>
      <c r="Q47" s="85"/>
      <c r="R47" s="85"/>
      <c r="S47" s="85"/>
      <c r="T47" s="85"/>
      <c r="U47" s="85"/>
      <c r="V47" s="85"/>
      <c r="W47" s="85"/>
      <c r="X47" s="85"/>
      <c r="Y47" s="85"/>
      <c r="Z47" s="85"/>
      <c r="AA47" s="85"/>
      <c r="AB47" s="85"/>
      <c r="AC47" s="81">
        <f t="shared" si="36"/>
        <v>0</v>
      </c>
      <c r="AD47" s="86"/>
      <c r="AE47" s="86"/>
      <c r="AF47" s="1178"/>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7"/>
      <c r="C48" s="1178"/>
      <c r="D48" s="2299"/>
      <c r="E48" s="81">
        <f t="shared" si="33"/>
        <v>0</v>
      </c>
      <c r="F48" s="82"/>
      <c r="G48" s="83">
        <f t="shared" si="34"/>
        <v>0</v>
      </c>
      <c r="H48" s="84">
        <f t="shared" si="35"/>
        <v>0</v>
      </c>
      <c r="I48" s="1178"/>
      <c r="J48" s="85"/>
      <c r="K48" s="1178"/>
      <c r="L48" s="85"/>
      <c r="M48" s="85"/>
      <c r="N48" s="85"/>
      <c r="O48" s="85"/>
      <c r="P48" s="85"/>
      <c r="Q48" s="85"/>
      <c r="R48" s="85"/>
      <c r="S48" s="85"/>
      <c r="T48" s="85"/>
      <c r="U48" s="85"/>
      <c r="V48" s="85"/>
      <c r="W48" s="85"/>
      <c r="X48" s="85"/>
      <c r="Y48" s="85"/>
      <c r="Z48" s="85"/>
      <c r="AA48" s="85"/>
      <c r="AB48" s="85"/>
      <c r="AC48" s="81">
        <f t="shared" si="36"/>
        <v>0</v>
      </c>
      <c r="AD48" s="86"/>
      <c r="AE48" s="86"/>
      <c r="AF48" s="1178"/>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7"/>
      <c r="C49" s="1178"/>
      <c r="D49" s="2299"/>
      <c r="E49" s="81">
        <f t="shared" si="33"/>
        <v>0</v>
      </c>
      <c r="F49" s="82"/>
      <c r="G49" s="83">
        <f t="shared" si="34"/>
        <v>0</v>
      </c>
      <c r="H49" s="84">
        <f t="shared" si="35"/>
        <v>0</v>
      </c>
      <c r="I49" s="1178"/>
      <c r="J49" s="85"/>
      <c r="K49" s="1178"/>
      <c r="L49" s="85"/>
      <c r="M49" s="85"/>
      <c r="N49" s="85"/>
      <c r="O49" s="85"/>
      <c r="P49" s="85"/>
      <c r="Q49" s="85"/>
      <c r="R49" s="85"/>
      <c r="S49" s="85"/>
      <c r="T49" s="85"/>
      <c r="U49" s="85"/>
      <c r="V49" s="85"/>
      <c r="W49" s="85"/>
      <c r="X49" s="85"/>
      <c r="Y49" s="85"/>
      <c r="Z49" s="85"/>
      <c r="AA49" s="85"/>
      <c r="AB49" s="85"/>
      <c r="AC49" s="81">
        <f t="shared" si="36"/>
        <v>0</v>
      </c>
      <c r="AD49" s="86"/>
      <c r="AE49" s="86"/>
      <c r="AF49" s="1178"/>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7"/>
      <c r="C50" s="1178"/>
      <c r="D50" s="2299"/>
      <c r="E50" s="81">
        <f t="shared" si="33"/>
        <v>0</v>
      </c>
      <c r="F50" s="82"/>
      <c r="G50" s="83">
        <f t="shared" si="34"/>
        <v>0</v>
      </c>
      <c r="H50" s="84">
        <f t="shared" si="35"/>
        <v>0</v>
      </c>
      <c r="I50" s="1178"/>
      <c r="J50" s="85"/>
      <c r="K50" s="1178"/>
      <c r="L50" s="85"/>
      <c r="M50" s="85"/>
      <c r="N50" s="85"/>
      <c r="O50" s="85"/>
      <c r="P50" s="85"/>
      <c r="Q50" s="85"/>
      <c r="R50" s="85"/>
      <c r="S50" s="85"/>
      <c r="T50" s="85"/>
      <c r="U50" s="85"/>
      <c r="V50" s="85"/>
      <c r="W50" s="85"/>
      <c r="X50" s="85"/>
      <c r="Y50" s="85"/>
      <c r="Z50" s="85"/>
      <c r="AA50" s="85"/>
      <c r="AB50" s="85"/>
      <c r="AC50" s="81">
        <f t="shared" si="36"/>
        <v>0</v>
      </c>
      <c r="AD50" s="86"/>
      <c r="AE50" s="86"/>
      <c r="AF50" s="1178"/>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7"/>
      <c r="C51" s="1178"/>
      <c r="D51" s="2299"/>
      <c r="E51" s="81">
        <f t="shared" si="33"/>
        <v>0</v>
      </c>
      <c r="F51" s="82"/>
      <c r="G51" s="83">
        <f t="shared" si="34"/>
        <v>0</v>
      </c>
      <c r="H51" s="84">
        <f t="shared" si="35"/>
        <v>0</v>
      </c>
      <c r="I51" s="1178"/>
      <c r="J51" s="85"/>
      <c r="K51" s="1178"/>
      <c r="L51" s="85"/>
      <c r="M51" s="85"/>
      <c r="N51" s="85"/>
      <c r="O51" s="85"/>
      <c r="P51" s="85"/>
      <c r="Q51" s="85"/>
      <c r="R51" s="85"/>
      <c r="S51" s="85"/>
      <c r="T51" s="85"/>
      <c r="U51" s="85"/>
      <c r="V51" s="85"/>
      <c r="W51" s="85"/>
      <c r="X51" s="85"/>
      <c r="Y51" s="85"/>
      <c r="Z51" s="85"/>
      <c r="AA51" s="85"/>
      <c r="AB51" s="85"/>
      <c r="AC51" s="81">
        <f t="shared" si="36"/>
        <v>0</v>
      </c>
      <c r="AD51" s="86"/>
      <c r="AE51" s="86"/>
      <c r="AF51" s="1178"/>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7"/>
      <c r="C52" s="1178"/>
      <c r="D52" s="2299"/>
      <c r="E52" s="81">
        <f t="shared" si="33"/>
        <v>0</v>
      </c>
      <c r="F52" s="82"/>
      <c r="G52" s="83">
        <f t="shared" si="34"/>
        <v>0</v>
      </c>
      <c r="H52" s="84">
        <f t="shared" si="35"/>
        <v>0</v>
      </c>
      <c r="I52" s="1178"/>
      <c r="J52" s="85"/>
      <c r="K52" s="1178"/>
      <c r="L52" s="85"/>
      <c r="M52" s="85"/>
      <c r="N52" s="85"/>
      <c r="O52" s="85"/>
      <c r="P52" s="85"/>
      <c r="Q52" s="85"/>
      <c r="R52" s="85"/>
      <c r="S52" s="85"/>
      <c r="T52" s="85"/>
      <c r="U52" s="85"/>
      <c r="V52" s="85"/>
      <c r="W52" s="85"/>
      <c r="X52" s="85"/>
      <c r="Y52" s="85"/>
      <c r="Z52" s="85"/>
      <c r="AA52" s="85"/>
      <c r="AB52" s="85"/>
      <c r="AC52" s="81">
        <f t="shared" si="36"/>
        <v>0</v>
      </c>
      <c r="AD52" s="86"/>
      <c r="AE52" s="86"/>
      <c r="AF52" s="1178"/>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7"/>
      <c r="C53" s="1178"/>
      <c r="D53" s="2299"/>
      <c r="E53" s="81">
        <f t="shared" si="33"/>
        <v>0</v>
      </c>
      <c r="F53" s="82"/>
      <c r="G53" s="83">
        <f t="shared" si="34"/>
        <v>0</v>
      </c>
      <c r="H53" s="84">
        <f t="shared" si="35"/>
        <v>0</v>
      </c>
      <c r="I53" s="1178"/>
      <c r="J53" s="85"/>
      <c r="K53" s="1178"/>
      <c r="L53" s="85"/>
      <c r="M53" s="85"/>
      <c r="N53" s="85"/>
      <c r="O53" s="85"/>
      <c r="P53" s="85"/>
      <c r="Q53" s="85"/>
      <c r="R53" s="85"/>
      <c r="S53" s="85"/>
      <c r="T53" s="85"/>
      <c r="U53" s="85"/>
      <c r="V53" s="85"/>
      <c r="W53" s="85"/>
      <c r="X53" s="85"/>
      <c r="Y53" s="85"/>
      <c r="Z53" s="85"/>
      <c r="AA53" s="85"/>
      <c r="AB53" s="85"/>
      <c r="AC53" s="81">
        <f t="shared" si="36"/>
        <v>0</v>
      </c>
      <c r="AD53" s="86"/>
      <c r="AE53" s="86"/>
      <c r="AF53" s="1178"/>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7"/>
      <c r="C54" s="1178"/>
      <c r="D54" s="2299"/>
      <c r="E54" s="81">
        <f t="shared" si="33"/>
        <v>0</v>
      </c>
      <c r="F54" s="82"/>
      <c r="G54" s="83">
        <f t="shared" si="34"/>
        <v>0</v>
      </c>
      <c r="H54" s="84">
        <f t="shared" si="35"/>
        <v>0</v>
      </c>
      <c r="I54" s="1178"/>
      <c r="J54" s="85"/>
      <c r="K54" s="1178"/>
      <c r="L54" s="85"/>
      <c r="M54" s="85"/>
      <c r="N54" s="85"/>
      <c r="O54" s="85"/>
      <c r="P54" s="85"/>
      <c r="Q54" s="85"/>
      <c r="R54" s="85"/>
      <c r="S54" s="85"/>
      <c r="T54" s="85"/>
      <c r="U54" s="85"/>
      <c r="V54" s="85"/>
      <c r="W54" s="85"/>
      <c r="X54" s="85"/>
      <c r="Y54" s="85"/>
      <c r="Z54" s="85"/>
      <c r="AA54" s="85"/>
      <c r="AB54" s="85"/>
      <c r="AC54" s="81">
        <f t="shared" si="36"/>
        <v>0</v>
      </c>
      <c r="AD54" s="86"/>
      <c r="AE54" s="86"/>
      <c r="AF54" s="1178"/>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7"/>
      <c r="C55" s="1178"/>
      <c r="D55" s="2299"/>
      <c r="E55" s="81">
        <f t="shared" si="33"/>
        <v>0</v>
      </c>
      <c r="F55" s="82"/>
      <c r="G55" s="83">
        <f t="shared" si="34"/>
        <v>0</v>
      </c>
      <c r="H55" s="84">
        <f t="shared" si="35"/>
        <v>0</v>
      </c>
      <c r="I55" s="1178"/>
      <c r="J55" s="85"/>
      <c r="K55" s="1178"/>
      <c r="L55" s="85"/>
      <c r="M55" s="1178"/>
      <c r="N55" s="85"/>
      <c r="O55" s="85"/>
      <c r="P55" s="85"/>
      <c r="Q55" s="85"/>
      <c r="R55" s="85"/>
      <c r="S55" s="85"/>
      <c r="T55" s="85"/>
      <c r="U55" s="85"/>
      <c r="V55" s="85"/>
      <c r="W55" s="85"/>
      <c r="X55" s="85"/>
      <c r="Y55" s="85"/>
      <c r="Z55" s="85"/>
      <c r="AA55" s="85"/>
      <c r="AB55" s="85"/>
      <c r="AC55" s="81">
        <f t="shared" si="36"/>
        <v>0</v>
      </c>
      <c r="AD55" s="86"/>
      <c r="AE55" s="86"/>
      <c r="AF55" s="1178"/>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7"/>
      <c r="C113" s="1178"/>
      <c r="D113" s="2299"/>
      <c r="E113" s="81">
        <f t="shared" ref="E113:E144" si="87">IF($C$3="是",ROUND($A$3*G113/$B$3,2),ROUND($A$3*(G113-AT113)/$B$3,2))</f>
        <v>0</v>
      </c>
      <c r="F113" s="82"/>
      <c r="G113" s="83">
        <f t="shared" si="62"/>
        <v>0</v>
      </c>
      <c r="H113" s="84">
        <f t="shared" si="63"/>
        <v>0</v>
      </c>
      <c r="I113" s="1178"/>
      <c r="J113" s="85"/>
      <c r="K113" s="117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9"/>
      <c r="AG113" s="86"/>
      <c r="AH113" s="86"/>
      <c r="AI113" s="86"/>
      <c r="AJ113" s="86"/>
      <c r="AK113" s="86"/>
      <c r="AL113" s="86"/>
      <c r="AM113" s="86"/>
      <c r="AN113" s="1155"/>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7"/>
      <c r="C114" s="1178"/>
      <c r="D114" s="2299"/>
      <c r="E114" s="81">
        <f t="shared" si="87"/>
        <v>0</v>
      </c>
      <c r="F114" s="82"/>
      <c r="G114" s="83">
        <f t="shared" si="62"/>
        <v>0</v>
      </c>
      <c r="H114" s="84">
        <f t="shared" si="63"/>
        <v>0</v>
      </c>
      <c r="I114" s="1178"/>
      <c r="J114" s="85"/>
      <c r="K114" s="1178"/>
      <c r="L114" s="85"/>
      <c r="M114" s="1155"/>
      <c r="N114" s="85"/>
      <c r="O114" s="85"/>
      <c r="P114" s="85"/>
      <c r="Q114" s="85"/>
      <c r="R114" s="85"/>
      <c r="S114" s="85"/>
      <c r="T114" s="85"/>
      <c r="U114" s="85"/>
      <c r="V114" s="85"/>
      <c r="W114" s="85"/>
      <c r="X114" s="85"/>
      <c r="Y114" s="85"/>
      <c r="Z114" s="85"/>
      <c r="AA114" s="85"/>
      <c r="AB114" s="85"/>
      <c r="AC114" s="81">
        <f t="shared" si="64"/>
        <v>0</v>
      </c>
      <c r="AD114" s="1155"/>
      <c r="AE114" s="86"/>
      <c r="AF114" s="1179"/>
      <c r="AG114" s="86"/>
      <c r="AH114" s="86"/>
      <c r="AI114" s="86"/>
      <c r="AJ114" s="86"/>
      <c r="AK114" s="86"/>
      <c r="AL114" s="1155"/>
      <c r="AM114" s="86"/>
      <c r="AN114" s="1155"/>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7"/>
      <c r="C115" s="1178"/>
      <c r="D115" s="2299"/>
      <c r="E115" s="81">
        <f t="shared" si="87"/>
        <v>0</v>
      </c>
      <c r="F115" s="82"/>
      <c r="G115" s="83">
        <f t="shared" si="62"/>
        <v>0</v>
      </c>
      <c r="H115" s="84">
        <f t="shared" si="63"/>
        <v>0</v>
      </c>
      <c r="I115" s="1178"/>
      <c r="J115" s="85"/>
      <c r="K115" s="1178"/>
      <c r="L115" s="85"/>
      <c r="M115" s="1155"/>
      <c r="N115" s="85"/>
      <c r="O115" s="85"/>
      <c r="P115" s="85"/>
      <c r="Q115" s="85"/>
      <c r="R115" s="85"/>
      <c r="S115" s="85"/>
      <c r="T115" s="85"/>
      <c r="U115" s="85"/>
      <c r="V115" s="85"/>
      <c r="W115" s="85"/>
      <c r="X115" s="85"/>
      <c r="Y115" s="85"/>
      <c r="Z115" s="85"/>
      <c r="AA115" s="85"/>
      <c r="AB115" s="85"/>
      <c r="AC115" s="81">
        <f t="shared" si="64"/>
        <v>0</v>
      </c>
      <c r="AD115" s="86"/>
      <c r="AE115" s="86"/>
      <c r="AF115" s="1179"/>
      <c r="AG115" s="86"/>
      <c r="AH115" s="86"/>
      <c r="AI115" s="86"/>
      <c r="AJ115" s="86"/>
      <c r="AK115" s="86"/>
      <c r="AL115" s="1155"/>
      <c r="AM115" s="86"/>
      <c r="AN115" s="1155"/>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7"/>
      <c r="C116" s="1178"/>
      <c r="D116" s="2299"/>
      <c r="E116" s="81">
        <f t="shared" si="87"/>
        <v>0</v>
      </c>
      <c r="F116" s="82"/>
      <c r="G116" s="83">
        <f t="shared" si="62"/>
        <v>0</v>
      </c>
      <c r="H116" s="84">
        <f t="shared" si="63"/>
        <v>0</v>
      </c>
      <c r="I116" s="1178"/>
      <c r="J116" s="85"/>
      <c r="K116" s="1178"/>
      <c r="L116" s="85"/>
      <c r="M116" s="85"/>
      <c r="N116" s="85"/>
      <c r="O116" s="1155"/>
      <c r="P116" s="85"/>
      <c r="Q116" s="85"/>
      <c r="R116" s="85"/>
      <c r="S116" s="85"/>
      <c r="T116" s="85"/>
      <c r="U116" s="85"/>
      <c r="V116" s="85"/>
      <c r="W116" s="85"/>
      <c r="X116" s="85"/>
      <c r="Y116" s="85"/>
      <c r="Z116" s="85"/>
      <c r="AA116" s="85"/>
      <c r="AB116" s="85"/>
      <c r="AC116" s="81">
        <f t="shared" si="64"/>
        <v>0</v>
      </c>
      <c r="AD116" s="86"/>
      <c r="AE116" s="86"/>
      <c r="AF116" s="1179"/>
      <c r="AG116" s="86"/>
      <c r="AH116" s="86"/>
      <c r="AI116" s="86"/>
      <c r="AJ116" s="86"/>
      <c r="AK116" s="86"/>
      <c r="AL116" s="86"/>
      <c r="AM116" s="86"/>
      <c r="AN116" s="1155"/>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7"/>
      <c r="C117" s="1178"/>
      <c r="D117" s="2299"/>
      <c r="E117" s="81">
        <f t="shared" si="87"/>
        <v>0</v>
      </c>
      <c r="F117" s="82"/>
      <c r="G117" s="83">
        <f t="shared" si="62"/>
        <v>0</v>
      </c>
      <c r="H117" s="84">
        <f t="shared" si="63"/>
        <v>0</v>
      </c>
      <c r="I117" s="1178"/>
      <c r="J117" s="85"/>
      <c r="K117" s="117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9"/>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7"/>
      <c r="C118" s="1178"/>
      <c r="D118" s="2299"/>
      <c r="E118" s="81">
        <f t="shared" si="87"/>
        <v>0</v>
      </c>
      <c r="F118" s="82"/>
      <c r="G118" s="83">
        <f t="shared" si="62"/>
        <v>0</v>
      </c>
      <c r="H118" s="84">
        <f t="shared" si="63"/>
        <v>0</v>
      </c>
      <c r="I118" s="1178"/>
      <c r="J118" s="85"/>
      <c r="K118" s="117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9"/>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7"/>
      <c r="C119" s="1178"/>
      <c r="D119" s="2299"/>
      <c r="E119" s="81">
        <f t="shared" si="87"/>
        <v>0</v>
      </c>
      <c r="F119" s="82"/>
      <c r="G119" s="83">
        <f t="shared" si="62"/>
        <v>0</v>
      </c>
      <c r="H119" s="84">
        <f t="shared" si="63"/>
        <v>0</v>
      </c>
      <c r="I119" s="1178"/>
      <c r="J119" s="85"/>
      <c r="K119" s="117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9"/>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7"/>
      <c r="C120" s="1178"/>
      <c r="D120" s="2299"/>
      <c r="E120" s="81">
        <f t="shared" si="87"/>
        <v>0</v>
      </c>
      <c r="F120" s="82"/>
      <c r="G120" s="83">
        <f t="shared" si="62"/>
        <v>0</v>
      </c>
      <c r="H120" s="84">
        <f t="shared" si="63"/>
        <v>0</v>
      </c>
      <c r="I120" s="1178"/>
      <c r="J120" s="85"/>
      <c r="K120" s="117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8"/>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7"/>
      <c r="C121" s="1178"/>
      <c r="D121" s="2299"/>
      <c r="E121" s="81">
        <f t="shared" si="87"/>
        <v>0</v>
      </c>
      <c r="F121" s="82"/>
      <c r="G121" s="83">
        <f t="shared" si="62"/>
        <v>0</v>
      </c>
      <c r="H121" s="84">
        <f t="shared" si="63"/>
        <v>0</v>
      </c>
      <c r="I121" s="1178"/>
      <c r="J121" s="85"/>
      <c r="K121" s="117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8"/>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7"/>
      <c r="C122" s="1178"/>
      <c r="D122" s="2299"/>
      <c r="E122" s="81">
        <f t="shared" si="87"/>
        <v>0</v>
      </c>
      <c r="F122" s="82"/>
      <c r="G122" s="83">
        <f t="shared" si="62"/>
        <v>0</v>
      </c>
      <c r="H122" s="84">
        <f t="shared" si="63"/>
        <v>0</v>
      </c>
      <c r="I122" s="1178"/>
      <c r="J122" s="85"/>
      <c r="K122" s="117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8"/>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7"/>
      <c r="C123" s="1178"/>
      <c r="D123" s="2299"/>
      <c r="E123" s="81">
        <f t="shared" si="87"/>
        <v>0</v>
      </c>
      <c r="F123" s="82"/>
      <c r="G123" s="83">
        <f t="shared" si="62"/>
        <v>0</v>
      </c>
      <c r="H123" s="84">
        <f t="shared" si="63"/>
        <v>0</v>
      </c>
      <c r="I123" s="1178"/>
      <c r="J123" s="85"/>
      <c r="K123" s="117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8"/>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7"/>
      <c r="C124" s="1178"/>
      <c r="D124" s="2299"/>
      <c r="E124" s="81">
        <f t="shared" si="87"/>
        <v>0</v>
      </c>
      <c r="F124" s="82"/>
      <c r="G124" s="83">
        <f t="shared" si="62"/>
        <v>0</v>
      </c>
      <c r="H124" s="84">
        <f t="shared" si="63"/>
        <v>0</v>
      </c>
      <c r="I124" s="1178"/>
      <c r="J124" s="85"/>
      <c r="K124" s="117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8"/>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7"/>
      <c r="C125" s="1178"/>
      <c r="D125" s="2299"/>
      <c r="E125" s="81">
        <f t="shared" si="87"/>
        <v>0</v>
      </c>
      <c r="F125" s="82"/>
      <c r="G125" s="83">
        <f t="shared" si="62"/>
        <v>0</v>
      </c>
      <c r="H125" s="84">
        <f t="shared" si="63"/>
        <v>0</v>
      </c>
      <c r="I125" s="1178"/>
      <c r="J125" s="85"/>
      <c r="K125" s="117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8"/>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7"/>
      <c r="C126" s="1178"/>
      <c r="D126" s="2299"/>
      <c r="E126" s="81">
        <f t="shared" si="87"/>
        <v>0</v>
      </c>
      <c r="F126" s="82"/>
      <c r="G126" s="83">
        <f t="shared" si="62"/>
        <v>0</v>
      </c>
      <c r="H126" s="84">
        <f t="shared" si="63"/>
        <v>0</v>
      </c>
      <c r="I126" s="1178"/>
      <c r="J126" s="85"/>
      <c r="K126" s="117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8"/>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7"/>
      <c r="C127" s="1178"/>
      <c r="D127" s="2299"/>
      <c r="E127" s="81">
        <f t="shared" si="87"/>
        <v>0</v>
      </c>
      <c r="F127" s="82"/>
      <c r="G127" s="83">
        <f t="shared" si="62"/>
        <v>0</v>
      </c>
      <c r="H127" s="84">
        <f t="shared" si="63"/>
        <v>0</v>
      </c>
      <c r="I127" s="1178"/>
      <c r="J127" s="85"/>
      <c r="K127" s="117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8"/>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7"/>
      <c r="C128" s="1178"/>
      <c r="D128" s="2299"/>
      <c r="E128" s="81">
        <f t="shared" si="87"/>
        <v>0</v>
      </c>
      <c r="F128" s="82"/>
      <c r="G128" s="83">
        <f t="shared" si="62"/>
        <v>0</v>
      </c>
      <c r="H128" s="84">
        <f t="shared" si="63"/>
        <v>0</v>
      </c>
      <c r="I128" s="1178"/>
      <c r="J128" s="85"/>
      <c r="K128" s="117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8"/>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7"/>
      <c r="C129" s="1178"/>
      <c r="D129" s="2299"/>
      <c r="E129" s="81">
        <f t="shared" si="87"/>
        <v>0</v>
      </c>
      <c r="F129" s="82"/>
      <c r="G129" s="83">
        <f t="shared" si="62"/>
        <v>0</v>
      </c>
      <c r="H129" s="84">
        <f t="shared" si="63"/>
        <v>0</v>
      </c>
      <c r="I129" s="1178"/>
      <c r="J129" s="85"/>
      <c r="K129" s="117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8"/>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7"/>
      <c r="C130" s="1178"/>
      <c r="D130" s="2299"/>
      <c r="E130" s="81">
        <f t="shared" si="87"/>
        <v>0</v>
      </c>
      <c r="F130" s="82"/>
      <c r="G130" s="83">
        <f t="shared" si="62"/>
        <v>0</v>
      </c>
      <c r="H130" s="84">
        <f t="shared" si="63"/>
        <v>0</v>
      </c>
      <c r="I130" s="1178"/>
      <c r="J130" s="85"/>
      <c r="K130" s="117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8"/>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7"/>
      <c r="C131" s="1178"/>
      <c r="D131" s="2299"/>
      <c r="E131" s="81">
        <f t="shared" si="87"/>
        <v>0</v>
      </c>
      <c r="F131" s="82"/>
      <c r="G131" s="83">
        <f t="shared" si="62"/>
        <v>0</v>
      </c>
      <c r="H131" s="84">
        <f t="shared" si="63"/>
        <v>0</v>
      </c>
      <c r="I131" s="1178"/>
      <c r="J131" s="85"/>
      <c r="K131" s="117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8"/>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7"/>
      <c r="C132" s="1178"/>
      <c r="D132" s="2299"/>
      <c r="E132" s="81">
        <f t="shared" si="87"/>
        <v>0</v>
      </c>
      <c r="F132" s="82"/>
      <c r="G132" s="83">
        <f t="shared" si="62"/>
        <v>0</v>
      </c>
      <c r="H132" s="84">
        <f t="shared" si="63"/>
        <v>0</v>
      </c>
      <c r="I132" s="1178"/>
      <c r="J132" s="85"/>
      <c r="K132" s="117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8"/>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7"/>
      <c r="C133" s="1178"/>
      <c r="D133" s="2299"/>
      <c r="E133" s="81">
        <f t="shared" si="87"/>
        <v>0</v>
      </c>
      <c r="F133" s="82"/>
      <c r="G133" s="83">
        <f t="shared" si="62"/>
        <v>0</v>
      </c>
      <c r="H133" s="84">
        <f t="shared" si="63"/>
        <v>0</v>
      </c>
      <c r="I133" s="1178"/>
      <c r="J133" s="85"/>
      <c r="K133" s="117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8"/>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7"/>
      <c r="C134" s="1178"/>
      <c r="D134" s="2299"/>
      <c r="E134" s="81">
        <f t="shared" si="87"/>
        <v>0</v>
      </c>
      <c r="F134" s="82"/>
      <c r="G134" s="83">
        <f t="shared" si="62"/>
        <v>0</v>
      </c>
      <c r="H134" s="84">
        <f t="shared" si="63"/>
        <v>0</v>
      </c>
      <c r="I134" s="1178"/>
      <c r="J134" s="85"/>
      <c r="K134" s="117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8"/>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7"/>
      <c r="C135" s="1178"/>
      <c r="D135" s="2299"/>
      <c r="E135" s="81">
        <f t="shared" si="87"/>
        <v>0</v>
      </c>
      <c r="F135" s="82"/>
      <c r="G135" s="83">
        <f t="shared" si="62"/>
        <v>0</v>
      </c>
      <c r="H135" s="84">
        <f t="shared" si="63"/>
        <v>0</v>
      </c>
      <c r="I135" s="1178"/>
      <c r="J135" s="85"/>
      <c r="K135" s="117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8"/>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7"/>
      <c r="C136" s="1178"/>
      <c r="D136" s="2299"/>
      <c r="E136" s="81">
        <f t="shared" si="87"/>
        <v>0</v>
      </c>
      <c r="F136" s="82"/>
      <c r="G136" s="83">
        <f t="shared" si="62"/>
        <v>0</v>
      </c>
      <c r="H136" s="84">
        <f t="shared" si="63"/>
        <v>0</v>
      </c>
      <c r="I136" s="1178"/>
      <c r="J136" s="85"/>
      <c r="K136" s="117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8"/>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7"/>
      <c r="C137" s="1178"/>
      <c r="D137" s="2299"/>
      <c r="E137" s="81">
        <f t="shared" si="87"/>
        <v>0</v>
      </c>
      <c r="F137" s="82"/>
      <c r="G137" s="83">
        <f t="shared" si="62"/>
        <v>0</v>
      </c>
      <c r="H137" s="84">
        <f t="shared" si="63"/>
        <v>0</v>
      </c>
      <c r="I137" s="1178"/>
      <c r="J137" s="85"/>
      <c r="K137" s="117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8"/>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7"/>
      <c r="C138" s="1178"/>
      <c r="D138" s="2299"/>
      <c r="E138" s="81">
        <f t="shared" si="87"/>
        <v>0</v>
      </c>
      <c r="F138" s="82"/>
      <c r="G138" s="83">
        <f t="shared" si="62"/>
        <v>0</v>
      </c>
      <c r="H138" s="84">
        <f t="shared" si="63"/>
        <v>0</v>
      </c>
      <c r="I138" s="1178"/>
      <c r="J138" s="85"/>
      <c r="K138" s="117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8"/>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7"/>
      <c r="C139" s="1178"/>
      <c r="D139" s="2299"/>
      <c r="E139" s="81">
        <f t="shared" si="87"/>
        <v>0</v>
      </c>
      <c r="F139" s="82"/>
      <c r="G139" s="83">
        <f t="shared" si="62"/>
        <v>0</v>
      </c>
      <c r="H139" s="84">
        <f t="shared" si="63"/>
        <v>0</v>
      </c>
      <c r="I139" s="1178"/>
      <c r="J139" s="85"/>
      <c r="K139" s="117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8"/>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7"/>
      <c r="C140" s="1178"/>
      <c r="D140" s="2299"/>
      <c r="E140" s="81">
        <f t="shared" si="87"/>
        <v>0</v>
      </c>
      <c r="F140" s="82"/>
      <c r="G140" s="83">
        <f t="shared" si="62"/>
        <v>0</v>
      </c>
      <c r="H140" s="84">
        <f t="shared" si="63"/>
        <v>0</v>
      </c>
      <c r="I140" s="1178"/>
      <c r="J140" s="85"/>
      <c r="K140" s="117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8"/>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7"/>
      <c r="C141" s="1178"/>
      <c r="D141" s="2299"/>
      <c r="E141" s="81">
        <f t="shared" si="87"/>
        <v>0</v>
      </c>
      <c r="F141" s="82"/>
      <c r="G141" s="83">
        <f t="shared" si="62"/>
        <v>0</v>
      </c>
      <c r="H141" s="84">
        <f t="shared" si="63"/>
        <v>0</v>
      </c>
      <c r="I141" s="1178"/>
      <c r="J141" s="85"/>
      <c r="K141" s="117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8"/>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7"/>
      <c r="C142" s="1178"/>
      <c r="D142" s="2299"/>
      <c r="E142" s="81">
        <f t="shared" si="87"/>
        <v>0</v>
      </c>
      <c r="F142" s="82"/>
      <c r="G142" s="83">
        <f t="shared" ref="G142:G173" si="91">H142+AC142+AT142</f>
        <v>0</v>
      </c>
      <c r="H142" s="84">
        <f t="shared" ref="H142:H173" si="92">SUMIF(I$12:AB$12,"总值",I142:AB142)</f>
        <v>0</v>
      </c>
      <c r="I142" s="1178"/>
      <c r="J142" s="85"/>
      <c r="K142" s="117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8"/>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7"/>
      <c r="C143" s="1178"/>
      <c r="D143" s="2299"/>
      <c r="E143" s="81">
        <f t="shared" si="87"/>
        <v>0</v>
      </c>
      <c r="F143" s="82"/>
      <c r="G143" s="83">
        <f t="shared" si="91"/>
        <v>0</v>
      </c>
      <c r="H143" s="84">
        <f t="shared" si="92"/>
        <v>0</v>
      </c>
      <c r="I143" s="1178"/>
      <c r="J143" s="85"/>
      <c r="K143" s="117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8"/>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7"/>
      <c r="C144" s="1178"/>
      <c r="D144" s="2299"/>
      <c r="E144" s="81">
        <f t="shared" si="87"/>
        <v>0</v>
      </c>
      <c r="F144" s="82"/>
      <c r="G144" s="83">
        <f t="shared" si="91"/>
        <v>0</v>
      </c>
      <c r="H144" s="84">
        <f t="shared" si="92"/>
        <v>0</v>
      </c>
      <c r="I144" s="1178"/>
      <c r="J144" s="85"/>
      <c r="K144" s="117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8"/>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7"/>
      <c r="C145" s="1178"/>
      <c r="D145" s="2299"/>
      <c r="E145" s="81">
        <f t="shared" ref="E145:E176" si="116">IF($C$3="是",ROUND($A$3*G145/$B$3,2),ROUND($A$3*(G145-AT145)/$B$3,2))</f>
        <v>0</v>
      </c>
      <c r="F145" s="82"/>
      <c r="G145" s="83">
        <f t="shared" si="91"/>
        <v>0</v>
      </c>
      <c r="H145" s="84">
        <f t="shared" si="92"/>
        <v>0</v>
      </c>
      <c r="I145" s="1178"/>
      <c r="J145" s="85"/>
      <c r="K145" s="117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8"/>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7"/>
      <c r="C146" s="1178"/>
      <c r="D146" s="2299"/>
      <c r="E146" s="81">
        <f t="shared" si="116"/>
        <v>0</v>
      </c>
      <c r="F146" s="82"/>
      <c r="G146" s="83">
        <f t="shared" si="91"/>
        <v>0</v>
      </c>
      <c r="H146" s="84">
        <f t="shared" si="92"/>
        <v>0</v>
      </c>
      <c r="I146" s="1178"/>
      <c r="J146" s="85"/>
      <c r="K146" s="117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8"/>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7"/>
      <c r="C147" s="1178"/>
      <c r="D147" s="2299"/>
      <c r="E147" s="81">
        <f t="shared" si="116"/>
        <v>0</v>
      </c>
      <c r="F147" s="82"/>
      <c r="G147" s="83">
        <f t="shared" si="91"/>
        <v>0</v>
      </c>
      <c r="H147" s="84">
        <f t="shared" si="92"/>
        <v>0</v>
      </c>
      <c r="I147" s="1178"/>
      <c r="J147" s="85"/>
      <c r="K147" s="1178"/>
      <c r="L147" s="85"/>
      <c r="M147" s="1178"/>
      <c r="N147" s="85"/>
      <c r="O147" s="85"/>
      <c r="P147" s="85"/>
      <c r="Q147" s="85"/>
      <c r="R147" s="85"/>
      <c r="S147" s="85"/>
      <c r="T147" s="85"/>
      <c r="U147" s="85"/>
      <c r="V147" s="85"/>
      <c r="W147" s="85"/>
      <c r="X147" s="85"/>
      <c r="Y147" s="85"/>
      <c r="Z147" s="85"/>
      <c r="AA147" s="85"/>
      <c r="AB147" s="85"/>
      <c r="AC147" s="81">
        <f t="shared" si="93"/>
        <v>0</v>
      </c>
      <c r="AD147" s="86"/>
      <c r="AE147" s="86"/>
      <c r="AF147" s="1178"/>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7"/>
      <c r="C205" s="1178"/>
      <c r="D205" s="2299"/>
      <c r="E205" s="81">
        <f t="shared" ref="E205:E296" si="149">IF($C$3="是",ROUND($A$3*G205/$B$3,2),ROUND($A$3*(G205-AT205)/$B$3,2))</f>
        <v>0</v>
      </c>
      <c r="F205" s="82"/>
      <c r="G205" s="83">
        <f t="shared" ref="G205:G293" si="150">H205+AC205+AT205</f>
        <v>0</v>
      </c>
      <c r="H205" s="84">
        <f t="shared" ref="H205:H293" si="151">SUMIF(I$12:AB$12,"总值",I205:AB205)</f>
        <v>0</v>
      </c>
      <c r="I205" s="1178"/>
      <c r="J205" s="85"/>
      <c r="K205" s="117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9"/>
      <c r="AG205" s="86"/>
      <c r="AH205" s="86"/>
      <c r="AI205" s="86"/>
      <c r="AJ205" s="86"/>
      <c r="AK205" s="86"/>
      <c r="AL205" s="86"/>
      <c r="AM205" s="86"/>
      <c r="AN205" s="1155"/>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7"/>
      <c r="C206" s="1178"/>
      <c r="D206" s="2299"/>
      <c r="E206" s="81">
        <f t="shared" si="149"/>
        <v>0</v>
      </c>
      <c r="F206" s="82"/>
      <c r="G206" s="83">
        <f t="shared" si="150"/>
        <v>0</v>
      </c>
      <c r="H206" s="84">
        <f t="shared" si="151"/>
        <v>0</v>
      </c>
      <c r="I206" s="1178"/>
      <c r="J206" s="85"/>
      <c r="K206" s="1178"/>
      <c r="L206" s="85"/>
      <c r="M206" s="1155"/>
      <c r="N206" s="85"/>
      <c r="O206" s="85"/>
      <c r="P206" s="85"/>
      <c r="Q206" s="85"/>
      <c r="R206" s="85"/>
      <c r="S206" s="85"/>
      <c r="T206" s="85"/>
      <c r="U206" s="85"/>
      <c r="V206" s="85"/>
      <c r="W206" s="85"/>
      <c r="X206" s="85"/>
      <c r="Y206" s="85"/>
      <c r="Z206" s="85"/>
      <c r="AA206" s="85"/>
      <c r="AB206" s="85"/>
      <c r="AC206" s="81">
        <f t="shared" si="152"/>
        <v>0</v>
      </c>
      <c r="AD206" s="1155"/>
      <c r="AE206" s="86"/>
      <c r="AF206" s="1179"/>
      <c r="AG206" s="86"/>
      <c r="AH206" s="86"/>
      <c r="AI206" s="86"/>
      <c r="AJ206" s="86"/>
      <c r="AK206" s="86"/>
      <c r="AL206" s="1155"/>
      <c r="AM206" s="86"/>
      <c r="AN206" s="1155"/>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7"/>
      <c r="C207" s="1178"/>
      <c r="D207" s="2299"/>
      <c r="E207" s="81">
        <f t="shared" si="149"/>
        <v>0</v>
      </c>
      <c r="F207" s="82"/>
      <c r="G207" s="83">
        <f t="shared" si="150"/>
        <v>0</v>
      </c>
      <c r="H207" s="84">
        <f t="shared" si="151"/>
        <v>0</v>
      </c>
      <c r="I207" s="1178"/>
      <c r="J207" s="85"/>
      <c r="K207" s="1178"/>
      <c r="L207" s="85"/>
      <c r="M207" s="1155"/>
      <c r="N207" s="85"/>
      <c r="O207" s="85"/>
      <c r="P207" s="85"/>
      <c r="Q207" s="85"/>
      <c r="R207" s="85"/>
      <c r="S207" s="85"/>
      <c r="T207" s="85"/>
      <c r="U207" s="85"/>
      <c r="V207" s="85"/>
      <c r="W207" s="85"/>
      <c r="X207" s="85"/>
      <c r="Y207" s="85"/>
      <c r="Z207" s="85"/>
      <c r="AA207" s="85"/>
      <c r="AB207" s="85"/>
      <c r="AC207" s="81">
        <f t="shared" si="152"/>
        <v>0</v>
      </c>
      <c r="AD207" s="86"/>
      <c r="AE207" s="86"/>
      <c r="AF207" s="1179"/>
      <c r="AG207" s="86"/>
      <c r="AH207" s="86"/>
      <c r="AI207" s="86"/>
      <c r="AJ207" s="86"/>
      <c r="AK207" s="86"/>
      <c r="AL207" s="1155"/>
      <c r="AM207" s="86"/>
      <c r="AN207" s="1155"/>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7"/>
      <c r="C208" s="1178"/>
      <c r="D208" s="2299"/>
      <c r="E208" s="81">
        <f t="shared" si="149"/>
        <v>0</v>
      </c>
      <c r="F208" s="82"/>
      <c r="G208" s="83">
        <f t="shared" si="150"/>
        <v>0</v>
      </c>
      <c r="H208" s="84">
        <f t="shared" si="151"/>
        <v>0</v>
      </c>
      <c r="I208" s="1178"/>
      <c r="J208" s="85"/>
      <c r="K208" s="1178"/>
      <c r="L208" s="85"/>
      <c r="M208" s="85"/>
      <c r="N208" s="85"/>
      <c r="O208" s="1155"/>
      <c r="P208" s="85"/>
      <c r="Q208" s="85"/>
      <c r="R208" s="85"/>
      <c r="S208" s="85"/>
      <c r="T208" s="85"/>
      <c r="U208" s="85"/>
      <c r="V208" s="85"/>
      <c r="W208" s="85"/>
      <c r="X208" s="85"/>
      <c r="Y208" s="85"/>
      <c r="Z208" s="85"/>
      <c r="AA208" s="85"/>
      <c r="AB208" s="85"/>
      <c r="AC208" s="81">
        <f t="shared" si="152"/>
        <v>0</v>
      </c>
      <c r="AD208" s="86"/>
      <c r="AE208" s="86"/>
      <c r="AF208" s="1179"/>
      <c r="AG208" s="86"/>
      <c r="AH208" s="86"/>
      <c r="AI208" s="86"/>
      <c r="AJ208" s="86"/>
      <c r="AK208" s="86"/>
      <c r="AL208" s="86"/>
      <c r="AM208" s="86"/>
      <c r="AN208" s="1155"/>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7"/>
      <c r="C209" s="1178"/>
      <c r="D209" s="2299"/>
      <c r="E209" s="81">
        <f t="shared" si="149"/>
        <v>0</v>
      </c>
      <c r="F209" s="82"/>
      <c r="G209" s="83">
        <f t="shared" si="150"/>
        <v>0</v>
      </c>
      <c r="H209" s="84">
        <f t="shared" si="151"/>
        <v>0</v>
      </c>
      <c r="I209" s="1178"/>
      <c r="J209" s="85"/>
      <c r="K209" s="117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9"/>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7"/>
      <c r="C210" s="1178"/>
      <c r="D210" s="2299"/>
      <c r="E210" s="81">
        <f t="shared" si="149"/>
        <v>0</v>
      </c>
      <c r="F210" s="82"/>
      <c r="G210" s="83">
        <f t="shared" si="150"/>
        <v>0</v>
      </c>
      <c r="H210" s="84">
        <f t="shared" si="151"/>
        <v>0</v>
      </c>
      <c r="I210" s="1178"/>
      <c r="J210" s="85"/>
      <c r="K210" s="117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9"/>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7"/>
      <c r="C211" s="1178"/>
      <c r="D211" s="2299"/>
      <c r="E211" s="81">
        <f t="shared" si="149"/>
        <v>0</v>
      </c>
      <c r="F211" s="82"/>
      <c r="G211" s="83">
        <f t="shared" si="150"/>
        <v>0</v>
      </c>
      <c r="H211" s="84">
        <f t="shared" si="151"/>
        <v>0</v>
      </c>
      <c r="I211" s="1178"/>
      <c r="J211" s="85"/>
      <c r="K211" s="117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9"/>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7"/>
      <c r="C212" s="1178"/>
      <c r="D212" s="2299"/>
      <c r="E212" s="81">
        <f t="shared" si="149"/>
        <v>0</v>
      </c>
      <c r="F212" s="82"/>
      <c r="G212" s="83">
        <f t="shared" si="150"/>
        <v>0</v>
      </c>
      <c r="H212" s="84">
        <f t="shared" si="151"/>
        <v>0</v>
      </c>
      <c r="I212" s="1178"/>
      <c r="J212" s="85"/>
      <c r="K212" s="117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8"/>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7"/>
      <c r="C213" s="1178"/>
      <c r="D213" s="2299"/>
      <c r="E213" s="81">
        <f t="shared" si="149"/>
        <v>0</v>
      </c>
      <c r="F213" s="82"/>
      <c r="G213" s="83">
        <f t="shared" si="150"/>
        <v>0</v>
      </c>
      <c r="H213" s="84">
        <f t="shared" si="151"/>
        <v>0</v>
      </c>
      <c r="I213" s="1178"/>
      <c r="J213" s="85"/>
      <c r="K213" s="117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8"/>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7"/>
      <c r="C214" s="1178"/>
      <c r="D214" s="2299"/>
      <c r="E214" s="81">
        <f t="shared" si="149"/>
        <v>0</v>
      </c>
      <c r="F214" s="82"/>
      <c r="G214" s="83">
        <f t="shared" si="150"/>
        <v>0</v>
      </c>
      <c r="H214" s="84">
        <f t="shared" si="151"/>
        <v>0</v>
      </c>
      <c r="I214" s="1178"/>
      <c r="J214" s="85"/>
      <c r="K214" s="117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8"/>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7"/>
      <c r="C215" s="1178"/>
      <c r="D215" s="2299"/>
      <c r="E215" s="81">
        <f t="shared" si="149"/>
        <v>0</v>
      </c>
      <c r="F215" s="82"/>
      <c r="G215" s="83">
        <f t="shared" si="150"/>
        <v>0</v>
      </c>
      <c r="H215" s="84">
        <f t="shared" si="151"/>
        <v>0</v>
      </c>
      <c r="I215" s="1178"/>
      <c r="J215" s="85"/>
      <c r="K215" s="117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8"/>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7"/>
      <c r="C216" s="1178"/>
      <c r="D216" s="2299"/>
      <c r="E216" s="81">
        <f t="shared" si="149"/>
        <v>0</v>
      </c>
      <c r="F216" s="82"/>
      <c r="G216" s="83">
        <f t="shared" si="150"/>
        <v>0</v>
      </c>
      <c r="H216" s="84">
        <f t="shared" si="151"/>
        <v>0</v>
      </c>
      <c r="I216" s="1178"/>
      <c r="J216" s="85"/>
      <c r="K216" s="117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8"/>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7"/>
      <c r="C217" s="1178"/>
      <c r="D217" s="2299"/>
      <c r="E217" s="81">
        <f t="shared" si="149"/>
        <v>0</v>
      </c>
      <c r="F217" s="82"/>
      <c r="G217" s="83">
        <f t="shared" si="150"/>
        <v>0</v>
      </c>
      <c r="H217" s="84">
        <f t="shared" si="151"/>
        <v>0</v>
      </c>
      <c r="I217" s="1178"/>
      <c r="J217" s="85"/>
      <c r="K217" s="117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8"/>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7"/>
      <c r="C218" s="1178"/>
      <c r="D218" s="2299"/>
      <c r="E218" s="81">
        <f t="shared" si="149"/>
        <v>0</v>
      </c>
      <c r="F218" s="82"/>
      <c r="G218" s="83">
        <f t="shared" si="150"/>
        <v>0</v>
      </c>
      <c r="H218" s="84">
        <f t="shared" si="151"/>
        <v>0</v>
      </c>
      <c r="I218" s="1178"/>
      <c r="J218" s="85"/>
      <c r="K218" s="117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8"/>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7"/>
      <c r="C219" s="1178"/>
      <c r="D219" s="2299"/>
      <c r="E219" s="81">
        <f t="shared" si="149"/>
        <v>0</v>
      </c>
      <c r="F219" s="82"/>
      <c r="G219" s="83">
        <f t="shared" si="150"/>
        <v>0</v>
      </c>
      <c r="H219" s="84">
        <f t="shared" si="151"/>
        <v>0</v>
      </c>
      <c r="I219" s="1178"/>
      <c r="J219" s="85"/>
      <c r="K219" s="117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8"/>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7"/>
      <c r="C220" s="1178"/>
      <c r="D220" s="2299"/>
      <c r="E220" s="81">
        <f t="shared" si="149"/>
        <v>0</v>
      </c>
      <c r="F220" s="82"/>
      <c r="G220" s="83">
        <f t="shared" si="150"/>
        <v>0</v>
      </c>
      <c r="H220" s="84">
        <f t="shared" si="151"/>
        <v>0</v>
      </c>
      <c r="I220" s="1178"/>
      <c r="J220" s="85"/>
      <c r="K220" s="117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8"/>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7"/>
      <c r="C221" s="1178"/>
      <c r="D221" s="2299"/>
      <c r="E221" s="81">
        <f t="shared" si="149"/>
        <v>0</v>
      </c>
      <c r="F221" s="82"/>
      <c r="G221" s="83">
        <f t="shared" si="150"/>
        <v>0</v>
      </c>
      <c r="H221" s="84">
        <f t="shared" si="151"/>
        <v>0</v>
      </c>
      <c r="I221" s="1178"/>
      <c r="J221" s="85"/>
      <c r="K221" s="117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8"/>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7"/>
      <c r="C222" s="1178"/>
      <c r="D222" s="2299"/>
      <c r="E222" s="81">
        <f t="shared" si="149"/>
        <v>0</v>
      </c>
      <c r="F222" s="82"/>
      <c r="G222" s="83">
        <f t="shared" si="150"/>
        <v>0</v>
      </c>
      <c r="H222" s="84">
        <f t="shared" si="151"/>
        <v>0</v>
      </c>
      <c r="I222" s="1178"/>
      <c r="J222" s="85"/>
      <c r="K222" s="117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8"/>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7"/>
      <c r="C223" s="1178"/>
      <c r="D223" s="2299"/>
      <c r="E223" s="81">
        <f t="shared" si="149"/>
        <v>0</v>
      </c>
      <c r="F223" s="82"/>
      <c r="G223" s="83">
        <f t="shared" si="150"/>
        <v>0</v>
      </c>
      <c r="H223" s="84">
        <f t="shared" si="151"/>
        <v>0</v>
      </c>
      <c r="I223" s="1178"/>
      <c r="J223" s="85"/>
      <c r="K223" s="117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8"/>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7"/>
      <c r="C224" s="1178"/>
      <c r="D224" s="2299"/>
      <c r="E224" s="81">
        <f t="shared" si="149"/>
        <v>0</v>
      </c>
      <c r="F224" s="82"/>
      <c r="G224" s="83">
        <f t="shared" si="150"/>
        <v>0</v>
      </c>
      <c r="H224" s="84">
        <f t="shared" si="151"/>
        <v>0</v>
      </c>
      <c r="I224" s="1178"/>
      <c r="J224" s="85"/>
      <c r="K224" s="117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8"/>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7"/>
      <c r="C225" s="1178"/>
      <c r="D225" s="2299"/>
      <c r="E225" s="81">
        <f t="shared" si="149"/>
        <v>0</v>
      </c>
      <c r="F225" s="82"/>
      <c r="G225" s="83">
        <f t="shared" si="150"/>
        <v>0</v>
      </c>
      <c r="H225" s="84">
        <f t="shared" si="151"/>
        <v>0</v>
      </c>
      <c r="I225" s="1178"/>
      <c r="J225" s="85"/>
      <c r="K225" s="117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8"/>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7"/>
      <c r="C226" s="1178"/>
      <c r="D226" s="2299"/>
      <c r="E226" s="81">
        <f t="shared" si="149"/>
        <v>0</v>
      </c>
      <c r="F226" s="82"/>
      <c r="G226" s="83">
        <f t="shared" si="150"/>
        <v>0</v>
      </c>
      <c r="H226" s="84">
        <f t="shared" si="151"/>
        <v>0</v>
      </c>
      <c r="I226" s="1178"/>
      <c r="J226" s="85"/>
      <c r="K226" s="117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8"/>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7"/>
      <c r="C227" s="1178"/>
      <c r="D227" s="2299"/>
      <c r="E227" s="81">
        <f t="shared" si="149"/>
        <v>0</v>
      </c>
      <c r="F227" s="82"/>
      <c r="G227" s="83">
        <f t="shared" si="150"/>
        <v>0</v>
      </c>
      <c r="H227" s="84">
        <f t="shared" si="151"/>
        <v>0</v>
      </c>
      <c r="I227" s="1178"/>
      <c r="J227" s="85"/>
      <c r="K227" s="117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8"/>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7"/>
      <c r="C228" s="1178"/>
      <c r="D228" s="2299"/>
      <c r="E228" s="81">
        <f t="shared" si="149"/>
        <v>0</v>
      </c>
      <c r="F228" s="82"/>
      <c r="G228" s="83">
        <f t="shared" si="150"/>
        <v>0</v>
      </c>
      <c r="H228" s="84">
        <f t="shared" si="151"/>
        <v>0</v>
      </c>
      <c r="I228" s="1178"/>
      <c r="J228" s="85"/>
      <c r="K228" s="117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8"/>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7"/>
      <c r="C229" s="1178"/>
      <c r="D229" s="2299"/>
      <c r="E229" s="81">
        <f t="shared" si="149"/>
        <v>0</v>
      </c>
      <c r="F229" s="82"/>
      <c r="G229" s="83">
        <f t="shared" si="150"/>
        <v>0</v>
      </c>
      <c r="H229" s="84">
        <f t="shared" si="151"/>
        <v>0</v>
      </c>
      <c r="I229" s="1178"/>
      <c r="J229" s="85"/>
      <c r="K229" s="117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8"/>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7"/>
      <c r="C230" s="1178"/>
      <c r="D230" s="2299"/>
      <c r="E230" s="81">
        <f t="shared" si="149"/>
        <v>0</v>
      </c>
      <c r="F230" s="82"/>
      <c r="G230" s="83">
        <f t="shared" si="150"/>
        <v>0</v>
      </c>
      <c r="H230" s="84">
        <f t="shared" si="151"/>
        <v>0</v>
      </c>
      <c r="I230" s="1178"/>
      <c r="J230" s="85"/>
      <c r="K230" s="117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8"/>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7"/>
      <c r="C231" s="1178"/>
      <c r="D231" s="2299"/>
      <c r="E231" s="81">
        <f t="shared" si="149"/>
        <v>0</v>
      </c>
      <c r="F231" s="82"/>
      <c r="G231" s="83">
        <f t="shared" si="150"/>
        <v>0</v>
      </c>
      <c r="H231" s="84">
        <f t="shared" si="151"/>
        <v>0</v>
      </c>
      <c r="I231" s="1178"/>
      <c r="J231" s="85"/>
      <c r="K231" s="117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8"/>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7"/>
      <c r="C232" s="1178"/>
      <c r="D232" s="2299"/>
      <c r="E232" s="81">
        <f t="shared" si="149"/>
        <v>0</v>
      </c>
      <c r="F232" s="82"/>
      <c r="G232" s="83">
        <f t="shared" si="150"/>
        <v>0</v>
      </c>
      <c r="H232" s="84">
        <f t="shared" si="151"/>
        <v>0</v>
      </c>
      <c r="I232" s="1178"/>
      <c r="J232" s="85"/>
      <c r="K232" s="117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8"/>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7"/>
      <c r="C233" s="1178"/>
      <c r="D233" s="2299"/>
      <c r="E233" s="81">
        <f t="shared" si="149"/>
        <v>0</v>
      </c>
      <c r="F233" s="82"/>
      <c r="G233" s="83">
        <f t="shared" si="150"/>
        <v>0</v>
      </c>
      <c r="H233" s="84">
        <f t="shared" si="151"/>
        <v>0</v>
      </c>
      <c r="I233" s="1178"/>
      <c r="J233" s="85"/>
      <c r="K233" s="117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8"/>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7"/>
      <c r="C234" s="1178"/>
      <c r="D234" s="2299"/>
      <c r="E234" s="81">
        <f t="shared" si="149"/>
        <v>0</v>
      </c>
      <c r="F234" s="82"/>
      <c r="G234" s="83">
        <f t="shared" si="150"/>
        <v>0</v>
      </c>
      <c r="H234" s="84">
        <f t="shared" si="151"/>
        <v>0</v>
      </c>
      <c r="I234" s="1178"/>
      <c r="J234" s="85"/>
      <c r="K234" s="117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8"/>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7"/>
      <c r="C235" s="1178"/>
      <c r="D235" s="2299"/>
      <c r="E235" s="81">
        <f t="shared" si="149"/>
        <v>0</v>
      </c>
      <c r="F235" s="82"/>
      <c r="G235" s="83">
        <f t="shared" si="150"/>
        <v>0</v>
      </c>
      <c r="H235" s="84">
        <f t="shared" si="151"/>
        <v>0</v>
      </c>
      <c r="I235" s="1178"/>
      <c r="J235" s="85"/>
      <c r="K235" s="117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8"/>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7"/>
      <c r="C236" s="1178"/>
      <c r="D236" s="2299"/>
      <c r="E236" s="81">
        <f t="shared" si="149"/>
        <v>0</v>
      </c>
      <c r="F236" s="82"/>
      <c r="G236" s="83">
        <f t="shared" si="150"/>
        <v>0</v>
      </c>
      <c r="H236" s="84">
        <f t="shared" si="151"/>
        <v>0</v>
      </c>
      <c r="I236" s="1178"/>
      <c r="J236" s="85"/>
      <c r="K236" s="117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8"/>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7"/>
      <c r="C237" s="1178"/>
      <c r="D237" s="2299"/>
      <c r="E237" s="81">
        <f t="shared" si="149"/>
        <v>0</v>
      </c>
      <c r="F237" s="82"/>
      <c r="G237" s="83">
        <f t="shared" si="150"/>
        <v>0</v>
      </c>
      <c r="H237" s="84">
        <f t="shared" si="151"/>
        <v>0</v>
      </c>
      <c r="I237" s="1178"/>
      <c r="J237" s="85"/>
      <c r="K237" s="117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8"/>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7"/>
      <c r="C238" s="1178"/>
      <c r="D238" s="2299"/>
      <c r="E238" s="81">
        <f t="shared" si="149"/>
        <v>0</v>
      </c>
      <c r="F238" s="82"/>
      <c r="G238" s="83">
        <f t="shared" si="150"/>
        <v>0</v>
      </c>
      <c r="H238" s="84">
        <f t="shared" si="151"/>
        <v>0</v>
      </c>
      <c r="I238" s="1178"/>
      <c r="J238" s="85"/>
      <c r="K238" s="117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8"/>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7"/>
      <c r="C239" s="1178"/>
      <c r="D239" s="2299"/>
      <c r="E239" s="81">
        <f t="shared" si="149"/>
        <v>0</v>
      </c>
      <c r="F239" s="82"/>
      <c r="G239" s="83">
        <f t="shared" si="150"/>
        <v>0</v>
      </c>
      <c r="H239" s="84">
        <f t="shared" si="151"/>
        <v>0</v>
      </c>
      <c r="I239" s="1178"/>
      <c r="J239" s="85"/>
      <c r="K239" s="1178"/>
      <c r="L239" s="85"/>
      <c r="M239" s="1178"/>
      <c r="N239" s="85"/>
      <c r="O239" s="85"/>
      <c r="P239" s="85"/>
      <c r="Q239" s="85"/>
      <c r="R239" s="85"/>
      <c r="S239" s="85"/>
      <c r="T239" s="85"/>
      <c r="U239" s="85"/>
      <c r="V239" s="85"/>
      <c r="W239" s="85"/>
      <c r="X239" s="85"/>
      <c r="Y239" s="85"/>
      <c r="Z239" s="85"/>
      <c r="AA239" s="85"/>
      <c r="AB239" s="85"/>
      <c r="AC239" s="81">
        <f t="shared" si="152"/>
        <v>0</v>
      </c>
      <c r="AD239" s="86"/>
      <c r="AE239" s="86"/>
      <c r="AF239" s="1178"/>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7"/>
      <c r="C297" s="1178"/>
      <c r="D297" s="2299"/>
      <c r="E297" s="81">
        <f t="shared" ref="E297:E328" si="203">IF($C$3="是",ROUND($A$3*G297/$B$3,2),ROUND($A$3*(G297-AT297)/$B$3,2))</f>
        <v>0</v>
      </c>
      <c r="F297" s="82"/>
      <c r="G297" s="83">
        <f t="shared" si="178"/>
        <v>0</v>
      </c>
      <c r="H297" s="84">
        <f t="shared" si="179"/>
        <v>0</v>
      </c>
      <c r="I297" s="1178"/>
      <c r="J297" s="85"/>
      <c r="K297" s="117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9"/>
      <c r="AG297" s="86"/>
      <c r="AH297" s="86"/>
      <c r="AI297" s="86"/>
      <c r="AJ297" s="86"/>
      <c r="AK297" s="86"/>
      <c r="AL297" s="86"/>
      <c r="AM297" s="86"/>
      <c r="AN297" s="1155"/>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7"/>
      <c r="C298" s="1178"/>
      <c r="D298" s="2299"/>
      <c r="E298" s="81">
        <f t="shared" si="203"/>
        <v>0</v>
      </c>
      <c r="F298" s="82"/>
      <c r="G298" s="83">
        <f t="shared" si="178"/>
        <v>0</v>
      </c>
      <c r="H298" s="84">
        <f t="shared" si="179"/>
        <v>0</v>
      </c>
      <c r="I298" s="1178"/>
      <c r="J298" s="85"/>
      <c r="K298" s="1178"/>
      <c r="L298" s="85"/>
      <c r="M298" s="1155"/>
      <c r="N298" s="85"/>
      <c r="O298" s="85"/>
      <c r="P298" s="85"/>
      <c r="Q298" s="85"/>
      <c r="R298" s="85"/>
      <c r="S298" s="85"/>
      <c r="T298" s="85"/>
      <c r="U298" s="85"/>
      <c r="V298" s="85"/>
      <c r="W298" s="85"/>
      <c r="X298" s="85"/>
      <c r="Y298" s="85"/>
      <c r="Z298" s="85"/>
      <c r="AA298" s="85"/>
      <c r="AB298" s="85"/>
      <c r="AC298" s="81">
        <f t="shared" si="180"/>
        <v>0</v>
      </c>
      <c r="AD298" s="1155"/>
      <c r="AE298" s="86"/>
      <c r="AF298" s="1179"/>
      <c r="AG298" s="86"/>
      <c r="AH298" s="86"/>
      <c r="AI298" s="86"/>
      <c r="AJ298" s="86"/>
      <c r="AK298" s="86"/>
      <c r="AL298" s="1155"/>
      <c r="AM298" s="86"/>
      <c r="AN298" s="1155"/>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7"/>
      <c r="C299" s="1178"/>
      <c r="D299" s="2299"/>
      <c r="E299" s="81">
        <f t="shared" si="203"/>
        <v>0</v>
      </c>
      <c r="F299" s="82"/>
      <c r="G299" s="83">
        <f t="shared" si="178"/>
        <v>0</v>
      </c>
      <c r="H299" s="84">
        <f t="shared" si="179"/>
        <v>0</v>
      </c>
      <c r="I299" s="1178"/>
      <c r="J299" s="85"/>
      <c r="K299" s="1178"/>
      <c r="L299" s="85"/>
      <c r="M299" s="1155"/>
      <c r="N299" s="85"/>
      <c r="O299" s="85"/>
      <c r="P299" s="85"/>
      <c r="Q299" s="85"/>
      <c r="R299" s="85"/>
      <c r="S299" s="85"/>
      <c r="T299" s="85"/>
      <c r="U299" s="85"/>
      <c r="V299" s="85"/>
      <c r="W299" s="85"/>
      <c r="X299" s="85"/>
      <c r="Y299" s="85"/>
      <c r="Z299" s="85"/>
      <c r="AA299" s="85"/>
      <c r="AB299" s="85"/>
      <c r="AC299" s="81">
        <f t="shared" si="180"/>
        <v>0</v>
      </c>
      <c r="AD299" s="86"/>
      <c r="AE299" s="86"/>
      <c r="AF299" s="1179"/>
      <c r="AG299" s="86"/>
      <c r="AH299" s="86"/>
      <c r="AI299" s="86"/>
      <c r="AJ299" s="86"/>
      <c r="AK299" s="86"/>
      <c r="AL299" s="1155"/>
      <c r="AM299" s="86"/>
      <c r="AN299" s="1155"/>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7"/>
      <c r="C300" s="1178"/>
      <c r="D300" s="2299"/>
      <c r="E300" s="81">
        <f t="shared" si="203"/>
        <v>0</v>
      </c>
      <c r="F300" s="82"/>
      <c r="G300" s="83">
        <f t="shared" si="178"/>
        <v>0</v>
      </c>
      <c r="H300" s="84">
        <f t="shared" si="179"/>
        <v>0</v>
      </c>
      <c r="I300" s="1178"/>
      <c r="J300" s="85"/>
      <c r="K300" s="1178"/>
      <c r="L300" s="85"/>
      <c r="M300" s="85"/>
      <c r="N300" s="85"/>
      <c r="O300" s="1155"/>
      <c r="P300" s="85"/>
      <c r="Q300" s="85"/>
      <c r="R300" s="85"/>
      <c r="S300" s="85"/>
      <c r="T300" s="85"/>
      <c r="U300" s="85"/>
      <c r="V300" s="85"/>
      <c r="W300" s="85"/>
      <c r="X300" s="85"/>
      <c r="Y300" s="85"/>
      <c r="Z300" s="85"/>
      <c r="AA300" s="85"/>
      <c r="AB300" s="85"/>
      <c r="AC300" s="81">
        <f t="shared" si="180"/>
        <v>0</v>
      </c>
      <c r="AD300" s="86"/>
      <c r="AE300" s="86"/>
      <c r="AF300" s="1179"/>
      <c r="AG300" s="86"/>
      <c r="AH300" s="86"/>
      <c r="AI300" s="86"/>
      <c r="AJ300" s="86"/>
      <c r="AK300" s="86"/>
      <c r="AL300" s="86"/>
      <c r="AM300" s="86"/>
      <c r="AN300" s="1155"/>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7"/>
      <c r="C301" s="1178"/>
      <c r="D301" s="2299"/>
      <c r="E301" s="81">
        <f t="shared" si="203"/>
        <v>0</v>
      </c>
      <c r="F301" s="82"/>
      <c r="G301" s="83">
        <f t="shared" si="178"/>
        <v>0</v>
      </c>
      <c r="H301" s="84">
        <f t="shared" si="179"/>
        <v>0</v>
      </c>
      <c r="I301" s="1178"/>
      <c r="J301" s="85"/>
      <c r="K301" s="117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9"/>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7"/>
      <c r="C302" s="1178"/>
      <c r="D302" s="2299"/>
      <c r="E302" s="81">
        <f t="shared" si="203"/>
        <v>0</v>
      </c>
      <c r="F302" s="82"/>
      <c r="G302" s="83">
        <f t="shared" si="178"/>
        <v>0</v>
      </c>
      <c r="H302" s="84">
        <f t="shared" si="179"/>
        <v>0</v>
      </c>
      <c r="I302" s="1178"/>
      <c r="J302" s="85"/>
      <c r="K302" s="117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9"/>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7"/>
      <c r="C303" s="1178"/>
      <c r="D303" s="2299"/>
      <c r="E303" s="81">
        <f t="shared" si="203"/>
        <v>0</v>
      </c>
      <c r="F303" s="82"/>
      <c r="G303" s="83">
        <f t="shared" si="178"/>
        <v>0</v>
      </c>
      <c r="H303" s="84">
        <f t="shared" si="179"/>
        <v>0</v>
      </c>
      <c r="I303" s="1178"/>
      <c r="J303" s="85"/>
      <c r="K303" s="117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9"/>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7"/>
      <c r="C304" s="1178"/>
      <c r="D304" s="2299"/>
      <c r="E304" s="81">
        <f t="shared" si="203"/>
        <v>0</v>
      </c>
      <c r="F304" s="82"/>
      <c r="G304" s="83">
        <f t="shared" si="178"/>
        <v>0</v>
      </c>
      <c r="H304" s="84">
        <f t="shared" si="179"/>
        <v>0</v>
      </c>
      <c r="I304" s="1178"/>
      <c r="J304" s="85"/>
      <c r="K304" s="117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8"/>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7"/>
      <c r="C305" s="1178"/>
      <c r="D305" s="2299"/>
      <c r="E305" s="81">
        <f t="shared" si="203"/>
        <v>0</v>
      </c>
      <c r="F305" s="82"/>
      <c r="G305" s="83">
        <f t="shared" si="178"/>
        <v>0</v>
      </c>
      <c r="H305" s="84">
        <f t="shared" si="179"/>
        <v>0</v>
      </c>
      <c r="I305" s="1178"/>
      <c r="J305" s="85"/>
      <c r="K305" s="117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8"/>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7"/>
      <c r="C306" s="1178"/>
      <c r="D306" s="2299"/>
      <c r="E306" s="81">
        <f t="shared" si="203"/>
        <v>0</v>
      </c>
      <c r="F306" s="82"/>
      <c r="G306" s="83">
        <f t="shared" si="178"/>
        <v>0</v>
      </c>
      <c r="H306" s="84">
        <f t="shared" si="179"/>
        <v>0</v>
      </c>
      <c r="I306" s="1178"/>
      <c r="J306" s="85"/>
      <c r="K306" s="117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8"/>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7"/>
      <c r="C307" s="1178"/>
      <c r="D307" s="2299"/>
      <c r="E307" s="81">
        <f t="shared" si="203"/>
        <v>0</v>
      </c>
      <c r="F307" s="82"/>
      <c r="G307" s="83">
        <f t="shared" si="178"/>
        <v>0</v>
      </c>
      <c r="H307" s="84">
        <f t="shared" si="179"/>
        <v>0</v>
      </c>
      <c r="I307" s="1178"/>
      <c r="J307" s="85"/>
      <c r="K307" s="117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8"/>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7"/>
      <c r="C308" s="1178"/>
      <c r="D308" s="2299"/>
      <c r="E308" s="81">
        <f t="shared" si="203"/>
        <v>0</v>
      </c>
      <c r="F308" s="82"/>
      <c r="G308" s="83">
        <f t="shared" si="178"/>
        <v>0</v>
      </c>
      <c r="H308" s="84">
        <f t="shared" si="179"/>
        <v>0</v>
      </c>
      <c r="I308" s="1178"/>
      <c r="J308" s="85"/>
      <c r="K308" s="117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8"/>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7"/>
      <c r="C309" s="1178"/>
      <c r="D309" s="2299"/>
      <c r="E309" s="81">
        <f t="shared" si="203"/>
        <v>0</v>
      </c>
      <c r="F309" s="82"/>
      <c r="G309" s="83">
        <f t="shared" si="178"/>
        <v>0</v>
      </c>
      <c r="H309" s="84">
        <f t="shared" si="179"/>
        <v>0</v>
      </c>
      <c r="I309" s="1178"/>
      <c r="J309" s="85"/>
      <c r="K309" s="117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8"/>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7"/>
      <c r="C310" s="1178"/>
      <c r="D310" s="2299"/>
      <c r="E310" s="81">
        <f t="shared" si="203"/>
        <v>0</v>
      </c>
      <c r="F310" s="82"/>
      <c r="G310" s="83">
        <f t="shared" si="178"/>
        <v>0</v>
      </c>
      <c r="H310" s="84">
        <f t="shared" si="179"/>
        <v>0</v>
      </c>
      <c r="I310" s="1178"/>
      <c r="J310" s="85"/>
      <c r="K310" s="117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8"/>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7"/>
      <c r="C311" s="1178"/>
      <c r="D311" s="2299"/>
      <c r="E311" s="81">
        <f t="shared" si="203"/>
        <v>0</v>
      </c>
      <c r="F311" s="82"/>
      <c r="G311" s="83">
        <f t="shared" si="178"/>
        <v>0</v>
      </c>
      <c r="H311" s="84">
        <f t="shared" si="179"/>
        <v>0</v>
      </c>
      <c r="I311" s="1178"/>
      <c r="J311" s="85"/>
      <c r="K311" s="117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8"/>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7"/>
      <c r="C312" s="1178"/>
      <c r="D312" s="2299"/>
      <c r="E312" s="81">
        <f t="shared" si="203"/>
        <v>0</v>
      </c>
      <c r="F312" s="82"/>
      <c r="G312" s="83">
        <f t="shared" si="178"/>
        <v>0</v>
      </c>
      <c r="H312" s="84">
        <f t="shared" si="179"/>
        <v>0</v>
      </c>
      <c r="I312" s="1178"/>
      <c r="J312" s="85"/>
      <c r="K312" s="117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8"/>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7"/>
      <c r="C313" s="1178"/>
      <c r="D313" s="2299"/>
      <c r="E313" s="81">
        <f t="shared" si="203"/>
        <v>0</v>
      </c>
      <c r="F313" s="82"/>
      <c r="G313" s="83">
        <f t="shared" si="178"/>
        <v>0</v>
      </c>
      <c r="H313" s="84">
        <f t="shared" si="179"/>
        <v>0</v>
      </c>
      <c r="I313" s="1178"/>
      <c r="J313" s="85"/>
      <c r="K313" s="117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8"/>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7"/>
      <c r="C314" s="1178"/>
      <c r="D314" s="2299"/>
      <c r="E314" s="81">
        <f t="shared" si="203"/>
        <v>0</v>
      </c>
      <c r="F314" s="82"/>
      <c r="G314" s="83">
        <f t="shared" si="178"/>
        <v>0</v>
      </c>
      <c r="H314" s="84">
        <f t="shared" si="179"/>
        <v>0</v>
      </c>
      <c r="I314" s="1178"/>
      <c r="J314" s="85"/>
      <c r="K314" s="117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8"/>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7"/>
      <c r="C315" s="1178"/>
      <c r="D315" s="2299"/>
      <c r="E315" s="81">
        <f t="shared" si="203"/>
        <v>0</v>
      </c>
      <c r="F315" s="82"/>
      <c r="G315" s="83">
        <f t="shared" si="178"/>
        <v>0</v>
      </c>
      <c r="H315" s="84">
        <f t="shared" si="179"/>
        <v>0</v>
      </c>
      <c r="I315" s="1178"/>
      <c r="J315" s="85"/>
      <c r="K315" s="117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8"/>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7"/>
      <c r="C316" s="1178"/>
      <c r="D316" s="2299"/>
      <c r="E316" s="81">
        <f t="shared" si="203"/>
        <v>0</v>
      </c>
      <c r="F316" s="82"/>
      <c r="G316" s="83">
        <f t="shared" si="178"/>
        <v>0</v>
      </c>
      <c r="H316" s="84">
        <f t="shared" si="179"/>
        <v>0</v>
      </c>
      <c r="I316" s="1178"/>
      <c r="J316" s="85"/>
      <c r="K316" s="117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8"/>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7"/>
      <c r="C317" s="1178"/>
      <c r="D317" s="2299"/>
      <c r="E317" s="81">
        <f t="shared" si="203"/>
        <v>0</v>
      </c>
      <c r="F317" s="82"/>
      <c r="G317" s="83">
        <f t="shared" si="178"/>
        <v>0</v>
      </c>
      <c r="H317" s="84">
        <f t="shared" si="179"/>
        <v>0</v>
      </c>
      <c r="I317" s="1178"/>
      <c r="J317" s="85"/>
      <c r="K317" s="117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8"/>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7"/>
      <c r="C318" s="1178"/>
      <c r="D318" s="2299"/>
      <c r="E318" s="81">
        <f t="shared" si="203"/>
        <v>0</v>
      </c>
      <c r="F318" s="82"/>
      <c r="G318" s="83">
        <f t="shared" si="178"/>
        <v>0</v>
      </c>
      <c r="H318" s="84">
        <f t="shared" si="179"/>
        <v>0</v>
      </c>
      <c r="I318" s="1178"/>
      <c r="J318" s="85"/>
      <c r="K318" s="117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8"/>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7"/>
      <c r="C319" s="1178"/>
      <c r="D319" s="2299"/>
      <c r="E319" s="81">
        <f t="shared" si="203"/>
        <v>0</v>
      </c>
      <c r="F319" s="82"/>
      <c r="G319" s="83">
        <f t="shared" si="178"/>
        <v>0</v>
      </c>
      <c r="H319" s="84">
        <f t="shared" si="179"/>
        <v>0</v>
      </c>
      <c r="I319" s="1178"/>
      <c r="J319" s="85"/>
      <c r="K319" s="117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8"/>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7"/>
      <c r="C320" s="1178"/>
      <c r="D320" s="2299"/>
      <c r="E320" s="81">
        <f t="shared" si="203"/>
        <v>0</v>
      </c>
      <c r="F320" s="82"/>
      <c r="G320" s="83">
        <f t="shared" si="178"/>
        <v>0</v>
      </c>
      <c r="H320" s="84">
        <f t="shared" si="179"/>
        <v>0</v>
      </c>
      <c r="I320" s="1178"/>
      <c r="J320" s="85"/>
      <c r="K320" s="117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8"/>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7"/>
      <c r="C321" s="1178"/>
      <c r="D321" s="2299"/>
      <c r="E321" s="81">
        <f t="shared" si="203"/>
        <v>0</v>
      </c>
      <c r="F321" s="82"/>
      <c r="G321" s="83">
        <f t="shared" si="178"/>
        <v>0</v>
      </c>
      <c r="H321" s="84">
        <f t="shared" si="179"/>
        <v>0</v>
      </c>
      <c r="I321" s="1178"/>
      <c r="J321" s="85"/>
      <c r="K321" s="117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8"/>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7"/>
      <c r="C322" s="1178"/>
      <c r="D322" s="2299"/>
      <c r="E322" s="81">
        <f t="shared" si="203"/>
        <v>0</v>
      </c>
      <c r="F322" s="82"/>
      <c r="G322" s="83">
        <f t="shared" si="178"/>
        <v>0</v>
      </c>
      <c r="H322" s="84">
        <f t="shared" si="179"/>
        <v>0</v>
      </c>
      <c r="I322" s="1178"/>
      <c r="J322" s="85"/>
      <c r="K322" s="117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8"/>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7"/>
      <c r="C323" s="1178"/>
      <c r="D323" s="2299"/>
      <c r="E323" s="81">
        <f t="shared" si="203"/>
        <v>0</v>
      </c>
      <c r="F323" s="82"/>
      <c r="G323" s="83">
        <f t="shared" si="178"/>
        <v>0</v>
      </c>
      <c r="H323" s="84">
        <f t="shared" si="179"/>
        <v>0</v>
      </c>
      <c r="I323" s="1178"/>
      <c r="J323" s="85"/>
      <c r="K323" s="117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8"/>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7"/>
      <c r="C324" s="1178"/>
      <c r="D324" s="2299"/>
      <c r="E324" s="81">
        <f t="shared" si="203"/>
        <v>0</v>
      </c>
      <c r="F324" s="82"/>
      <c r="G324" s="83">
        <f t="shared" si="178"/>
        <v>0</v>
      </c>
      <c r="H324" s="84">
        <f t="shared" si="179"/>
        <v>0</v>
      </c>
      <c r="I324" s="1178"/>
      <c r="J324" s="85"/>
      <c r="K324" s="117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8"/>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7"/>
      <c r="C325" s="1178"/>
      <c r="D325" s="2299"/>
      <c r="E325" s="81">
        <f t="shared" si="203"/>
        <v>0</v>
      </c>
      <c r="F325" s="82"/>
      <c r="G325" s="83">
        <f t="shared" si="178"/>
        <v>0</v>
      </c>
      <c r="H325" s="84">
        <f t="shared" si="179"/>
        <v>0</v>
      </c>
      <c r="I325" s="1178"/>
      <c r="J325" s="85"/>
      <c r="K325" s="117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8"/>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7"/>
      <c r="C326" s="1178"/>
      <c r="D326" s="2299"/>
      <c r="E326" s="81">
        <f t="shared" si="203"/>
        <v>0</v>
      </c>
      <c r="F326" s="82"/>
      <c r="G326" s="83">
        <f t="shared" ref="G326:G357" si="207">H326+AC326+AT326</f>
        <v>0</v>
      </c>
      <c r="H326" s="84">
        <f t="shared" ref="H326:H357" si="208">SUMIF(I$12:AB$12,"总值",I326:AB326)</f>
        <v>0</v>
      </c>
      <c r="I326" s="1178"/>
      <c r="J326" s="85"/>
      <c r="K326" s="117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8"/>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7"/>
      <c r="C327" s="1178"/>
      <c r="D327" s="2299"/>
      <c r="E327" s="81">
        <f t="shared" si="203"/>
        <v>0</v>
      </c>
      <c r="F327" s="82"/>
      <c r="G327" s="83">
        <f t="shared" si="207"/>
        <v>0</v>
      </c>
      <c r="H327" s="84">
        <f t="shared" si="208"/>
        <v>0</v>
      </c>
      <c r="I327" s="1178"/>
      <c r="J327" s="85"/>
      <c r="K327" s="117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8"/>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7"/>
      <c r="C328" s="1178"/>
      <c r="D328" s="2299"/>
      <c r="E328" s="81">
        <f t="shared" si="203"/>
        <v>0</v>
      </c>
      <c r="F328" s="82"/>
      <c r="G328" s="83">
        <f t="shared" si="207"/>
        <v>0</v>
      </c>
      <c r="H328" s="84">
        <f t="shared" si="208"/>
        <v>0</v>
      </c>
      <c r="I328" s="1178"/>
      <c r="J328" s="85"/>
      <c r="K328" s="117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8"/>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7"/>
      <c r="C329" s="1178"/>
      <c r="D329" s="2299"/>
      <c r="E329" s="81">
        <f t="shared" ref="E329:E360" si="232">IF($C$3="是",ROUND($A$3*G329/$B$3,2),ROUND($A$3*(G329-AT329)/$B$3,2))</f>
        <v>0</v>
      </c>
      <c r="F329" s="82"/>
      <c r="G329" s="83">
        <f t="shared" si="207"/>
        <v>0</v>
      </c>
      <c r="H329" s="84">
        <f t="shared" si="208"/>
        <v>0</v>
      </c>
      <c r="I329" s="1178"/>
      <c r="J329" s="85"/>
      <c r="K329" s="117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8"/>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7"/>
      <c r="C330" s="1178"/>
      <c r="D330" s="2299"/>
      <c r="E330" s="81">
        <f t="shared" si="232"/>
        <v>0</v>
      </c>
      <c r="F330" s="82"/>
      <c r="G330" s="83">
        <f t="shared" si="207"/>
        <v>0</v>
      </c>
      <c r="H330" s="84">
        <f t="shared" si="208"/>
        <v>0</v>
      </c>
      <c r="I330" s="1178"/>
      <c r="J330" s="85"/>
      <c r="K330" s="117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8"/>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7"/>
      <c r="C331" s="1178"/>
      <c r="D331" s="2299"/>
      <c r="E331" s="81">
        <f t="shared" si="232"/>
        <v>0</v>
      </c>
      <c r="F331" s="82"/>
      <c r="G331" s="83">
        <f t="shared" si="207"/>
        <v>0</v>
      </c>
      <c r="H331" s="84">
        <f t="shared" si="208"/>
        <v>0</v>
      </c>
      <c r="I331" s="1178"/>
      <c r="J331" s="85"/>
      <c r="K331" s="1178"/>
      <c r="L331" s="85"/>
      <c r="M331" s="1178"/>
      <c r="N331" s="85"/>
      <c r="O331" s="85"/>
      <c r="P331" s="85"/>
      <c r="Q331" s="85"/>
      <c r="R331" s="85"/>
      <c r="S331" s="85"/>
      <c r="T331" s="85"/>
      <c r="U331" s="85"/>
      <c r="V331" s="85"/>
      <c r="W331" s="85"/>
      <c r="X331" s="85"/>
      <c r="Y331" s="85"/>
      <c r="Z331" s="85"/>
      <c r="AA331" s="85"/>
      <c r="AB331" s="85"/>
      <c r="AC331" s="81">
        <f t="shared" si="209"/>
        <v>0</v>
      </c>
      <c r="AD331" s="86"/>
      <c r="AE331" s="86"/>
      <c r="AF331" s="1178"/>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7"/>
      <c r="C389" s="1178"/>
      <c r="D389" s="2299"/>
      <c r="E389" s="81">
        <f t="shared" ref="E389:E480" si="265">IF($C$3="是",ROUND($A$3*G389/$B$3,2),ROUND($A$3*(G389-AT389)/$B$3,2))</f>
        <v>0</v>
      </c>
      <c r="F389" s="82"/>
      <c r="G389" s="83">
        <f t="shared" ref="G389:G477" si="266">H389+AC389+AT389</f>
        <v>0</v>
      </c>
      <c r="H389" s="84">
        <f t="shared" ref="H389:H477" si="267">SUMIF(I$12:AB$12,"总值",I389:AB389)</f>
        <v>0</v>
      </c>
      <c r="I389" s="1178"/>
      <c r="J389" s="85"/>
      <c r="K389" s="117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9"/>
      <c r="AG389" s="86"/>
      <c r="AH389" s="86"/>
      <c r="AI389" s="86"/>
      <c r="AJ389" s="86"/>
      <c r="AK389" s="86"/>
      <c r="AL389" s="86"/>
      <c r="AM389" s="86"/>
      <c r="AN389" s="1155"/>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7"/>
      <c r="C390" s="1178"/>
      <c r="D390" s="2299"/>
      <c r="E390" s="81">
        <f t="shared" si="265"/>
        <v>0</v>
      </c>
      <c r="F390" s="82"/>
      <c r="G390" s="83">
        <f t="shared" si="266"/>
        <v>0</v>
      </c>
      <c r="H390" s="84">
        <f t="shared" si="267"/>
        <v>0</v>
      </c>
      <c r="I390" s="1178"/>
      <c r="J390" s="85"/>
      <c r="K390" s="1178"/>
      <c r="L390" s="85"/>
      <c r="M390" s="1155"/>
      <c r="N390" s="85"/>
      <c r="O390" s="85"/>
      <c r="P390" s="85"/>
      <c r="Q390" s="85"/>
      <c r="R390" s="85"/>
      <c r="S390" s="85"/>
      <c r="T390" s="85"/>
      <c r="U390" s="85"/>
      <c r="V390" s="85"/>
      <c r="W390" s="85"/>
      <c r="X390" s="85"/>
      <c r="Y390" s="85"/>
      <c r="Z390" s="85"/>
      <c r="AA390" s="85"/>
      <c r="AB390" s="85"/>
      <c r="AC390" s="81">
        <f t="shared" si="268"/>
        <v>0</v>
      </c>
      <c r="AD390" s="1155"/>
      <c r="AE390" s="86"/>
      <c r="AF390" s="1179"/>
      <c r="AG390" s="86"/>
      <c r="AH390" s="86"/>
      <c r="AI390" s="86"/>
      <c r="AJ390" s="86"/>
      <c r="AK390" s="86"/>
      <c r="AL390" s="1155"/>
      <c r="AM390" s="86"/>
      <c r="AN390" s="1155"/>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7"/>
      <c r="C391" s="1178"/>
      <c r="D391" s="2299"/>
      <c r="E391" s="81">
        <f t="shared" si="265"/>
        <v>0</v>
      </c>
      <c r="F391" s="82"/>
      <c r="G391" s="83">
        <f t="shared" si="266"/>
        <v>0</v>
      </c>
      <c r="H391" s="84">
        <f t="shared" si="267"/>
        <v>0</v>
      </c>
      <c r="I391" s="1178"/>
      <c r="J391" s="85"/>
      <c r="K391" s="1178"/>
      <c r="L391" s="85"/>
      <c r="M391" s="1155"/>
      <c r="N391" s="85"/>
      <c r="O391" s="85"/>
      <c r="P391" s="85"/>
      <c r="Q391" s="85"/>
      <c r="R391" s="85"/>
      <c r="S391" s="85"/>
      <c r="T391" s="85"/>
      <c r="U391" s="85"/>
      <c r="V391" s="85"/>
      <c r="W391" s="85"/>
      <c r="X391" s="85"/>
      <c r="Y391" s="85"/>
      <c r="Z391" s="85"/>
      <c r="AA391" s="85"/>
      <c r="AB391" s="85"/>
      <c r="AC391" s="81">
        <f t="shared" si="268"/>
        <v>0</v>
      </c>
      <c r="AD391" s="86"/>
      <c r="AE391" s="86"/>
      <c r="AF391" s="1179"/>
      <c r="AG391" s="86"/>
      <c r="AH391" s="86"/>
      <c r="AI391" s="86"/>
      <c r="AJ391" s="86"/>
      <c r="AK391" s="86"/>
      <c r="AL391" s="1155"/>
      <c r="AM391" s="86"/>
      <c r="AN391" s="1155"/>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7"/>
      <c r="C392" s="1178"/>
      <c r="D392" s="2299"/>
      <c r="E392" s="81">
        <f t="shared" si="265"/>
        <v>0</v>
      </c>
      <c r="F392" s="82"/>
      <c r="G392" s="83">
        <f t="shared" si="266"/>
        <v>0</v>
      </c>
      <c r="H392" s="84">
        <f t="shared" si="267"/>
        <v>0</v>
      </c>
      <c r="I392" s="1178"/>
      <c r="J392" s="85"/>
      <c r="K392" s="1178"/>
      <c r="L392" s="85"/>
      <c r="M392" s="85"/>
      <c r="N392" s="85"/>
      <c r="O392" s="1155"/>
      <c r="P392" s="85"/>
      <c r="Q392" s="85"/>
      <c r="R392" s="85"/>
      <c r="S392" s="85"/>
      <c r="T392" s="85"/>
      <c r="U392" s="85"/>
      <c r="V392" s="85"/>
      <c r="W392" s="85"/>
      <c r="X392" s="85"/>
      <c r="Y392" s="85"/>
      <c r="Z392" s="85"/>
      <c r="AA392" s="85"/>
      <c r="AB392" s="85"/>
      <c r="AC392" s="81">
        <f t="shared" si="268"/>
        <v>0</v>
      </c>
      <c r="AD392" s="86"/>
      <c r="AE392" s="86"/>
      <c r="AF392" s="1179"/>
      <c r="AG392" s="86"/>
      <c r="AH392" s="86"/>
      <c r="AI392" s="86"/>
      <c r="AJ392" s="86"/>
      <c r="AK392" s="86"/>
      <c r="AL392" s="86"/>
      <c r="AM392" s="86"/>
      <c r="AN392" s="1155"/>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7"/>
      <c r="C393" s="1178"/>
      <c r="D393" s="2299"/>
      <c r="E393" s="81">
        <f t="shared" si="265"/>
        <v>0</v>
      </c>
      <c r="F393" s="82"/>
      <c r="G393" s="83">
        <f t="shared" si="266"/>
        <v>0</v>
      </c>
      <c r="H393" s="84">
        <f t="shared" si="267"/>
        <v>0</v>
      </c>
      <c r="I393" s="1178"/>
      <c r="J393" s="85"/>
      <c r="K393" s="117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9"/>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7"/>
      <c r="C394" s="1178"/>
      <c r="D394" s="2299"/>
      <c r="E394" s="81">
        <f t="shared" si="265"/>
        <v>0</v>
      </c>
      <c r="F394" s="82"/>
      <c r="G394" s="83">
        <f t="shared" si="266"/>
        <v>0</v>
      </c>
      <c r="H394" s="84">
        <f t="shared" si="267"/>
        <v>0</v>
      </c>
      <c r="I394" s="1178"/>
      <c r="J394" s="85"/>
      <c r="K394" s="117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9"/>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7"/>
      <c r="C395" s="1178"/>
      <c r="D395" s="2299"/>
      <c r="E395" s="81">
        <f t="shared" si="265"/>
        <v>0</v>
      </c>
      <c r="F395" s="82"/>
      <c r="G395" s="83">
        <f t="shared" si="266"/>
        <v>0</v>
      </c>
      <c r="H395" s="84">
        <f t="shared" si="267"/>
        <v>0</v>
      </c>
      <c r="I395" s="1178"/>
      <c r="J395" s="85"/>
      <c r="K395" s="117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9"/>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7"/>
      <c r="C396" s="1178"/>
      <c r="D396" s="2299"/>
      <c r="E396" s="81">
        <f t="shared" si="265"/>
        <v>0</v>
      </c>
      <c r="F396" s="82"/>
      <c r="G396" s="83">
        <f t="shared" si="266"/>
        <v>0</v>
      </c>
      <c r="H396" s="84">
        <f t="shared" si="267"/>
        <v>0</v>
      </c>
      <c r="I396" s="1178"/>
      <c r="J396" s="85"/>
      <c r="K396" s="117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8"/>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7"/>
      <c r="C397" s="1178"/>
      <c r="D397" s="2299"/>
      <c r="E397" s="81">
        <f t="shared" si="265"/>
        <v>0</v>
      </c>
      <c r="F397" s="82"/>
      <c r="G397" s="83">
        <f t="shared" si="266"/>
        <v>0</v>
      </c>
      <c r="H397" s="84">
        <f t="shared" si="267"/>
        <v>0</v>
      </c>
      <c r="I397" s="1178"/>
      <c r="J397" s="85"/>
      <c r="K397" s="117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8"/>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7"/>
      <c r="C398" s="1178"/>
      <c r="D398" s="2299"/>
      <c r="E398" s="81">
        <f t="shared" si="265"/>
        <v>0</v>
      </c>
      <c r="F398" s="82"/>
      <c r="G398" s="83">
        <f t="shared" si="266"/>
        <v>0</v>
      </c>
      <c r="H398" s="84">
        <f t="shared" si="267"/>
        <v>0</v>
      </c>
      <c r="I398" s="1178"/>
      <c r="J398" s="85"/>
      <c r="K398" s="117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8"/>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7"/>
      <c r="C399" s="1178"/>
      <c r="D399" s="2299"/>
      <c r="E399" s="81">
        <f t="shared" si="265"/>
        <v>0</v>
      </c>
      <c r="F399" s="82"/>
      <c r="G399" s="83">
        <f t="shared" si="266"/>
        <v>0</v>
      </c>
      <c r="H399" s="84">
        <f t="shared" si="267"/>
        <v>0</v>
      </c>
      <c r="I399" s="1178"/>
      <c r="J399" s="85"/>
      <c r="K399" s="117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8"/>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7"/>
      <c r="C400" s="1178"/>
      <c r="D400" s="2299"/>
      <c r="E400" s="81">
        <f t="shared" si="265"/>
        <v>0</v>
      </c>
      <c r="F400" s="82"/>
      <c r="G400" s="83">
        <f t="shared" si="266"/>
        <v>0</v>
      </c>
      <c r="H400" s="84">
        <f t="shared" si="267"/>
        <v>0</v>
      </c>
      <c r="I400" s="1178"/>
      <c r="J400" s="85"/>
      <c r="K400" s="117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8"/>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7"/>
      <c r="C401" s="1178"/>
      <c r="D401" s="2299"/>
      <c r="E401" s="81">
        <f t="shared" si="265"/>
        <v>0</v>
      </c>
      <c r="F401" s="82"/>
      <c r="G401" s="83">
        <f t="shared" si="266"/>
        <v>0</v>
      </c>
      <c r="H401" s="84">
        <f t="shared" si="267"/>
        <v>0</v>
      </c>
      <c r="I401" s="1178"/>
      <c r="J401" s="85"/>
      <c r="K401" s="117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8"/>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7"/>
      <c r="C402" s="1178"/>
      <c r="D402" s="2299"/>
      <c r="E402" s="81">
        <f t="shared" si="265"/>
        <v>0</v>
      </c>
      <c r="F402" s="82"/>
      <c r="G402" s="83">
        <f t="shared" si="266"/>
        <v>0</v>
      </c>
      <c r="H402" s="84">
        <f t="shared" si="267"/>
        <v>0</v>
      </c>
      <c r="I402" s="1178"/>
      <c r="J402" s="85"/>
      <c r="K402" s="117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8"/>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7"/>
      <c r="C403" s="1178"/>
      <c r="D403" s="2299"/>
      <c r="E403" s="81">
        <f t="shared" si="265"/>
        <v>0</v>
      </c>
      <c r="F403" s="82"/>
      <c r="G403" s="83">
        <f t="shared" si="266"/>
        <v>0</v>
      </c>
      <c r="H403" s="84">
        <f t="shared" si="267"/>
        <v>0</v>
      </c>
      <c r="I403" s="1178"/>
      <c r="J403" s="85"/>
      <c r="K403" s="117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8"/>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7"/>
      <c r="C404" s="1178"/>
      <c r="D404" s="2299"/>
      <c r="E404" s="81">
        <f t="shared" si="265"/>
        <v>0</v>
      </c>
      <c r="F404" s="82"/>
      <c r="G404" s="83">
        <f t="shared" si="266"/>
        <v>0</v>
      </c>
      <c r="H404" s="84">
        <f t="shared" si="267"/>
        <v>0</v>
      </c>
      <c r="I404" s="1178"/>
      <c r="J404" s="85"/>
      <c r="K404" s="117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8"/>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7"/>
      <c r="C405" s="1178"/>
      <c r="D405" s="2299"/>
      <c r="E405" s="81">
        <f t="shared" si="265"/>
        <v>0</v>
      </c>
      <c r="F405" s="82"/>
      <c r="G405" s="83">
        <f t="shared" si="266"/>
        <v>0</v>
      </c>
      <c r="H405" s="84">
        <f t="shared" si="267"/>
        <v>0</v>
      </c>
      <c r="I405" s="1178"/>
      <c r="J405" s="85"/>
      <c r="K405" s="117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8"/>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7"/>
      <c r="C406" s="1178"/>
      <c r="D406" s="2299"/>
      <c r="E406" s="81">
        <f t="shared" si="265"/>
        <v>0</v>
      </c>
      <c r="F406" s="82"/>
      <c r="G406" s="83">
        <f t="shared" si="266"/>
        <v>0</v>
      </c>
      <c r="H406" s="84">
        <f t="shared" si="267"/>
        <v>0</v>
      </c>
      <c r="I406" s="1178"/>
      <c r="J406" s="85"/>
      <c r="K406" s="117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8"/>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7"/>
      <c r="C407" s="1178"/>
      <c r="D407" s="2299"/>
      <c r="E407" s="81">
        <f t="shared" si="265"/>
        <v>0</v>
      </c>
      <c r="F407" s="82"/>
      <c r="G407" s="83">
        <f t="shared" si="266"/>
        <v>0</v>
      </c>
      <c r="H407" s="84">
        <f t="shared" si="267"/>
        <v>0</v>
      </c>
      <c r="I407" s="1178"/>
      <c r="J407" s="85"/>
      <c r="K407" s="117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8"/>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7"/>
      <c r="C408" s="1178"/>
      <c r="D408" s="2299"/>
      <c r="E408" s="81">
        <f t="shared" si="265"/>
        <v>0</v>
      </c>
      <c r="F408" s="82"/>
      <c r="G408" s="83">
        <f t="shared" si="266"/>
        <v>0</v>
      </c>
      <c r="H408" s="84">
        <f t="shared" si="267"/>
        <v>0</v>
      </c>
      <c r="I408" s="1178"/>
      <c r="J408" s="85"/>
      <c r="K408" s="117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8"/>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7"/>
      <c r="C409" s="1178"/>
      <c r="D409" s="2299"/>
      <c r="E409" s="81">
        <f t="shared" si="265"/>
        <v>0</v>
      </c>
      <c r="F409" s="82"/>
      <c r="G409" s="83">
        <f t="shared" si="266"/>
        <v>0</v>
      </c>
      <c r="H409" s="84">
        <f t="shared" si="267"/>
        <v>0</v>
      </c>
      <c r="I409" s="1178"/>
      <c r="J409" s="85"/>
      <c r="K409" s="117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8"/>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7"/>
      <c r="C410" s="1178"/>
      <c r="D410" s="2299"/>
      <c r="E410" s="81">
        <f t="shared" si="265"/>
        <v>0</v>
      </c>
      <c r="F410" s="82"/>
      <c r="G410" s="83">
        <f t="shared" si="266"/>
        <v>0</v>
      </c>
      <c r="H410" s="84">
        <f t="shared" si="267"/>
        <v>0</v>
      </c>
      <c r="I410" s="1178"/>
      <c r="J410" s="85"/>
      <c r="K410" s="117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8"/>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7"/>
      <c r="C411" s="1178"/>
      <c r="D411" s="2299"/>
      <c r="E411" s="81">
        <f t="shared" si="265"/>
        <v>0</v>
      </c>
      <c r="F411" s="82"/>
      <c r="G411" s="83">
        <f t="shared" si="266"/>
        <v>0</v>
      </c>
      <c r="H411" s="84">
        <f t="shared" si="267"/>
        <v>0</v>
      </c>
      <c r="I411" s="1178"/>
      <c r="J411" s="85"/>
      <c r="K411" s="117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8"/>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7"/>
      <c r="C412" s="1178"/>
      <c r="D412" s="2299"/>
      <c r="E412" s="81">
        <f t="shared" si="265"/>
        <v>0</v>
      </c>
      <c r="F412" s="82"/>
      <c r="G412" s="83">
        <f t="shared" si="266"/>
        <v>0</v>
      </c>
      <c r="H412" s="84">
        <f t="shared" si="267"/>
        <v>0</v>
      </c>
      <c r="I412" s="1178"/>
      <c r="J412" s="85"/>
      <c r="K412" s="117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8"/>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7"/>
      <c r="C413" s="1178"/>
      <c r="D413" s="2299"/>
      <c r="E413" s="81">
        <f t="shared" si="265"/>
        <v>0</v>
      </c>
      <c r="F413" s="82"/>
      <c r="G413" s="83">
        <f t="shared" si="266"/>
        <v>0</v>
      </c>
      <c r="H413" s="84">
        <f t="shared" si="267"/>
        <v>0</v>
      </c>
      <c r="I413" s="1178"/>
      <c r="J413" s="85"/>
      <c r="K413" s="117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8"/>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7"/>
      <c r="C414" s="1178"/>
      <c r="D414" s="2299"/>
      <c r="E414" s="81">
        <f t="shared" si="265"/>
        <v>0</v>
      </c>
      <c r="F414" s="82"/>
      <c r="G414" s="83">
        <f t="shared" si="266"/>
        <v>0</v>
      </c>
      <c r="H414" s="84">
        <f t="shared" si="267"/>
        <v>0</v>
      </c>
      <c r="I414" s="1178"/>
      <c r="J414" s="85"/>
      <c r="K414" s="117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8"/>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7"/>
      <c r="C415" s="1178"/>
      <c r="D415" s="2299"/>
      <c r="E415" s="81">
        <f t="shared" si="265"/>
        <v>0</v>
      </c>
      <c r="F415" s="82"/>
      <c r="G415" s="83">
        <f t="shared" si="266"/>
        <v>0</v>
      </c>
      <c r="H415" s="84">
        <f t="shared" si="267"/>
        <v>0</v>
      </c>
      <c r="I415" s="1178"/>
      <c r="J415" s="85"/>
      <c r="K415" s="117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8"/>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7"/>
      <c r="C416" s="1178"/>
      <c r="D416" s="2299"/>
      <c r="E416" s="81">
        <f t="shared" si="265"/>
        <v>0</v>
      </c>
      <c r="F416" s="82"/>
      <c r="G416" s="83">
        <f t="shared" si="266"/>
        <v>0</v>
      </c>
      <c r="H416" s="84">
        <f t="shared" si="267"/>
        <v>0</v>
      </c>
      <c r="I416" s="1178"/>
      <c r="J416" s="85"/>
      <c r="K416" s="117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8"/>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7"/>
      <c r="C417" s="1178"/>
      <c r="D417" s="2299"/>
      <c r="E417" s="81">
        <f t="shared" si="265"/>
        <v>0</v>
      </c>
      <c r="F417" s="82"/>
      <c r="G417" s="83">
        <f t="shared" si="266"/>
        <v>0</v>
      </c>
      <c r="H417" s="84">
        <f t="shared" si="267"/>
        <v>0</v>
      </c>
      <c r="I417" s="1178"/>
      <c r="J417" s="85"/>
      <c r="K417" s="117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8"/>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7"/>
      <c r="C418" s="1178"/>
      <c r="D418" s="2299"/>
      <c r="E418" s="81">
        <f t="shared" si="265"/>
        <v>0</v>
      </c>
      <c r="F418" s="82"/>
      <c r="G418" s="83">
        <f t="shared" si="266"/>
        <v>0</v>
      </c>
      <c r="H418" s="84">
        <f t="shared" si="267"/>
        <v>0</v>
      </c>
      <c r="I418" s="1178"/>
      <c r="J418" s="85"/>
      <c r="K418" s="117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8"/>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7"/>
      <c r="C419" s="1178"/>
      <c r="D419" s="2299"/>
      <c r="E419" s="81">
        <f t="shared" si="265"/>
        <v>0</v>
      </c>
      <c r="F419" s="82"/>
      <c r="G419" s="83">
        <f t="shared" si="266"/>
        <v>0</v>
      </c>
      <c r="H419" s="84">
        <f t="shared" si="267"/>
        <v>0</v>
      </c>
      <c r="I419" s="1178"/>
      <c r="J419" s="85"/>
      <c r="K419" s="117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8"/>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7"/>
      <c r="C420" s="1178"/>
      <c r="D420" s="2299"/>
      <c r="E420" s="81">
        <f t="shared" si="265"/>
        <v>0</v>
      </c>
      <c r="F420" s="82"/>
      <c r="G420" s="83">
        <f t="shared" si="266"/>
        <v>0</v>
      </c>
      <c r="H420" s="84">
        <f t="shared" si="267"/>
        <v>0</v>
      </c>
      <c r="I420" s="1178"/>
      <c r="J420" s="85"/>
      <c r="K420" s="117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8"/>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7"/>
      <c r="C421" s="1178"/>
      <c r="D421" s="2299"/>
      <c r="E421" s="81">
        <f t="shared" si="265"/>
        <v>0</v>
      </c>
      <c r="F421" s="82"/>
      <c r="G421" s="83">
        <f t="shared" si="266"/>
        <v>0</v>
      </c>
      <c r="H421" s="84">
        <f t="shared" si="267"/>
        <v>0</v>
      </c>
      <c r="I421" s="1178"/>
      <c r="J421" s="85"/>
      <c r="K421" s="117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8"/>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7"/>
      <c r="C422" s="1178"/>
      <c r="D422" s="2299"/>
      <c r="E422" s="81">
        <f t="shared" si="265"/>
        <v>0</v>
      </c>
      <c r="F422" s="82"/>
      <c r="G422" s="83">
        <f t="shared" si="266"/>
        <v>0</v>
      </c>
      <c r="H422" s="84">
        <f t="shared" si="267"/>
        <v>0</v>
      </c>
      <c r="I422" s="1178"/>
      <c r="J422" s="85"/>
      <c r="K422" s="117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8"/>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7"/>
      <c r="C423" s="1178"/>
      <c r="D423" s="2299"/>
      <c r="E423" s="81">
        <f t="shared" si="265"/>
        <v>0</v>
      </c>
      <c r="F423" s="82"/>
      <c r="G423" s="83">
        <f t="shared" si="266"/>
        <v>0</v>
      </c>
      <c r="H423" s="84">
        <f t="shared" si="267"/>
        <v>0</v>
      </c>
      <c r="I423" s="1178"/>
      <c r="J423" s="85"/>
      <c r="K423" s="1178"/>
      <c r="L423" s="85"/>
      <c r="M423" s="1178"/>
      <c r="N423" s="85"/>
      <c r="O423" s="85"/>
      <c r="P423" s="85"/>
      <c r="Q423" s="85"/>
      <c r="R423" s="85"/>
      <c r="S423" s="85"/>
      <c r="T423" s="85"/>
      <c r="U423" s="85"/>
      <c r="V423" s="85"/>
      <c r="W423" s="85"/>
      <c r="X423" s="85"/>
      <c r="Y423" s="85"/>
      <c r="Z423" s="85"/>
      <c r="AA423" s="85"/>
      <c r="AB423" s="85"/>
      <c r="AC423" s="81">
        <f t="shared" si="268"/>
        <v>0</v>
      </c>
      <c r="AD423" s="86"/>
      <c r="AE423" s="86"/>
      <c r="AF423" s="1178"/>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7"/>
      <c r="C481" s="1178"/>
      <c r="D481" s="2299"/>
      <c r="E481" s="81">
        <f t="shared" ref="E481:E504" si="319">IF($C$3="是",ROUND($A$3*G481/$B$3,2),ROUND($A$3*(G481-AT481)/$B$3,2))</f>
        <v>0</v>
      </c>
      <c r="F481" s="82"/>
      <c r="G481" s="83">
        <f t="shared" si="294"/>
        <v>0</v>
      </c>
      <c r="H481" s="84">
        <f t="shared" si="295"/>
        <v>0</v>
      </c>
      <c r="I481" s="1178"/>
      <c r="J481" s="85"/>
      <c r="K481" s="117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9"/>
      <c r="AG481" s="86"/>
      <c r="AH481" s="86"/>
      <c r="AI481" s="86"/>
      <c r="AJ481" s="86"/>
      <c r="AK481" s="86"/>
      <c r="AL481" s="86"/>
      <c r="AM481" s="86"/>
      <c r="AN481" s="1155"/>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7"/>
      <c r="C482" s="1178"/>
      <c r="D482" s="2299"/>
      <c r="E482" s="81">
        <f t="shared" si="319"/>
        <v>0</v>
      </c>
      <c r="F482" s="82"/>
      <c r="G482" s="83">
        <f t="shared" si="294"/>
        <v>0</v>
      </c>
      <c r="H482" s="84">
        <f t="shared" si="295"/>
        <v>0</v>
      </c>
      <c r="I482" s="1178"/>
      <c r="J482" s="85"/>
      <c r="K482" s="1178"/>
      <c r="L482" s="85"/>
      <c r="M482" s="1155"/>
      <c r="N482" s="85"/>
      <c r="O482" s="85"/>
      <c r="P482" s="85"/>
      <c r="Q482" s="85"/>
      <c r="R482" s="85"/>
      <c r="S482" s="85"/>
      <c r="T482" s="85"/>
      <c r="U482" s="85"/>
      <c r="V482" s="85"/>
      <c r="W482" s="85"/>
      <c r="X482" s="85"/>
      <c r="Y482" s="85"/>
      <c r="Z482" s="85"/>
      <c r="AA482" s="85"/>
      <c r="AB482" s="85"/>
      <c r="AC482" s="81">
        <f t="shared" si="296"/>
        <v>0</v>
      </c>
      <c r="AD482" s="1155"/>
      <c r="AE482" s="86"/>
      <c r="AF482" s="1179"/>
      <c r="AG482" s="86"/>
      <c r="AH482" s="86"/>
      <c r="AI482" s="86"/>
      <c r="AJ482" s="86"/>
      <c r="AK482" s="86"/>
      <c r="AL482" s="1155"/>
      <c r="AM482" s="86"/>
      <c r="AN482" s="1155"/>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7"/>
      <c r="C483" s="1178"/>
      <c r="D483" s="2299"/>
      <c r="E483" s="81">
        <f t="shared" si="319"/>
        <v>0</v>
      </c>
      <c r="F483" s="82"/>
      <c r="G483" s="83">
        <f t="shared" si="294"/>
        <v>0</v>
      </c>
      <c r="H483" s="84">
        <f t="shared" si="295"/>
        <v>0</v>
      </c>
      <c r="I483" s="1178"/>
      <c r="J483" s="85"/>
      <c r="K483" s="1178"/>
      <c r="L483" s="85"/>
      <c r="M483" s="1155"/>
      <c r="N483" s="85"/>
      <c r="O483" s="85"/>
      <c r="P483" s="85"/>
      <c r="Q483" s="85"/>
      <c r="R483" s="85"/>
      <c r="S483" s="85"/>
      <c r="T483" s="85"/>
      <c r="U483" s="85"/>
      <c r="V483" s="85"/>
      <c r="W483" s="85"/>
      <c r="X483" s="85"/>
      <c r="Y483" s="85"/>
      <c r="Z483" s="85"/>
      <c r="AA483" s="85"/>
      <c r="AB483" s="85"/>
      <c r="AC483" s="81">
        <f t="shared" si="296"/>
        <v>0</v>
      </c>
      <c r="AD483" s="86"/>
      <c r="AE483" s="86"/>
      <c r="AF483" s="1179"/>
      <c r="AG483" s="86"/>
      <c r="AH483" s="86"/>
      <c r="AI483" s="86"/>
      <c r="AJ483" s="86"/>
      <c r="AK483" s="86"/>
      <c r="AL483" s="1155"/>
      <c r="AM483" s="86"/>
      <c r="AN483" s="1155"/>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7"/>
      <c r="C484" s="1178"/>
      <c r="D484" s="2299"/>
      <c r="E484" s="81">
        <f t="shared" si="319"/>
        <v>0</v>
      </c>
      <c r="F484" s="82"/>
      <c r="G484" s="83">
        <f t="shared" si="294"/>
        <v>0</v>
      </c>
      <c r="H484" s="84">
        <f t="shared" si="295"/>
        <v>0</v>
      </c>
      <c r="I484" s="1178"/>
      <c r="J484" s="85"/>
      <c r="K484" s="1178"/>
      <c r="L484" s="85"/>
      <c r="M484" s="85"/>
      <c r="N484" s="85"/>
      <c r="O484" s="1155"/>
      <c r="P484" s="85"/>
      <c r="Q484" s="85"/>
      <c r="R484" s="85"/>
      <c r="S484" s="85"/>
      <c r="T484" s="85"/>
      <c r="U484" s="85"/>
      <c r="V484" s="85"/>
      <c r="W484" s="85"/>
      <c r="X484" s="85"/>
      <c r="Y484" s="85"/>
      <c r="Z484" s="85"/>
      <c r="AA484" s="85"/>
      <c r="AB484" s="85"/>
      <c r="AC484" s="81">
        <f t="shared" si="296"/>
        <v>0</v>
      </c>
      <c r="AD484" s="86"/>
      <c r="AE484" s="86"/>
      <c r="AF484" s="1179"/>
      <c r="AG484" s="86"/>
      <c r="AH484" s="86"/>
      <c r="AI484" s="86"/>
      <c r="AJ484" s="86"/>
      <c r="AK484" s="86"/>
      <c r="AL484" s="86"/>
      <c r="AM484" s="86"/>
      <c r="AN484" s="1155"/>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7"/>
      <c r="C485" s="1178"/>
      <c r="D485" s="2299"/>
      <c r="E485" s="81">
        <f t="shared" si="319"/>
        <v>0</v>
      </c>
      <c r="F485" s="82"/>
      <c r="G485" s="83">
        <f t="shared" si="294"/>
        <v>0</v>
      </c>
      <c r="H485" s="84">
        <f t="shared" si="295"/>
        <v>0</v>
      </c>
      <c r="I485" s="1178"/>
      <c r="J485" s="85"/>
      <c r="K485" s="117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9"/>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7"/>
      <c r="C486" s="1178"/>
      <c r="D486" s="2299"/>
      <c r="E486" s="81">
        <f t="shared" si="319"/>
        <v>0</v>
      </c>
      <c r="F486" s="82"/>
      <c r="G486" s="83">
        <f t="shared" si="294"/>
        <v>0</v>
      </c>
      <c r="H486" s="84">
        <f t="shared" si="295"/>
        <v>0</v>
      </c>
      <c r="I486" s="1178"/>
      <c r="J486" s="85"/>
      <c r="K486" s="117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9"/>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7"/>
      <c r="C487" s="1178"/>
      <c r="D487" s="2299"/>
      <c r="E487" s="81">
        <f t="shared" si="319"/>
        <v>0</v>
      </c>
      <c r="F487" s="82"/>
      <c r="G487" s="83">
        <f t="shared" si="294"/>
        <v>0</v>
      </c>
      <c r="H487" s="84">
        <f t="shared" si="295"/>
        <v>0</v>
      </c>
      <c r="I487" s="1178"/>
      <c r="J487" s="85"/>
      <c r="K487" s="117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9"/>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7"/>
      <c r="C488" s="1178"/>
      <c r="D488" s="2299"/>
      <c r="E488" s="81">
        <f t="shared" si="319"/>
        <v>0</v>
      </c>
      <c r="F488" s="82"/>
      <c r="G488" s="83">
        <f t="shared" si="294"/>
        <v>0</v>
      </c>
      <c r="H488" s="84">
        <f t="shared" si="295"/>
        <v>0</v>
      </c>
      <c r="I488" s="1178"/>
      <c r="J488" s="85"/>
      <c r="K488" s="117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8"/>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7"/>
      <c r="C489" s="1178"/>
      <c r="D489" s="2299"/>
      <c r="E489" s="81">
        <f t="shared" si="319"/>
        <v>0</v>
      </c>
      <c r="F489" s="82"/>
      <c r="G489" s="83">
        <f t="shared" si="294"/>
        <v>0</v>
      </c>
      <c r="H489" s="84">
        <f t="shared" si="295"/>
        <v>0</v>
      </c>
      <c r="I489" s="1178"/>
      <c r="J489" s="85"/>
      <c r="K489" s="117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8"/>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7"/>
      <c r="C490" s="1178"/>
      <c r="D490" s="2299"/>
      <c r="E490" s="81">
        <f t="shared" si="319"/>
        <v>0</v>
      </c>
      <c r="F490" s="82"/>
      <c r="G490" s="83">
        <f t="shared" si="294"/>
        <v>0</v>
      </c>
      <c r="H490" s="84">
        <f t="shared" si="295"/>
        <v>0</v>
      </c>
      <c r="I490" s="1178"/>
      <c r="J490" s="85"/>
      <c r="K490" s="117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8"/>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7"/>
      <c r="C491" s="1178"/>
      <c r="D491" s="2299"/>
      <c r="E491" s="81">
        <f t="shared" si="319"/>
        <v>0</v>
      </c>
      <c r="F491" s="82"/>
      <c r="G491" s="83">
        <f t="shared" si="294"/>
        <v>0</v>
      </c>
      <c r="H491" s="84">
        <f t="shared" si="295"/>
        <v>0</v>
      </c>
      <c r="I491" s="1178"/>
      <c r="J491" s="85"/>
      <c r="K491" s="117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8"/>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7"/>
      <c r="C492" s="1178"/>
      <c r="D492" s="2299"/>
      <c r="E492" s="81">
        <f t="shared" si="319"/>
        <v>0</v>
      </c>
      <c r="F492" s="82"/>
      <c r="G492" s="83">
        <f t="shared" si="294"/>
        <v>0</v>
      </c>
      <c r="H492" s="84">
        <f t="shared" si="295"/>
        <v>0</v>
      </c>
      <c r="I492" s="1178"/>
      <c r="J492" s="85"/>
      <c r="K492" s="117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8"/>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7"/>
      <c r="C493" s="1178"/>
      <c r="D493" s="2299"/>
      <c r="E493" s="81">
        <f t="shared" si="319"/>
        <v>0</v>
      </c>
      <c r="F493" s="82"/>
      <c r="G493" s="83">
        <f t="shared" si="294"/>
        <v>0</v>
      </c>
      <c r="H493" s="84">
        <f t="shared" si="295"/>
        <v>0</v>
      </c>
      <c r="I493" s="1178"/>
      <c r="J493" s="85"/>
      <c r="K493" s="117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8"/>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7"/>
      <c r="C494" s="1178"/>
      <c r="D494" s="2299"/>
      <c r="E494" s="81">
        <f t="shared" si="319"/>
        <v>0</v>
      </c>
      <c r="F494" s="82"/>
      <c r="G494" s="83">
        <f t="shared" si="294"/>
        <v>0</v>
      </c>
      <c r="H494" s="84">
        <f t="shared" si="295"/>
        <v>0</v>
      </c>
      <c r="I494" s="1178"/>
      <c r="J494" s="85"/>
      <c r="K494" s="117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8"/>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7"/>
      <c r="C495" s="1178"/>
      <c r="D495" s="2299"/>
      <c r="E495" s="81">
        <f t="shared" si="319"/>
        <v>0</v>
      </c>
      <c r="F495" s="82"/>
      <c r="G495" s="83">
        <f t="shared" si="294"/>
        <v>0</v>
      </c>
      <c r="H495" s="84">
        <f t="shared" si="295"/>
        <v>0</v>
      </c>
      <c r="I495" s="1178"/>
      <c r="J495" s="85"/>
      <c r="K495" s="117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8"/>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7"/>
      <c r="C496" s="1178"/>
      <c r="D496" s="2299"/>
      <c r="E496" s="81">
        <f t="shared" si="319"/>
        <v>0</v>
      </c>
      <c r="F496" s="82"/>
      <c r="G496" s="83">
        <f t="shared" si="294"/>
        <v>0</v>
      </c>
      <c r="H496" s="84">
        <f t="shared" si="295"/>
        <v>0</v>
      </c>
      <c r="I496" s="1178"/>
      <c r="J496" s="85"/>
      <c r="K496" s="117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8"/>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7"/>
      <c r="C497" s="1178"/>
      <c r="D497" s="2299"/>
      <c r="E497" s="81">
        <f t="shared" si="319"/>
        <v>0</v>
      </c>
      <c r="F497" s="82"/>
      <c r="G497" s="83">
        <f t="shared" si="294"/>
        <v>0</v>
      </c>
      <c r="H497" s="84">
        <f t="shared" si="295"/>
        <v>0</v>
      </c>
      <c r="I497" s="1178"/>
      <c r="J497" s="85"/>
      <c r="K497" s="117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8"/>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7"/>
      <c r="C498" s="1178"/>
      <c r="D498" s="2299"/>
      <c r="E498" s="81">
        <f t="shared" si="319"/>
        <v>0</v>
      </c>
      <c r="F498" s="82"/>
      <c r="G498" s="83">
        <f t="shared" si="294"/>
        <v>0</v>
      </c>
      <c r="H498" s="84">
        <f t="shared" si="295"/>
        <v>0</v>
      </c>
      <c r="I498" s="1178"/>
      <c r="J498" s="85"/>
      <c r="K498" s="117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8"/>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7"/>
      <c r="C499" s="1178"/>
      <c r="D499" s="2299"/>
      <c r="E499" s="81">
        <f t="shared" si="319"/>
        <v>0</v>
      </c>
      <c r="F499" s="82"/>
      <c r="G499" s="83">
        <f t="shared" si="294"/>
        <v>0</v>
      </c>
      <c r="H499" s="84">
        <f t="shared" si="295"/>
        <v>0</v>
      </c>
      <c r="I499" s="1178"/>
      <c r="J499" s="85"/>
      <c r="K499" s="117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8"/>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7"/>
      <c r="C500" s="1178"/>
      <c r="D500" s="2299"/>
      <c r="E500" s="81">
        <f t="shared" si="319"/>
        <v>0</v>
      </c>
      <c r="F500" s="82"/>
      <c r="G500" s="83">
        <f t="shared" si="294"/>
        <v>0</v>
      </c>
      <c r="H500" s="84">
        <f t="shared" si="295"/>
        <v>0</v>
      </c>
      <c r="I500" s="1178"/>
      <c r="J500" s="85"/>
      <c r="K500" s="117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8"/>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7"/>
      <c r="C501" s="1178"/>
      <c r="D501" s="2299"/>
      <c r="E501" s="81">
        <f t="shared" si="319"/>
        <v>0</v>
      </c>
      <c r="F501" s="82"/>
      <c r="G501" s="83">
        <f t="shared" si="294"/>
        <v>0</v>
      </c>
      <c r="H501" s="84">
        <f t="shared" si="295"/>
        <v>0</v>
      </c>
      <c r="I501" s="1178"/>
      <c r="J501" s="85"/>
      <c r="K501" s="117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8"/>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7"/>
      <c r="C502" s="1178"/>
      <c r="D502" s="2299"/>
      <c r="E502" s="81">
        <f t="shared" si="319"/>
        <v>0</v>
      </c>
      <c r="F502" s="82"/>
      <c r="G502" s="83">
        <f t="shared" si="294"/>
        <v>0</v>
      </c>
      <c r="H502" s="84">
        <f t="shared" si="295"/>
        <v>0</v>
      </c>
      <c r="I502" s="1178"/>
      <c r="J502" s="85"/>
      <c r="K502" s="117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8"/>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7"/>
      <c r="C503" s="1178"/>
      <c r="D503" s="2299"/>
      <c r="E503" s="81">
        <f t="shared" si="319"/>
        <v>0</v>
      </c>
      <c r="F503" s="82"/>
      <c r="G503" s="83">
        <f t="shared" si="294"/>
        <v>0</v>
      </c>
      <c r="H503" s="84">
        <f t="shared" si="295"/>
        <v>0</v>
      </c>
      <c r="I503" s="1178"/>
      <c r="J503" s="85"/>
      <c r="K503" s="117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8"/>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7"/>
      <c r="C504" s="1178"/>
      <c r="D504" s="2299"/>
      <c r="E504" s="81">
        <f t="shared" si="319"/>
        <v>0</v>
      </c>
      <c r="F504" s="82"/>
      <c r="G504" s="83">
        <f t="shared" si="294"/>
        <v>0</v>
      </c>
      <c r="H504" s="84">
        <f t="shared" si="295"/>
        <v>0</v>
      </c>
      <c r="I504" s="1178"/>
      <c r="J504" s="85"/>
      <c r="K504" s="117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8"/>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7"/>
      <c r="C505" s="1178"/>
      <c r="D505" s="2299"/>
      <c r="E505" s="81">
        <f t="shared" ref="E505:E536" si="323">IF($C$3="是",ROUND($A$3*G505/$B$3,2),ROUND($A$3*(G505-AT505)/$B$3,2))</f>
        <v>0</v>
      </c>
      <c r="F505" s="82"/>
      <c r="G505" s="83">
        <f t="shared" si="294"/>
        <v>0</v>
      </c>
      <c r="H505" s="84">
        <f t="shared" si="295"/>
        <v>0</v>
      </c>
      <c r="I505" s="1178"/>
      <c r="J505" s="85"/>
      <c r="K505" s="117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8"/>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7"/>
      <c r="C506" s="1178"/>
      <c r="D506" s="2299"/>
      <c r="E506" s="81">
        <f t="shared" si="323"/>
        <v>0</v>
      </c>
      <c r="F506" s="82"/>
      <c r="G506" s="83">
        <f t="shared" si="294"/>
        <v>0</v>
      </c>
      <c r="H506" s="84">
        <f t="shared" si="295"/>
        <v>0</v>
      </c>
      <c r="I506" s="1178"/>
      <c r="J506" s="85"/>
      <c r="K506" s="117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8"/>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7"/>
      <c r="C507" s="1178"/>
      <c r="D507" s="2299"/>
      <c r="E507" s="81">
        <f t="shared" si="323"/>
        <v>0</v>
      </c>
      <c r="F507" s="82"/>
      <c r="G507" s="83">
        <f t="shared" si="294"/>
        <v>0</v>
      </c>
      <c r="H507" s="84">
        <f t="shared" si="295"/>
        <v>0</v>
      </c>
      <c r="I507" s="1178"/>
      <c r="J507" s="85"/>
      <c r="K507" s="117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8"/>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7"/>
      <c r="C508" s="1178"/>
      <c r="D508" s="2299"/>
      <c r="E508" s="81">
        <f t="shared" si="323"/>
        <v>0</v>
      </c>
      <c r="F508" s="82"/>
      <c r="G508" s="83">
        <f t="shared" si="294"/>
        <v>0</v>
      </c>
      <c r="H508" s="84">
        <f t="shared" si="295"/>
        <v>0</v>
      </c>
      <c r="I508" s="1178"/>
      <c r="J508" s="85"/>
      <c r="K508" s="117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8"/>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7"/>
      <c r="C509" s="1178"/>
      <c r="D509" s="2299"/>
      <c r="E509" s="81">
        <f t="shared" si="323"/>
        <v>0</v>
      </c>
      <c r="F509" s="82"/>
      <c r="G509" s="83">
        <f t="shared" si="294"/>
        <v>0</v>
      </c>
      <c r="H509" s="84">
        <f t="shared" si="295"/>
        <v>0</v>
      </c>
      <c r="I509" s="1178"/>
      <c r="J509" s="85"/>
      <c r="K509" s="117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8"/>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7"/>
      <c r="C510" s="1178"/>
      <c r="D510" s="2299"/>
      <c r="E510" s="81">
        <f t="shared" si="323"/>
        <v>0</v>
      </c>
      <c r="F510" s="82"/>
      <c r="G510" s="83">
        <f t="shared" ref="G510:G537" si="327">H510+AC510+AT510</f>
        <v>0</v>
      </c>
      <c r="H510" s="84">
        <f t="shared" ref="H510:H537" si="328">SUMIF(I$12:AB$12,"总值",I510:AB510)</f>
        <v>0</v>
      </c>
      <c r="I510" s="1178"/>
      <c r="J510" s="85"/>
      <c r="K510" s="117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8"/>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7"/>
      <c r="C511" s="1178"/>
      <c r="D511" s="2299"/>
      <c r="E511" s="81">
        <f t="shared" si="323"/>
        <v>0</v>
      </c>
      <c r="F511" s="82"/>
      <c r="G511" s="83">
        <f t="shared" si="327"/>
        <v>0</v>
      </c>
      <c r="H511" s="84">
        <f t="shared" si="328"/>
        <v>0</v>
      </c>
      <c r="I511" s="1178"/>
      <c r="J511" s="85"/>
      <c r="K511" s="117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8"/>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7"/>
      <c r="C512" s="1178"/>
      <c r="D512" s="2299"/>
      <c r="E512" s="81">
        <f t="shared" si="323"/>
        <v>0</v>
      </c>
      <c r="F512" s="82"/>
      <c r="G512" s="83">
        <f t="shared" si="327"/>
        <v>0</v>
      </c>
      <c r="H512" s="84">
        <f t="shared" si="328"/>
        <v>0</v>
      </c>
      <c r="I512" s="1178"/>
      <c r="J512" s="85"/>
      <c r="K512" s="117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8"/>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7"/>
      <c r="C513" s="1178"/>
      <c r="D513" s="2299"/>
      <c r="E513" s="81">
        <f t="shared" si="323"/>
        <v>0</v>
      </c>
      <c r="F513" s="82"/>
      <c r="G513" s="83">
        <f t="shared" si="327"/>
        <v>0</v>
      </c>
      <c r="H513" s="84">
        <f t="shared" si="328"/>
        <v>0</v>
      </c>
      <c r="I513" s="1178"/>
      <c r="J513" s="85"/>
      <c r="K513" s="117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8"/>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7"/>
      <c r="C514" s="1178"/>
      <c r="D514" s="2299"/>
      <c r="E514" s="81">
        <f t="shared" si="323"/>
        <v>0</v>
      </c>
      <c r="F514" s="82"/>
      <c r="G514" s="83">
        <f t="shared" si="327"/>
        <v>0</v>
      </c>
      <c r="H514" s="84">
        <f t="shared" si="328"/>
        <v>0</v>
      </c>
      <c r="I514" s="1178"/>
      <c r="J514" s="85"/>
      <c r="K514" s="117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8"/>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7"/>
      <c r="C515" s="1178"/>
      <c r="D515" s="2299"/>
      <c r="E515" s="81">
        <f t="shared" si="323"/>
        <v>0</v>
      </c>
      <c r="F515" s="82"/>
      <c r="G515" s="83">
        <f t="shared" si="327"/>
        <v>0</v>
      </c>
      <c r="H515" s="84">
        <f t="shared" si="328"/>
        <v>0</v>
      </c>
      <c r="I515" s="1178"/>
      <c r="J515" s="85"/>
      <c r="K515" s="1178"/>
      <c r="L515" s="85"/>
      <c r="M515" s="1178"/>
      <c r="N515" s="85"/>
      <c r="O515" s="85"/>
      <c r="P515" s="85"/>
      <c r="Q515" s="85"/>
      <c r="R515" s="85"/>
      <c r="S515" s="85"/>
      <c r="T515" s="85"/>
      <c r="U515" s="85"/>
      <c r="V515" s="85"/>
      <c r="W515" s="85"/>
      <c r="X515" s="85"/>
      <c r="Y515" s="85"/>
      <c r="Z515" s="85"/>
      <c r="AA515" s="85"/>
      <c r="AB515" s="85"/>
      <c r="AC515" s="81">
        <f t="shared" si="329"/>
        <v>0</v>
      </c>
      <c r="AD515" s="86"/>
      <c r="AE515" s="86"/>
      <c r="AF515" s="1178"/>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disablePrompts="1"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36" sqref="E36"/>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501" t="s">
        <v>169</v>
      </c>
      <c r="B2" s="3501"/>
      <c r="C2" s="3501"/>
      <c r="D2" s="1629" t="s">
        <v>170</v>
      </c>
      <c r="E2" s="97" t="s">
        <v>171</v>
      </c>
      <c r="F2" s="2608"/>
      <c r="G2" s="1039"/>
      <c r="H2" s="1040"/>
      <c r="I2" s="1041" t="s">
        <v>793</v>
      </c>
      <c r="J2" s="2608"/>
      <c r="K2" s="2608"/>
      <c r="L2" s="2608"/>
      <c r="M2" s="2608"/>
      <c r="N2" s="2608"/>
      <c r="O2" s="2608"/>
      <c r="P2" s="2608"/>
    </row>
    <row r="3" spans="1:16" ht="15.75" thickBot="1">
      <c r="A3" s="3502" t="s">
        <v>172</v>
      </c>
      <c r="B3" s="3502"/>
      <c r="C3" s="3502"/>
      <c r="D3" s="98">
        <f>'数据-基础表'!AY6</f>
        <v>16985.07</v>
      </c>
      <c r="E3" s="98">
        <f>'数据-基础表'!AZ5</f>
        <v>42462</v>
      </c>
      <c r="F3" s="2608"/>
      <c r="G3" s="106" t="s">
        <v>794</v>
      </c>
      <c r="H3" s="102" t="s">
        <v>795</v>
      </c>
      <c r="I3" s="994">
        <f>ROUND('数据-基础表'!B3/'数据-基础表'!A3,2)</f>
        <v>2.5</v>
      </c>
      <c r="J3" s="2608"/>
      <c r="K3" s="2608"/>
      <c r="L3" s="2608"/>
      <c r="M3" s="2608"/>
      <c r="N3" s="2608"/>
      <c r="O3" s="2608"/>
      <c r="P3" s="2608"/>
    </row>
    <row r="4" spans="1:16" ht="15">
      <c r="A4" s="3503"/>
      <c r="B4" s="3504"/>
      <c r="C4" s="3505"/>
      <c r="D4" s="99" t="s">
        <v>170</v>
      </c>
      <c r="E4" s="100" t="s">
        <v>171</v>
      </c>
      <c r="F4" s="2608"/>
      <c r="G4" s="119"/>
      <c r="H4" s="102" t="s">
        <v>796</v>
      </c>
      <c r="I4" s="994">
        <f>ROUND(SUMIF('数据-基础表'!I9:AS9,"地上",'数据-基础表'!I5:AS5)/'数据-基础表'!A3,2)</f>
        <v>2.5</v>
      </c>
      <c r="J4" s="2608"/>
      <c r="K4" s="2608"/>
      <c r="L4" s="2608"/>
      <c r="M4" s="2608"/>
      <c r="N4" s="2608"/>
      <c r="O4" s="2608"/>
      <c r="P4" s="2608"/>
    </row>
    <row r="5" spans="1:16">
      <c r="A5" s="101" t="s">
        <v>173</v>
      </c>
      <c r="B5" s="3506" t="s">
        <v>196</v>
      </c>
      <c r="C5" s="3506"/>
      <c r="D5" s="102">
        <f>ROUND($D$3*E5/$E$3,2)</f>
        <v>0</v>
      </c>
      <c r="E5" s="103">
        <f>SUMIF('数据-基础表'!$11:$11,"住宅",'数据-基础表'!$5:$5)</f>
        <v>0</v>
      </c>
      <c r="F5" s="2608"/>
      <c r="G5" s="106" t="s">
        <v>797</v>
      </c>
      <c r="H5" s="102" t="s">
        <v>795</v>
      </c>
      <c r="I5" s="994">
        <f>ROUND(E31/D31,2)</f>
        <v>2.5</v>
      </c>
      <c r="J5" s="2608"/>
      <c r="K5" s="2608"/>
      <c r="L5" s="2608"/>
      <c r="M5" s="2608"/>
      <c r="N5" s="2608"/>
      <c r="O5" s="2608"/>
      <c r="P5" s="2608"/>
    </row>
    <row r="6" spans="1:16" ht="15" thickBot="1">
      <c r="A6" s="104"/>
      <c r="B6" s="3506" t="s">
        <v>174</v>
      </c>
      <c r="C6" s="3506"/>
      <c r="D6" s="102">
        <f>ROUND($D$3*E6/$E$3,2)</f>
        <v>16985.07</v>
      </c>
      <c r="E6" s="103">
        <f>E3-E5</f>
        <v>42462</v>
      </c>
      <c r="F6" s="2608"/>
      <c r="G6" s="119"/>
      <c r="H6" s="102" t="s">
        <v>796</v>
      </c>
      <c r="I6" s="994">
        <f>ROUND(F31/D31,2)</f>
        <v>2.5</v>
      </c>
      <c r="J6" s="2608"/>
      <c r="K6" s="2608"/>
      <c r="L6" s="2608"/>
      <c r="M6" s="2608"/>
      <c r="N6" s="2608"/>
      <c r="O6" s="2608"/>
      <c r="P6" s="2608"/>
    </row>
    <row r="7" spans="1:16" ht="15">
      <c r="A7" s="3498"/>
      <c r="B7" s="3499"/>
      <c r="C7" s="3500"/>
      <c r="D7" s="99" t="s">
        <v>170</v>
      </c>
      <c r="E7" s="105" t="s">
        <v>197</v>
      </c>
      <c r="F7" s="2608"/>
      <c r="G7" s="999" t="s">
        <v>1178</v>
      </c>
      <c r="H7" s="1000"/>
      <c r="I7" s="127"/>
      <c r="J7" s="2608"/>
      <c r="K7" s="2608"/>
      <c r="L7" s="2608"/>
      <c r="M7" s="2608"/>
      <c r="N7" s="2608"/>
      <c r="O7" s="2608"/>
      <c r="P7" s="2608"/>
    </row>
    <row r="8" spans="1:16">
      <c r="A8" s="101" t="s">
        <v>175</v>
      </c>
      <c r="B8" s="106" t="s">
        <v>176</v>
      </c>
      <c r="C8" s="102" t="s">
        <v>177</v>
      </c>
      <c r="D8" s="102">
        <f t="shared" ref="D8:D15" si="0">ROUND($D$3*E8/$E$3,2)</f>
        <v>16917.13</v>
      </c>
      <c r="E8" s="107">
        <f>SUMIF('数据-基础表'!BB10:BK10,"地上",'数据-基础表'!BB5:BK5)</f>
        <v>42292.15</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6" t="s">
        <v>1682</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6" t="s">
        <v>1689</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16917.13</v>
      </c>
      <c r="E16" s="111">
        <f>SUM(E8:E15)</f>
        <v>42292.15</v>
      </c>
      <c r="F16" s="2608"/>
      <c r="G16" s="2608"/>
      <c r="H16" s="882" t="s">
        <v>185</v>
      </c>
      <c r="I16" s="883"/>
      <c r="J16" s="1631"/>
      <c r="K16" s="3492" t="s">
        <v>1847</v>
      </c>
      <c r="L16" s="3493"/>
      <c r="M16" s="3493"/>
      <c r="N16" s="3493"/>
      <c r="O16" s="3493"/>
      <c r="P16" s="3494"/>
    </row>
    <row r="17" spans="1:19" ht="15">
      <c r="A17" s="112" t="s">
        <v>182</v>
      </c>
      <c r="B17" s="113" t="s">
        <v>183</v>
      </c>
      <c r="C17" s="1884" t="s">
        <v>1668</v>
      </c>
      <c r="D17" s="99" t="s">
        <v>170</v>
      </c>
      <c r="E17" s="115" t="s">
        <v>171</v>
      </c>
      <c r="F17" s="116"/>
      <c r="G17" s="1156"/>
      <c r="H17" s="884" t="s">
        <v>184</v>
      </c>
      <c r="I17" s="885" t="s">
        <v>1667</v>
      </c>
      <c r="J17" s="1631"/>
      <c r="K17" s="3495" t="s">
        <v>1848</v>
      </c>
      <c r="L17" s="3496"/>
      <c r="M17" s="3497"/>
      <c r="N17" s="3495" t="s">
        <v>1849</v>
      </c>
      <c r="O17" s="3496"/>
      <c r="P17" s="3497"/>
      <c r="R17" s="1885" t="s">
        <v>1666</v>
      </c>
      <c r="S17" s="125"/>
    </row>
    <row r="18" spans="1:19" ht="15">
      <c r="A18" s="108"/>
      <c r="B18" s="119"/>
      <c r="C18" s="96"/>
      <c r="D18" s="1629"/>
      <c r="E18" s="120" t="s">
        <v>186</v>
      </c>
      <c r="F18" s="121" t="s">
        <v>187</v>
      </c>
      <c r="G18" s="1157" t="s">
        <v>188</v>
      </c>
      <c r="H18" s="886" t="s">
        <v>189</v>
      </c>
      <c r="I18" s="887" t="s">
        <v>190</v>
      </c>
      <c r="J18" s="1631"/>
      <c r="K18" s="2061" t="s">
        <v>1850</v>
      </c>
      <c r="L18" s="2062" t="s">
        <v>1851</v>
      </c>
      <c r="M18" s="2063" t="s">
        <v>1852</v>
      </c>
      <c r="N18" s="2061" t="s">
        <v>1850</v>
      </c>
      <c r="O18" s="2062" t="s">
        <v>1851</v>
      </c>
      <c r="P18" s="2063" t="s">
        <v>1852</v>
      </c>
      <c r="R18" s="1886" t="s">
        <v>1664</v>
      </c>
      <c r="S18" s="1886" t="s">
        <v>1665</v>
      </c>
    </row>
    <row r="19" spans="1:19">
      <c r="A19" s="123"/>
      <c r="B19" s="106" t="s">
        <v>191</v>
      </c>
      <c r="C19" s="2308" t="s">
        <v>3673</v>
      </c>
      <c r="D19" s="102">
        <f t="shared" ref="D19:D26" si="1">ROUND($D$3*E19/$E$3,2)</f>
        <v>16917.13</v>
      </c>
      <c r="E19" s="124">
        <f t="shared" ref="E19:E26" si="2">SUM(F19:G19)</f>
        <v>42292.15</v>
      </c>
      <c r="F19" s="2609">
        <f>'数据-基础表'!I13</f>
        <v>42292.15</v>
      </c>
      <c r="G19" s="2610"/>
      <c r="H19" s="888">
        <f>ROUND($D$3*I19/$E$3,2)</f>
        <v>0</v>
      </c>
      <c r="I19" s="107">
        <f>IF($I$17="自定义",P19,M19)</f>
        <v>0</v>
      </c>
      <c r="J19" s="1631"/>
      <c r="K19" s="888">
        <f t="shared" ref="K19:K26" si="3">ROUND(E$28*E19/E$27,2)</f>
        <v>0</v>
      </c>
      <c r="L19" s="102">
        <f t="shared" ref="L19:L26" si="4">ROUND(IF(COUNTIF(C19,"*住宅*")&gt;0,E$29*E19/E$32,0),2)</f>
        <v>0</v>
      </c>
      <c r="M19" s="107">
        <f>K19+L19</f>
        <v>0</v>
      </c>
      <c r="N19" s="2064"/>
      <c r="O19" s="2065"/>
      <c r="P19" s="2066">
        <f>N19+O19</f>
        <v>0</v>
      </c>
      <c r="R19" s="102">
        <f t="shared" ref="R19:S26" si="5">D19+H19</f>
        <v>16917.13</v>
      </c>
      <c r="S19" s="124">
        <f t="shared" si="5"/>
        <v>42292.15</v>
      </c>
    </row>
    <row r="20" spans="1:19">
      <c r="A20" s="123"/>
      <c r="B20" s="106" t="s">
        <v>192</v>
      </c>
      <c r="C20" s="2308"/>
      <c r="D20" s="102">
        <f t="shared" si="1"/>
        <v>0</v>
      </c>
      <c r="E20" s="124">
        <f t="shared" si="2"/>
        <v>0</v>
      </c>
      <c r="F20" s="2609"/>
      <c r="G20" s="2610"/>
      <c r="H20" s="888">
        <f t="shared" ref="H20:H26" si="6">ROUND($D$3*I20/$E$3,2)</f>
        <v>0</v>
      </c>
      <c r="I20" s="107">
        <f t="shared" ref="I20:I26" si="7">IF($I$17="自定义",P20,M20)</f>
        <v>0</v>
      </c>
      <c r="J20" s="1631"/>
      <c r="K20" s="888">
        <f t="shared" si="3"/>
        <v>0</v>
      </c>
      <c r="L20" s="102">
        <f t="shared" si="4"/>
        <v>0</v>
      </c>
      <c r="M20" s="107">
        <f t="shared" ref="M20:M26" si="8">K20+L20</f>
        <v>0</v>
      </c>
      <c r="N20" s="2064"/>
      <c r="O20" s="2065"/>
      <c r="P20" s="2066">
        <f t="shared" ref="P20:P26" si="9">N20+O20</f>
        <v>0</v>
      </c>
      <c r="R20" s="102">
        <f t="shared" si="5"/>
        <v>0</v>
      </c>
      <c r="S20" s="124">
        <f t="shared" si="5"/>
        <v>0</v>
      </c>
    </row>
    <row r="21" spans="1:19">
      <c r="A21" s="123"/>
      <c r="B21" s="106" t="s">
        <v>192</v>
      </c>
      <c r="C21" s="2308"/>
      <c r="D21" s="102">
        <f t="shared" si="1"/>
        <v>0</v>
      </c>
      <c r="E21" s="124">
        <f t="shared" si="2"/>
        <v>0</v>
      </c>
      <c r="F21" s="2609"/>
      <c r="G21" s="2610"/>
      <c r="H21" s="888">
        <f t="shared" si="6"/>
        <v>0</v>
      </c>
      <c r="I21" s="107">
        <f t="shared" si="7"/>
        <v>0</v>
      </c>
      <c r="J21" s="1631"/>
      <c r="K21" s="888">
        <f t="shared" si="3"/>
        <v>0</v>
      </c>
      <c r="L21" s="102">
        <f t="shared" si="4"/>
        <v>0</v>
      </c>
      <c r="M21" s="107">
        <f t="shared" si="8"/>
        <v>0</v>
      </c>
      <c r="N21" s="2064"/>
      <c r="O21" s="2065"/>
      <c r="P21" s="2066">
        <f t="shared" si="9"/>
        <v>0</v>
      </c>
      <c r="R21" s="102">
        <f t="shared" si="5"/>
        <v>0</v>
      </c>
      <c r="S21" s="124">
        <f t="shared" si="5"/>
        <v>0</v>
      </c>
    </row>
    <row r="22" spans="1:19">
      <c r="A22" s="123"/>
      <c r="B22" s="106" t="s">
        <v>192</v>
      </c>
      <c r="C22" s="3082"/>
      <c r="D22" s="102">
        <f t="shared" si="1"/>
        <v>0</v>
      </c>
      <c r="E22" s="124">
        <f t="shared" si="2"/>
        <v>0</v>
      </c>
      <c r="F22" s="2611"/>
      <c r="G22" s="2612"/>
      <c r="H22" s="888">
        <f t="shared" si="6"/>
        <v>0</v>
      </c>
      <c r="I22" s="107">
        <f t="shared" si="7"/>
        <v>0</v>
      </c>
      <c r="J22" s="1631"/>
      <c r="K22" s="888">
        <f t="shared" si="3"/>
        <v>0</v>
      </c>
      <c r="L22" s="102">
        <f t="shared" si="4"/>
        <v>0</v>
      </c>
      <c r="M22" s="107">
        <f t="shared" si="8"/>
        <v>0</v>
      </c>
      <c r="N22" s="2064"/>
      <c r="O22" s="2065"/>
      <c r="P22" s="2066">
        <f t="shared" si="9"/>
        <v>0</v>
      </c>
      <c r="R22" s="102">
        <f t="shared" si="5"/>
        <v>0</v>
      </c>
      <c r="S22" s="124">
        <f t="shared" si="5"/>
        <v>0</v>
      </c>
    </row>
    <row r="23" spans="1:19">
      <c r="A23" s="123"/>
      <c r="B23" s="106" t="s">
        <v>192</v>
      </c>
      <c r="C23" s="3082"/>
      <c r="D23" s="102">
        <f>ROUND($D$3*E23/$E$3,2)</f>
        <v>0</v>
      </c>
      <c r="E23" s="124">
        <f>SUM(F23:G23)</f>
        <v>0</v>
      </c>
      <c r="F23" s="2611"/>
      <c r="G23" s="2612"/>
      <c r="H23" s="888">
        <f>ROUND($D$3*I23/$E$3,2)</f>
        <v>0</v>
      </c>
      <c r="I23" s="107">
        <f t="shared" si="7"/>
        <v>0</v>
      </c>
      <c r="J23" s="1631"/>
      <c r="K23" s="888">
        <f t="shared" si="3"/>
        <v>0</v>
      </c>
      <c r="L23" s="102">
        <f t="shared" si="4"/>
        <v>0</v>
      </c>
      <c r="M23" s="107">
        <f t="shared" si="8"/>
        <v>0</v>
      </c>
      <c r="N23" s="2064"/>
      <c r="O23" s="2065"/>
      <c r="P23" s="2066">
        <f t="shared" si="9"/>
        <v>0</v>
      </c>
      <c r="R23" s="102">
        <f t="shared" si="5"/>
        <v>0</v>
      </c>
      <c r="S23" s="124">
        <f t="shared" si="5"/>
        <v>0</v>
      </c>
    </row>
    <row r="24" spans="1:19">
      <c r="A24" s="123"/>
      <c r="B24" s="106" t="s">
        <v>192</v>
      </c>
      <c r="C24" s="3082"/>
      <c r="D24" s="102">
        <f>ROUND($D$3*E24/$E$3,2)</f>
        <v>0</v>
      </c>
      <c r="E24" s="124">
        <f>SUM(F24:G24)</f>
        <v>0</v>
      </c>
      <c r="F24" s="2611"/>
      <c r="G24" s="2612"/>
      <c r="H24" s="888">
        <f>ROUND($D$3*I24/$E$3,2)</f>
        <v>0</v>
      </c>
      <c r="I24" s="107">
        <f t="shared" si="7"/>
        <v>0</v>
      </c>
      <c r="J24" s="1631"/>
      <c r="K24" s="888">
        <f t="shared" si="3"/>
        <v>0</v>
      </c>
      <c r="L24" s="102">
        <f t="shared" si="4"/>
        <v>0</v>
      </c>
      <c r="M24" s="107">
        <f t="shared" si="8"/>
        <v>0</v>
      </c>
      <c r="N24" s="2064"/>
      <c r="O24" s="2065"/>
      <c r="P24" s="2066">
        <f t="shared" si="9"/>
        <v>0</v>
      </c>
      <c r="R24" s="102">
        <f t="shared" si="5"/>
        <v>0</v>
      </c>
      <c r="S24" s="124">
        <f t="shared" si="5"/>
        <v>0</v>
      </c>
    </row>
    <row r="25" spans="1:19">
      <c r="A25" s="123"/>
      <c r="B25" s="106" t="s">
        <v>192</v>
      </c>
      <c r="C25" s="3082"/>
      <c r="D25" s="102">
        <f t="shared" si="1"/>
        <v>0</v>
      </c>
      <c r="E25" s="124">
        <f t="shared" si="2"/>
        <v>0</v>
      </c>
      <c r="F25" s="2611"/>
      <c r="G25" s="2612"/>
      <c r="H25" s="101">
        <f t="shared" si="6"/>
        <v>0</v>
      </c>
      <c r="I25" s="107">
        <f t="shared" si="7"/>
        <v>0</v>
      </c>
      <c r="J25" s="1631"/>
      <c r="K25" s="888">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43.5" thickBot="1">
      <c r="A27" s="123"/>
      <c r="B27" s="102"/>
      <c r="C27" s="118" t="s">
        <v>181</v>
      </c>
      <c r="D27" s="124">
        <f>SUM(D19:D26)</f>
        <v>16917.13</v>
      </c>
      <c r="E27" s="129">
        <f>IF(SUM(E19:E26)='数据-基础表'!BA5,SUM(E19:E26),IF(F27="地上面积有误","面积有误","地下面积有误"))</f>
        <v>42292.15</v>
      </c>
      <c r="F27" s="124">
        <f>IF(SUM(F19:F26)=E8,SUM(F19:F26),"地上面积有误")</f>
        <v>42292.15</v>
      </c>
      <c r="G27" s="103">
        <f>SUM(G19:G26)</f>
        <v>0</v>
      </c>
      <c r="H27" s="889">
        <f>SUM(H19:H26)</f>
        <v>0</v>
      </c>
      <c r="I27" s="890">
        <f>SUM(I19:I26)</f>
        <v>0</v>
      </c>
      <c r="J27" s="1631"/>
      <c r="K27" s="2070">
        <f t="shared" ref="K27:P27" si="10">SUM(K19:K26)</f>
        <v>0</v>
      </c>
      <c r="L27" s="2071">
        <f t="shared" si="10"/>
        <v>0</v>
      </c>
      <c r="M27" s="2072">
        <f t="shared" si="10"/>
        <v>0</v>
      </c>
      <c r="N27" s="2070">
        <f t="shared" si="10"/>
        <v>0</v>
      </c>
      <c r="O27" s="2071">
        <f t="shared" si="10"/>
        <v>0</v>
      </c>
      <c r="P27" s="194">
        <f t="shared" si="10"/>
        <v>0</v>
      </c>
      <c r="R27" s="1890" t="str">
        <f>IF(SUM(R19:R26)=$D$3,SUM(R19:R26),SUM(R19:R26)&amp;"误差"&amp;ROUND(SUM(R19:R26)-$D$3,2))</f>
        <v>16917.13误差-67.94</v>
      </c>
      <c r="S27" s="102" t="str">
        <f>IF(SUM(S19:S26)=$E$3,SUM(S19:S26),SUM(S19:S26)&amp;"误差"&amp;ROUND(SUM(S19:S26)-E3,2))</f>
        <v>42292.15误差-169.85</v>
      </c>
    </row>
    <row r="28" spans="1:19">
      <c r="A28" s="123"/>
      <c r="B28" s="106" t="s">
        <v>193</v>
      </c>
      <c r="C28" s="125" t="s">
        <v>194</v>
      </c>
      <c r="D28" s="102">
        <f>ROUND($D$3*E28/$E$3,2)</f>
        <v>0</v>
      </c>
      <c r="E28" s="124">
        <f>SUM(F28:G28)</f>
        <v>0</v>
      </c>
      <c r="F28" s="125">
        <f>'数据-基础表'!BQ5+'数据-基础表'!BS5</f>
        <v>0</v>
      </c>
      <c r="G28" s="130">
        <f>'数据-基础表'!BR5+'数据-基础表'!BT5</f>
        <v>0</v>
      </c>
      <c r="H28" s="2608"/>
      <c r="I28" s="2608"/>
      <c r="J28" s="2608"/>
      <c r="K28" s="2608"/>
      <c r="L28" s="2608"/>
      <c r="M28" s="2608"/>
      <c r="N28" s="2608"/>
      <c r="O28" s="2608"/>
      <c r="P28" s="2608"/>
    </row>
    <row r="29" spans="1:19">
      <c r="A29" s="123"/>
      <c r="B29" s="106" t="s">
        <v>193</v>
      </c>
      <c r="C29" s="1898" t="s">
        <v>1675</v>
      </c>
      <c r="D29" s="102">
        <f>ROUND($D$3*E29/$E$3,2)</f>
        <v>67.94</v>
      </c>
      <c r="E29" s="124">
        <f>SUM(F29:G29)</f>
        <v>169.85</v>
      </c>
      <c r="F29" s="125">
        <f>'数据-基础表'!BM5+'数据-基础表'!BO5</f>
        <v>169.85</v>
      </c>
      <c r="G29" s="111">
        <f>'数据-基础表'!BN5+'数据-基础表'!BP5</f>
        <v>0</v>
      </c>
      <c r="H29" s="2608"/>
      <c r="I29" s="2608"/>
      <c r="J29" s="2608"/>
      <c r="K29" s="2608"/>
      <c r="L29" s="2608"/>
      <c r="M29" s="2608"/>
      <c r="N29" s="2608"/>
      <c r="O29" s="2608"/>
      <c r="P29" s="2608"/>
    </row>
    <row r="30" spans="1:19">
      <c r="A30" s="123"/>
      <c r="B30" s="102"/>
      <c r="C30" s="131" t="s">
        <v>181</v>
      </c>
      <c r="D30" s="124">
        <f>SUM(D28:D29)</f>
        <v>67.94</v>
      </c>
      <c r="E30" s="124">
        <f>SUM(E28:E29)</f>
        <v>169.85</v>
      </c>
      <c r="F30" s="124">
        <f>SUM(F28:F29)</f>
        <v>169.85</v>
      </c>
      <c r="G30" s="103">
        <f>SUM(G28:G29)</f>
        <v>0</v>
      </c>
      <c r="H30" s="2608"/>
      <c r="I30" s="2608"/>
      <c r="J30" s="2608"/>
      <c r="K30" s="2608"/>
      <c r="L30" s="2608"/>
      <c r="M30" s="2608"/>
      <c r="N30" s="2608"/>
      <c r="O30" s="2608"/>
      <c r="P30" s="2608"/>
    </row>
    <row r="31" spans="1:19" ht="32.25" customHeight="1" thickBot="1">
      <c r="A31" s="1158"/>
      <c r="B31" s="1159" t="s">
        <v>195</v>
      </c>
      <c r="C31" s="1915" t="s">
        <v>1677</v>
      </c>
      <c r="D31" s="1160">
        <f>D27+D30</f>
        <v>16985.07</v>
      </c>
      <c r="E31" s="1160">
        <f>E27+E30</f>
        <v>42462</v>
      </c>
      <c r="F31" s="1161">
        <f>F27+F30</f>
        <v>42462</v>
      </c>
      <c r="G31" s="1162">
        <f>G27+G30</f>
        <v>0</v>
      </c>
      <c r="H31" s="2608"/>
      <c r="I31" s="2608"/>
      <c r="J31" s="2608"/>
      <c r="K31" s="2608"/>
      <c r="L31" s="2608"/>
      <c r="M31" s="2608"/>
      <c r="N31" s="2608"/>
      <c r="O31" s="2608"/>
      <c r="P31" s="2608"/>
    </row>
    <row r="32" spans="1:19">
      <c r="A32" s="1631"/>
      <c r="B32" s="1927" t="s">
        <v>1676</v>
      </c>
      <c r="C32" s="2085"/>
      <c r="D32" s="119"/>
      <c r="E32" s="119">
        <f>SUMIF(C19:C26,"*住宅*",E19:E26)</f>
        <v>0</v>
      </c>
      <c r="F32" s="119"/>
      <c r="G32" s="119"/>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D30" activePane="bottomRight" state="frozen"/>
      <selection pane="topRight" activeCell="D1" sqref="D1"/>
      <selection pane="bottomLeft" activeCell="A4" sqref="A4"/>
      <selection pane="bottomRight" activeCell="H47" sqref="H47"/>
    </sheetView>
  </sheetViews>
  <sheetFormatPr defaultColWidth="13.75" defaultRowHeight="12.75"/>
  <cols>
    <col min="1" max="1" width="20.875" style="1053" customWidth="1"/>
    <col min="2" max="3" width="12" style="1042" customWidth="1"/>
    <col min="4" max="4" width="9.125" style="1054" customWidth="1"/>
    <col min="5" max="5" width="15" style="1042" bestFit="1" customWidth="1"/>
    <col min="6" max="10" width="8.875" style="1042" customWidth="1"/>
    <col min="11" max="12" width="12.375" style="1055" customWidth="1"/>
    <col min="13" max="13" width="8.625" style="1042" customWidth="1"/>
    <col min="14" max="14" width="9.75" style="1042" customWidth="1"/>
    <col min="15" max="16" width="9.625" style="1042" customWidth="1"/>
    <col min="17" max="17" width="10.875" style="1042" customWidth="1"/>
    <col min="18" max="19" width="12.5" style="1042" customWidth="1"/>
    <col min="20" max="20" width="12.125" style="1042" customWidth="1"/>
    <col min="21" max="21" width="7.5" style="1042" customWidth="1"/>
    <col min="22" max="22" width="6.375" style="1042" customWidth="1"/>
    <col min="23" max="24" width="6.75" style="1042" customWidth="1"/>
    <col min="25" max="25" width="8.125" style="1042" customWidth="1"/>
    <col min="26" max="30" width="6.75" style="1042" customWidth="1"/>
    <col min="31" max="31" width="6.5" style="1042" customWidth="1"/>
    <col min="32" max="34" width="7.25" style="1042" customWidth="1"/>
    <col min="35" max="39" width="8" style="1042" customWidth="1"/>
    <col min="40" max="41" width="13.75" style="237"/>
    <col min="42" max="42" width="13.75" style="237" customWidth="1"/>
    <col min="43" max="83" width="13.75" style="237"/>
    <col min="84" max="16384" width="13.75" style="1042"/>
  </cols>
  <sheetData>
    <row r="1" spans="1:83" ht="19.5" thickBot="1">
      <c r="A1" s="132" t="s">
        <v>200</v>
      </c>
      <c r="B1" s="287"/>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4" customFormat="1" ht="15.75" thickBot="1">
      <c r="A2" s="133" t="s">
        <v>201</v>
      </c>
      <c r="B2" s="1923">
        <f>项目基本情况!D3</f>
        <v>45817</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4" customFormat="1" ht="15" thickBot="1">
      <c r="A3" s="1045"/>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4" customFormat="1" ht="15" thickBot="1">
      <c r="A4" s="134" t="s">
        <v>800</v>
      </c>
      <c r="B4" s="136"/>
      <c r="C4" s="137"/>
      <c r="D4" s="1046"/>
      <c r="E4" s="1047" t="s">
        <v>801</v>
      </c>
      <c r="F4" s="137"/>
      <c r="G4" s="137"/>
      <c r="H4" s="137"/>
      <c r="I4" s="137"/>
      <c r="J4" s="138"/>
      <c r="K4" s="1048"/>
      <c r="L4" s="1049"/>
      <c r="M4" s="137"/>
      <c r="N4" s="1047" t="s">
        <v>802</v>
      </c>
      <c r="O4" s="137"/>
      <c r="P4" s="137"/>
      <c r="Q4" s="137"/>
      <c r="R4" s="137"/>
      <c r="S4" s="138"/>
      <c r="T4" s="891" t="str">
        <f>'数据-汇总表'!I17</f>
        <v>按面积比例</v>
      </c>
      <c r="U4" s="136" t="s">
        <v>803</v>
      </c>
      <c r="V4" s="137"/>
      <c r="W4" s="137"/>
      <c r="X4" s="137"/>
      <c r="Y4" s="138"/>
      <c r="Z4" s="114" t="s">
        <v>804</v>
      </c>
      <c r="AA4" s="114"/>
      <c r="AB4" s="114"/>
      <c r="AC4" s="114"/>
      <c r="AD4" s="114"/>
      <c r="AE4" s="112" t="s">
        <v>805</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0" customFormat="1" ht="54">
      <c r="A5" s="1889" t="s">
        <v>1679</v>
      </c>
      <c r="B5" s="140" t="s">
        <v>202</v>
      </c>
      <c r="C5" s="141" t="s">
        <v>203</v>
      </c>
      <c r="D5" s="142" t="s">
        <v>204</v>
      </c>
      <c r="E5" s="143" t="s">
        <v>205</v>
      </c>
      <c r="F5" s="144" t="s">
        <v>206</v>
      </c>
      <c r="G5" s="143" t="s">
        <v>207</v>
      </c>
      <c r="H5" s="143" t="s">
        <v>798</v>
      </c>
      <c r="I5" s="143" t="s">
        <v>799</v>
      </c>
      <c r="J5" s="145" t="s">
        <v>208</v>
      </c>
      <c r="K5" s="146" t="s">
        <v>209</v>
      </c>
      <c r="L5" s="147" t="s">
        <v>210</v>
      </c>
      <c r="M5" s="148" t="s">
        <v>211</v>
      </c>
      <c r="N5" s="1056" t="s">
        <v>3230</v>
      </c>
      <c r="O5" s="147" t="s">
        <v>212</v>
      </c>
      <c r="P5" s="149" t="s">
        <v>213</v>
      </c>
      <c r="Q5" s="150" t="s">
        <v>214</v>
      </c>
      <c r="R5" s="151" t="s">
        <v>215</v>
      </c>
      <c r="S5" s="2073" t="s">
        <v>1853</v>
      </c>
      <c r="T5" s="152" t="s">
        <v>216</v>
      </c>
      <c r="U5" s="153" t="s">
        <v>217</v>
      </c>
      <c r="V5" s="143" t="s">
        <v>218</v>
      </c>
      <c r="W5" s="143" t="s">
        <v>219</v>
      </c>
      <c r="X5" s="1508"/>
      <c r="Y5" s="154" t="s">
        <v>220</v>
      </c>
      <c r="Z5" s="155" t="s">
        <v>221</v>
      </c>
      <c r="AA5" s="143" t="s">
        <v>218</v>
      </c>
      <c r="AB5" s="143" t="s">
        <v>219</v>
      </c>
      <c r="AC5" s="1509"/>
      <c r="AD5" s="156" t="s">
        <v>220</v>
      </c>
      <c r="AE5" s="1" t="s">
        <v>806</v>
      </c>
      <c r="AF5" s="143" t="s">
        <v>222</v>
      </c>
      <c r="AG5" s="154" t="s">
        <v>223</v>
      </c>
      <c r="AH5" s="1509" t="s">
        <v>1678</v>
      </c>
      <c r="AI5" s="155" t="s">
        <v>1647</v>
      </c>
      <c r="AJ5" s="155" t="s">
        <v>224</v>
      </c>
      <c r="AK5" s="143" t="s">
        <v>225</v>
      </c>
      <c r="AL5" s="143" t="s">
        <v>226</v>
      </c>
      <c r="AM5" s="156" t="s">
        <v>227</v>
      </c>
      <c r="AN5" s="1948" t="s">
        <v>1725</v>
      </c>
      <c r="AO5" s="2626"/>
      <c r="AP5" s="2613" t="s">
        <v>2252</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4" customFormat="1" ht="14.25">
      <c r="A6" s="1887" t="str">
        <f>'数据-汇总表'!C19</f>
        <v>商务金融</v>
      </c>
      <c r="B6" s="1922" t="str">
        <f>IF(A6=0,"","经营性")</f>
        <v>经营性</v>
      </c>
      <c r="C6" s="3413" t="s">
        <v>2726</v>
      </c>
      <c r="D6" s="1893">
        <f>SUMIF(项目基本情况!C$15:I$15,C6,项目基本情况!C$18:I$18)</f>
        <v>40</v>
      </c>
      <c r="E6" s="1894">
        <f>IF(B6="","",SUMIF(项目基本情况!C$15:I$15,C6,项目基本情况!C$17:I$17))</f>
        <v>56155</v>
      </c>
      <c r="F6" s="158">
        <f>SUMIF(项目基本情况!C$15:I$15,C6,项目基本情况!C$19:I$19)</f>
        <v>28.32</v>
      </c>
      <c r="G6" s="159">
        <f t="shared" ref="G6:G13" si="0">IF(ISERROR(ROUND(POWER(1+H6,D6-F6)*(POWER(1+H6,F6)-1)/(POWER(1+H6,D6)-1),3)),0,ROUND(POWER(1+H6,D6-F6)*(POWER(1+H6,F6)-1)/(POWER(1+H6,D6)-1),3))</f>
        <v>0.873</v>
      </c>
      <c r="H6" s="2309">
        <v>0.05</v>
      </c>
      <c r="I6" s="2309">
        <v>0.06</v>
      </c>
      <c r="J6" s="160">
        <v>7.0000000000000007E-2</v>
      </c>
      <c r="K6" s="163">
        <f>SUMIF('数据-汇总表'!C$19:C$33,'数据-取费表'!A6,'数据-汇总表'!E$19:E$33)</f>
        <v>42292.15</v>
      </c>
      <c r="L6" s="3415">
        <v>2400</v>
      </c>
      <c r="M6" s="161">
        <f t="shared" ref="M6:M14" si="1">ROUND(K6*L6/10000,0)</f>
        <v>10150</v>
      </c>
      <c r="N6" s="2311">
        <v>0</v>
      </c>
      <c r="O6" s="161">
        <f>IF($N$5="成新度","——",ROUND(M6*N6,0))</f>
        <v>0</v>
      </c>
      <c r="P6" s="162">
        <f>IF($N$5="成新度","——",M6-O6)</f>
        <v>10150</v>
      </c>
      <c r="Q6" s="2312">
        <v>0.1</v>
      </c>
      <c r="R6" s="163">
        <f>SUMIF('数据-汇总表'!C$19:C$33,A6,'数据-汇总表'!R$19:R$33)</f>
        <v>16917.13</v>
      </c>
      <c r="S6" s="122">
        <f>IF('数据-汇总表'!$I$17="按面积比例",SUMIF('数据-汇总表'!C$19:C$33,A6,'数据-汇总表'!K$19:K$33),SUMIF('数据-汇总表'!C$19:C$33,A6,'数据-汇总表'!N$19:N$33))</f>
        <v>0</v>
      </c>
      <c r="T6" s="1825" t="str">
        <f>IF($T$4="按面积比例",IF(ISERROR(ROUND($M$14*S6/S$16,0)),"0",ROUND($M$14*S6/S$16,0)),"需自行计算录入")</f>
        <v>0</v>
      </c>
      <c r="U6" s="164">
        <v>1.2</v>
      </c>
      <c r="V6" s="165">
        <v>0.02</v>
      </c>
      <c r="W6" s="165">
        <v>0.15</v>
      </c>
      <c r="X6" s="1906"/>
      <c r="Y6" s="166">
        <v>1</v>
      </c>
      <c r="Z6" s="167"/>
      <c r="AA6" s="160"/>
      <c r="AB6" s="160"/>
      <c r="AC6" s="1909"/>
      <c r="AD6" s="168"/>
      <c r="AE6" s="886">
        <f ca="1">IF(AN6="",0,SUMIF(INDIRECT("'"&amp;AN6&amp;"'"&amp;"!E:E"),$AE$5,INDIRECT("'"&amp;AN6&amp;"'"&amp;"!F:F")))</f>
        <v>26.32</v>
      </c>
      <c r="AF6" s="127"/>
      <c r="AG6" s="1051">
        <f>IF(AF6="",0,AE6-AF6)</f>
        <v>0</v>
      </c>
      <c r="AH6" s="127"/>
      <c r="AI6" s="171">
        <v>365</v>
      </c>
      <c r="AJ6" s="127"/>
      <c r="AK6" s="172">
        <v>2E-3</v>
      </c>
      <c r="AL6" s="173">
        <v>1E-3</v>
      </c>
      <c r="AM6" s="2320">
        <v>0.01</v>
      </c>
      <c r="AN6" s="1122" t="s">
        <v>3670</v>
      </c>
      <c r="AO6" s="2608"/>
      <c r="AP6" s="96">
        <f>ROUND(1-1/(1+H6)^F6,3)</f>
        <v>0.749</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4" customFormat="1" ht="14.25" hidden="1">
      <c r="A7" s="1887">
        <f>'数据-汇总表'!C20</f>
        <v>0</v>
      </c>
      <c r="B7" s="1922" t="str">
        <f t="shared" ref="B7:B13" si="2">IF(A7=0,"","经营性")</f>
        <v/>
      </c>
      <c r="C7" s="157"/>
      <c r="D7" s="1893">
        <f>SUMIF(项目基本情况!C$15:I$15,C7,项目基本情况!C$18:I$18)</f>
        <v>0</v>
      </c>
      <c r="E7" s="1894"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f t="shared" ref="O7:O14" si="3">IF($N$5="成新度","——",ROUND(M7*N7,0))</f>
        <v>0</v>
      </c>
      <c r="P7" s="162">
        <f t="shared" ref="P7:P14" si="4">IF($N$5="成新度","——",M7-O7)</f>
        <v>0</v>
      </c>
      <c r="Q7" s="2312"/>
      <c r="R7" s="163">
        <f>SUMIF('数据-汇总表'!C$19:C$33,A7,'数据-汇总表'!R$19:R$33)</f>
        <v>0</v>
      </c>
      <c r="S7" s="122">
        <f>IF('数据-汇总表'!$I$17="按面积比例",SUMIF('数据-汇总表'!C$19:C$33,A7,'数据-汇总表'!K$19:K$33),SUMIF('数据-汇总表'!C$19:C$33,A7,'数据-汇总表'!N$19:N$33))</f>
        <v>0</v>
      </c>
      <c r="T7" s="1825" t="str">
        <f t="shared" ref="T7:T13" si="5">IF($T$4="按面积比例",IF(ISERROR(ROUND($M$14*S7/S$16,0)),"0",ROUND($M$14*S7/S$16,0)),"需自行计算录入")</f>
        <v>0</v>
      </c>
      <c r="U7" s="164"/>
      <c r="V7" s="165"/>
      <c r="W7" s="165"/>
      <c r="X7" s="1906"/>
      <c r="Y7" s="166"/>
      <c r="Z7" s="167"/>
      <c r="AA7" s="160"/>
      <c r="AB7" s="160"/>
      <c r="AC7" s="1909"/>
      <c r="AD7" s="168"/>
      <c r="AE7" s="886">
        <f t="shared" ref="AE7:AE13" ca="1" si="6">IF(AN7="",0,SUMIF(INDIRECT("'"&amp;AN7&amp;"'"&amp;"!E:E"),$AE$5,INDIRECT("'"&amp;AN7&amp;"'"&amp;"!F:F")))</f>
        <v>0</v>
      </c>
      <c r="AF7" s="127"/>
      <c r="AG7" s="1051">
        <f t="shared" ref="AG7:AG13" si="7">IF(AF7="",0,AE7-AF7)</f>
        <v>0</v>
      </c>
      <c r="AH7" s="127"/>
      <c r="AI7" s="171"/>
      <c r="AJ7" s="127"/>
      <c r="AK7" s="172"/>
      <c r="AL7" s="173"/>
      <c r="AM7" s="2320"/>
      <c r="AN7" s="1122"/>
      <c r="AO7" s="2608"/>
      <c r="AP7" s="96">
        <f t="shared" ref="AP7:AP13" si="8">ROUND(1-1/(1+H7)^F7,3)</f>
        <v>0</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4" customFormat="1" ht="14.25" hidden="1">
      <c r="A8" s="1887">
        <f>'数据-汇总表'!C21</f>
        <v>0</v>
      </c>
      <c r="B8" s="1922" t="str">
        <f t="shared" si="2"/>
        <v/>
      </c>
      <c r="C8" s="157"/>
      <c r="D8" s="1893">
        <f>SUMIF(项目基本情况!C$15:I$15,C8,项目基本情况!C$18:I$18)</f>
        <v>0</v>
      </c>
      <c r="E8" s="1894"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5" t="str">
        <f t="shared" si="5"/>
        <v>0</v>
      </c>
      <c r="U8" s="164"/>
      <c r="V8" s="165"/>
      <c r="W8" s="165"/>
      <c r="X8" s="1906"/>
      <c r="Y8" s="166"/>
      <c r="Z8" s="167"/>
      <c r="AA8" s="160"/>
      <c r="AB8" s="160"/>
      <c r="AC8" s="1909"/>
      <c r="AD8" s="168"/>
      <c r="AE8" s="886">
        <f t="shared" ca="1" si="6"/>
        <v>0</v>
      </c>
      <c r="AF8" s="127"/>
      <c r="AG8" s="1051">
        <f t="shared" si="7"/>
        <v>0</v>
      </c>
      <c r="AH8" s="127"/>
      <c r="AI8" s="171"/>
      <c r="AJ8" s="127"/>
      <c r="AK8" s="172"/>
      <c r="AL8" s="173"/>
      <c r="AM8" s="2320"/>
      <c r="AN8" s="1122"/>
      <c r="AO8" s="2608"/>
      <c r="AP8" s="96">
        <f t="shared" si="8"/>
        <v>0</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4" customFormat="1" ht="14.25" hidden="1">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t="str">
        <f t="shared" si="5"/>
        <v>0</v>
      </c>
      <c r="U9" s="164"/>
      <c r="V9" s="165"/>
      <c r="W9" s="165"/>
      <c r="X9" s="1906"/>
      <c r="Y9" s="166"/>
      <c r="Z9" s="167"/>
      <c r="AA9" s="160"/>
      <c r="AB9" s="160"/>
      <c r="AC9" s="1909"/>
      <c r="AD9" s="168"/>
      <c r="AE9" s="886">
        <f t="shared" ca="1" si="6"/>
        <v>0</v>
      </c>
      <c r="AF9" s="127"/>
      <c r="AG9" s="1051">
        <f t="shared" si="7"/>
        <v>0</v>
      </c>
      <c r="AH9" s="127"/>
      <c r="AI9" s="171"/>
      <c r="AJ9" s="127"/>
      <c r="AK9" s="172"/>
      <c r="AL9" s="173"/>
      <c r="AM9" s="2320"/>
      <c r="AN9" s="1122"/>
      <c r="AO9" s="2608"/>
      <c r="AP9" s="96">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4" customFormat="1" ht="14.25" hidden="1">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t="str">
        <f t="shared" si="5"/>
        <v>0</v>
      </c>
      <c r="U10" s="164"/>
      <c r="V10" s="165"/>
      <c r="W10" s="165"/>
      <c r="X10" s="1906"/>
      <c r="Y10" s="166"/>
      <c r="Z10" s="167"/>
      <c r="AA10" s="160"/>
      <c r="AB10" s="160"/>
      <c r="AC10" s="1909"/>
      <c r="AD10" s="168"/>
      <c r="AE10" s="886">
        <f t="shared" ca="1" si="6"/>
        <v>0</v>
      </c>
      <c r="AF10" s="127"/>
      <c r="AG10" s="1051">
        <f t="shared" si="7"/>
        <v>0</v>
      </c>
      <c r="AH10" s="127"/>
      <c r="AI10" s="171"/>
      <c r="AJ10" s="127"/>
      <c r="AK10" s="172"/>
      <c r="AL10" s="173"/>
      <c r="AM10" s="2320"/>
      <c r="AN10" s="1122"/>
      <c r="AO10" s="2608"/>
      <c r="AP10" s="96">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4" customFormat="1" ht="14.25" hidden="1">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t="str">
        <f t="shared" si="5"/>
        <v>0</v>
      </c>
      <c r="U11" s="169"/>
      <c r="V11" s="165"/>
      <c r="W11" s="160"/>
      <c r="X11" s="1909"/>
      <c r="Y11" s="166"/>
      <c r="Z11" s="178"/>
      <c r="AA11" s="160"/>
      <c r="AB11" s="160"/>
      <c r="AC11" s="1909"/>
      <c r="AD11" s="168"/>
      <c r="AE11" s="886">
        <f t="shared" ca="1" si="6"/>
        <v>0</v>
      </c>
      <c r="AF11" s="127"/>
      <c r="AG11" s="1051">
        <f t="shared" si="7"/>
        <v>0</v>
      </c>
      <c r="AH11" s="127"/>
      <c r="AI11" s="171"/>
      <c r="AJ11" s="127"/>
      <c r="AK11" s="172"/>
      <c r="AL11" s="173"/>
      <c r="AM11" s="2320"/>
      <c r="AN11" s="1122"/>
      <c r="AO11" s="2608"/>
      <c r="AP11" s="96">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4" customFormat="1" ht="14.25" hidden="1">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t="str">
        <f t="shared" si="5"/>
        <v>0</v>
      </c>
      <c r="U12" s="169"/>
      <c r="V12" s="165"/>
      <c r="W12" s="160"/>
      <c r="X12" s="1909"/>
      <c r="Y12" s="166"/>
      <c r="Z12" s="178"/>
      <c r="AA12" s="160"/>
      <c r="AB12" s="160"/>
      <c r="AC12" s="1909"/>
      <c r="AD12" s="168"/>
      <c r="AE12" s="886">
        <f t="shared" ca="1" si="6"/>
        <v>0</v>
      </c>
      <c r="AF12" s="127"/>
      <c r="AG12" s="1051">
        <f t="shared" si="7"/>
        <v>0</v>
      </c>
      <c r="AH12" s="127"/>
      <c r="AI12" s="171"/>
      <c r="AJ12" s="127"/>
      <c r="AK12" s="172"/>
      <c r="AL12" s="173"/>
      <c r="AM12" s="2320"/>
      <c r="AN12" s="1122"/>
      <c r="AO12" s="2608"/>
      <c r="AP12" s="96">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4" customFormat="1" ht="14.25" hidden="1">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t="str">
        <f t="shared" si="5"/>
        <v>0</v>
      </c>
      <c r="U13" s="164"/>
      <c r="V13" s="165"/>
      <c r="W13" s="165"/>
      <c r="X13" s="1906"/>
      <c r="Y13" s="166"/>
      <c r="Z13" s="167"/>
      <c r="AA13" s="160"/>
      <c r="AB13" s="160"/>
      <c r="AC13" s="1909"/>
      <c r="AD13" s="168"/>
      <c r="AE13" s="886">
        <f t="shared" ca="1" si="6"/>
        <v>0</v>
      </c>
      <c r="AF13" s="127"/>
      <c r="AG13" s="1051">
        <f t="shared" si="7"/>
        <v>0</v>
      </c>
      <c r="AH13" s="127"/>
      <c r="AI13" s="171"/>
      <c r="AJ13" s="127"/>
      <c r="AK13" s="172"/>
      <c r="AL13" s="173"/>
      <c r="AM13" s="1947"/>
      <c r="AN13" s="1122"/>
      <c r="AO13" s="2608"/>
      <c r="AP13" s="96">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4" customFormat="1" ht="14.25" hidden="1">
      <c r="A14" s="1888" t="s">
        <v>1669</v>
      </c>
      <c r="B14" s="1891" t="s">
        <v>1211</v>
      </c>
      <c r="C14" s="1892" t="s">
        <v>1669</v>
      </c>
      <c r="D14" s="1893"/>
      <c r="E14" s="1894"/>
      <c r="F14" s="158"/>
      <c r="G14" s="159"/>
      <c r="H14" s="1895"/>
      <c r="I14" s="1895"/>
      <c r="J14" s="1895"/>
      <c r="K14" s="163">
        <f>SUMIF('数据-汇总表'!C$19:C$33,'数据-取费表'!A14,'数据-汇总表'!E$19:E$33)</f>
        <v>0</v>
      </c>
      <c r="L14" s="176"/>
      <c r="M14" s="161">
        <f t="shared" si="1"/>
        <v>0</v>
      </c>
      <c r="N14" s="177"/>
      <c r="O14" s="161">
        <f t="shared" si="3"/>
        <v>0</v>
      </c>
      <c r="P14" s="162">
        <f t="shared" si="4"/>
        <v>0</v>
      </c>
      <c r="Q14" s="1903"/>
      <c r="R14" s="163"/>
      <c r="S14" s="122"/>
      <c r="T14" s="1902"/>
      <c r="U14" s="888"/>
      <c r="V14" s="1905"/>
      <c r="W14" s="1905"/>
      <c r="X14" s="1906"/>
      <c r="Y14" s="1907"/>
      <c r="Z14" s="125"/>
      <c r="AA14" s="1908"/>
      <c r="AB14" s="1908"/>
      <c r="AC14" s="1909"/>
      <c r="AD14" s="1906"/>
      <c r="AE14" s="886"/>
      <c r="AF14" s="994"/>
      <c r="AG14" s="1051"/>
      <c r="AH14" s="994"/>
      <c r="AI14" s="994"/>
      <c r="AJ14" s="994"/>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4" customFormat="1" ht="27">
      <c r="A15" s="1897" t="s">
        <v>1671</v>
      </c>
      <c r="B15" s="1891" t="s">
        <v>1211</v>
      </c>
      <c r="C15" s="1892" t="s">
        <v>1670</v>
      </c>
      <c r="D15" s="1893"/>
      <c r="E15" s="1894"/>
      <c r="F15" s="158"/>
      <c r="G15" s="159"/>
      <c r="H15" s="1895"/>
      <c r="I15" s="1895"/>
      <c r="J15" s="1895"/>
      <c r="K15" s="163">
        <f>SUMIF('数据-汇总表'!C$19:C$33,'数据-取费表'!A15,'数据-汇总表'!E$19:E$33)</f>
        <v>169.85</v>
      </c>
      <c r="L15" s="1901"/>
      <c r="M15" s="161"/>
      <c r="N15" s="1904"/>
      <c r="O15" s="161"/>
      <c r="P15" s="162"/>
      <c r="Q15" s="1903"/>
      <c r="R15" s="163"/>
      <c r="S15" s="122"/>
      <c r="T15" s="1902"/>
      <c r="U15" s="888"/>
      <c r="V15" s="1905"/>
      <c r="W15" s="1905"/>
      <c r="X15" s="1906"/>
      <c r="Y15" s="1907"/>
      <c r="Z15" s="125"/>
      <c r="AA15" s="1908"/>
      <c r="AB15" s="1908"/>
      <c r="AC15" s="1909"/>
      <c r="AD15" s="1906"/>
      <c r="AE15" s="886"/>
      <c r="AF15" s="994"/>
      <c r="AG15" s="1051"/>
      <c r="AH15" s="994"/>
      <c r="AI15" s="994"/>
      <c r="AJ15" s="994"/>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4" customFormat="1" ht="15.75" thickBot="1">
      <c r="A16" s="179" t="s">
        <v>228</v>
      </c>
      <c r="B16" s="180"/>
      <c r="C16" s="181"/>
      <c r="D16" s="182"/>
      <c r="E16" s="180"/>
      <c r="F16" s="180"/>
      <c r="G16" s="183">
        <f>ROUND(SUMPRODUCT(G6:G13,K6:K13)/SUMPRODUCT((G6:G13&gt;0)*(K6:K13)),3)</f>
        <v>0.873</v>
      </c>
      <c r="H16" s="184">
        <f>ROUND(SUMPRODUCT(H6:H13,K6:K13)/SUMPRODUCT((H6:H13&gt;0)*(K6:K13)),3)</f>
        <v>0.05</v>
      </c>
      <c r="I16" s="185"/>
      <c r="J16" s="185"/>
      <c r="K16" s="186">
        <f>SUM(K6:K15)</f>
        <v>42462</v>
      </c>
      <c r="L16" s="187">
        <f>ROUND(M16*10000/SUM(K6:K14),0)</f>
        <v>2400</v>
      </c>
      <c r="M16" s="187">
        <f>SUM(M6:M14)</f>
        <v>10150</v>
      </c>
      <c r="N16" s="188">
        <f>ROUND(SUMPRODUCT(M6:M14,N6:N14)/M16,3)</f>
        <v>0</v>
      </c>
      <c r="O16" s="187">
        <f>SUM(O6:O14)</f>
        <v>0</v>
      </c>
      <c r="P16" s="187">
        <f>SUM(P6:P14)</f>
        <v>10150</v>
      </c>
      <c r="Q16" s="189">
        <f>ROUND(SUMPRODUCT(Q6:Q13,K6:K13)/SUMPRODUCT((Q6:Q13&gt;0)*(K6:K13)),2)</f>
        <v>0.1</v>
      </c>
      <c r="R16" s="1896">
        <f>SUM(R6:R13)</f>
        <v>16917.13</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0.749</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2"/>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0</v>
      </c>
      <c r="C19" s="2627" t="s">
        <v>2260</v>
      </c>
      <c r="D19" s="2617"/>
      <c r="E19" s="2608"/>
      <c r="F19" s="2608"/>
      <c r="G19" s="2608"/>
      <c r="H19" s="2608"/>
      <c r="I19" s="2608"/>
      <c r="J19" s="2608"/>
      <c r="K19" s="3411" t="s">
        <v>3544</v>
      </c>
      <c r="L19" s="2616">
        <f>'数据-汇总表'!E3</f>
        <v>42462</v>
      </c>
      <c r="M19" s="2614">
        <v>2400</v>
      </c>
      <c r="N19" s="2614">
        <f>L19*M19/10000</f>
        <v>10190.879999999999</v>
      </c>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201">
        <v>2</v>
      </c>
      <c r="C20" s="2627" t="s">
        <v>1690</v>
      </c>
      <c r="D20" s="2617"/>
      <c r="E20" s="2608"/>
      <c r="F20" s="2608"/>
      <c r="G20" s="2608"/>
      <c r="H20" s="2608"/>
      <c r="I20" s="2608"/>
      <c r="J20" s="2608"/>
      <c r="K20" s="3411" t="s">
        <v>3545</v>
      </c>
      <c r="L20" s="2616">
        <f>L19*0.1</f>
        <v>4246.2</v>
      </c>
      <c r="M20" s="2614">
        <v>2400</v>
      </c>
      <c r="N20" s="2614">
        <f>L20*M20/10000</f>
        <v>1019.088</v>
      </c>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2" t="s">
        <v>232</v>
      </c>
      <c r="B21" s="201">
        <v>0</v>
      </c>
      <c r="C21" s="2608"/>
      <c r="D21" s="2617"/>
      <c r="E21" s="2608"/>
      <c r="F21" s="2608"/>
      <c r="G21" s="2608"/>
      <c r="H21" s="2608"/>
      <c r="I21" s="2608"/>
      <c r="J21" s="2608"/>
      <c r="K21" s="2616"/>
      <c r="L21" s="2616">
        <f>L19+L20</f>
        <v>46708.2</v>
      </c>
      <c r="M21" s="2614">
        <f>N21/L19*10000</f>
        <v>2639.9999999999995</v>
      </c>
      <c r="N21" s="2614">
        <f>N19+N20</f>
        <v>11209.967999999999</v>
      </c>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3">
        <f>B19+B20</f>
        <v>2</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2" t="s">
        <v>234</v>
      </c>
      <c r="B23" s="203">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4" t="s">
        <v>235</v>
      </c>
      <c r="B24" s="205">
        <f>B20-B21</f>
        <v>2</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5"/>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6"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7" t="s">
        <v>1692</v>
      </c>
      <c r="B27" s="208">
        <v>75</v>
      </c>
      <c r="C27" s="2628" t="s">
        <v>2261</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9" t="s">
        <v>1693</v>
      </c>
      <c r="B28" s="210">
        <v>75</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2" t="s">
        <v>1691</v>
      </c>
      <c r="B29" s="213"/>
      <c r="C29" s="2629" t="s">
        <v>1694</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6" t="s">
        <v>239</v>
      </c>
      <c r="B30" s="892">
        <v>200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9" t="s">
        <v>240</v>
      </c>
      <c r="B31" s="211">
        <f>B30-B32</f>
        <v>200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8" t="s">
        <v>241</v>
      </c>
      <c r="B32" s="1166">
        <v>0</v>
      </c>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7" t="s">
        <v>244</v>
      </c>
      <c r="B33" s="1167">
        <v>0.05</v>
      </c>
      <c r="C33" s="2630" t="s">
        <v>3256</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9" t="s">
        <v>245</v>
      </c>
      <c r="B34" s="214">
        <v>0</v>
      </c>
      <c r="C34" s="2630" t="s">
        <v>2253</v>
      </c>
      <c r="D34" s="2631" t="s">
        <v>2258</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9" t="s">
        <v>242</v>
      </c>
      <c r="B35" s="210">
        <v>100</v>
      </c>
      <c r="C35" s="2630" t="s">
        <v>2254</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2" t="s">
        <v>243</v>
      </c>
      <c r="B36" s="215">
        <v>0.02</v>
      </c>
      <c r="C36" s="2630" t="s">
        <v>3299</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6" t="s">
        <v>246</v>
      </c>
      <c r="B37" s="217">
        <v>0.02</v>
      </c>
      <c r="C37" s="2630" t="s">
        <v>3257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9" t="s">
        <v>247</v>
      </c>
      <c r="B38" s="214">
        <v>0.02</v>
      </c>
      <c r="C38" s="2630" t="s">
        <v>3258</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1799</v>
      </c>
      <c r="B39" s="735">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7" t="s">
        <v>2275</v>
      </c>
      <c r="B40" s="1989">
        <f ca="1">IF(A40="利息：取LPR",存贷款利率!E2,存贷款利率!E2+C40)</f>
        <v>0.03</v>
      </c>
      <c r="C40" s="2778">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7" t="s">
        <v>248</v>
      </c>
      <c r="B41" s="219">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3" t="s">
        <v>249</v>
      </c>
      <c r="B42" s="221">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3" t="s">
        <v>250</v>
      </c>
      <c r="B43" s="222">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20" t="s">
        <v>251</v>
      </c>
      <c r="B44" s="223">
        <v>0.05</v>
      </c>
      <c r="C44" s="2630" t="s">
        <v>3259</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20" t="s">
        <v>252</v>
      </c>
      <c r="B45" s="221">
        <v>0.03</v>
      </c>
      <c r="C45" s="2633" t="s">
        <v>2255</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20" t="s">
        <v>253</v>
      </c>
      <c r="B46" s="221">
        <v>0.02</v>
      </c>
      <c r="C46" s="2633" t="s">
        <v>2256</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4" t="s">
        <v>254</v>
      </c>
      <c r="B47" s="225"/>
      <c r="C47" s="2628" t="s">
        <v>2262</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6" t="s">
        <v>255</v>
      </c>
      <c r="B48" s="227">
        <v>0.03</v>
      </c>
      <c r="C48" s="2633" t="s">
        <v>2255</v>
      </c>
      <c r="D48" s="2617" t="s">
        <v>3685</v>
      </c>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8" t="s">
        <v>256</v>
      </c>
      <c r="B49" s="221">
        <v>5.0000000000000001E-4</v>
      </c>
      <c r="C49" s="2633" t="s">
        <v>2257</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8" t="s">
        <v>257</v>
      </c>
      <c r="B50" s="229">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2" t="s">
        <v>258</v>
      </c>
      <c r="B51" s="230">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8" t="s">
        <v>259</v>
      </c>
      <c r="B52" s="231">
        <f>SUMIF(A54:A63,B53,B54:B63)</f>
        <v>0.9</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9" t="s">
        <v>260</v>
      </c>
      <c r="B53" s="232" t="s">
        <v>851</v>
      </c>
      <c r="C53" s="2624" t="s">
        <v>3543</v>
      </c>
      <c r="D53" s="2634" t="s">
        <v>2259</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2165</v>
      </c>
      <c r="B54" s="170"/>
      <c r="C54" s="2621">
        <v>8</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2166</v>
      </c>
      <c r="B55" s="170"/>
      <c r="C55" s="2621">
        <v>6</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2167</v>
      </c>
      <c r="B56" s="170"/>
      <c r="C56" s="2621">
        <v>4</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2168</v>
      </c>
      <c r="B57" s="170">
        <v>0.9</v>
      </c>
      <c r="C57" s="2621">
        <v>0.9</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2169</v>
      </c>
      <c r="B58" s="170"/>
      <c r="C58" s="2621"/>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2170</v>
      </c>
      <c r="B59" s="170"/>
      <c r="C59" s="2621"/>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2171</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2172</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4.25">
      <c r="A62" s="2340" t="s">
        <v>2173</v>
      </c>
      <c r="B62" s="170"/>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2174</v>
      </c>
      <c r="B63" s="233"/>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7" customFormat="1">
      <c r="A64" s="234"/>
      <c r="D64" s="1639"/>
      <c r="K64" s="53"/>
      <c r="L64" s="53"/>
    </row>
    <row r="65" spans="1:12" s="237" customFormat="1">
      <c r="A65" s="234"/>
      <c r="D65" s="1639"/>
      <c r="K65" s="53"/>
      <c r="L65" s="53"/>
    </row>
    <row r="66" spans="1:12" s="237" customFormat="1">
      <c r="A66" s="234"/>
      <c r="D66" s="1639"/>
      <c r="K66" s="53"/>
      <c r="L66" s="53"/>
    </row>
    <row r="67" spans="1:12" s="237" customFormat="1">
      <c r="A67" s="234"/>
      <c r="D67" s="1639"/>
      <c r="K67" s="53"/>
      <c r="L67" s="53"/>
    </row>
    <row r="68" spans="1:12" s="237" customFormat="1">
      <c r="A68" s="234"/>
      <c r="D68" s="1639"/>
      <c r="K68" s="53"/>
      <c r="L68" s="53"/>
    </row>
    <row r="69" spans="1:12" s="237" customFormat="1">
      <c r="A69" s="234"/>
      <c r="D69" s="1639"/>
      <c r="K69" s="53"/>
      <c r="L69" s="53"/>
    </row>
    <row r="70" spans="1:12" s="237" customFormat="1">
      <c r="A70" s="234"/>
      <c r="D70" s="1639"/>
      <c r="K70" s="53"/>
      <c r="L70" s="53"/>
    </row>
    <row r="71" spans="1:12" s="237" customFormat="1">
      <c r="A71" s="234"/>
      <c r="D71" s="1639"/>
      <c r="K71" s="53"/>
      <c r="L71" s="53"/>
    </row>
    <row r="72" spans="1:12" s="237" customFormat="1">
      <c r="A72" s="234"/>
      <c r="D72" s="1639"/>
      <c r="K72" s="53"/>
      <c r="L72" s="53"/>
    </row>
    <row r="73" spans="1:12" s="237" customFormat="1">
      <c r="A73" s="234"/>
      <c r="D73" s="1639"/>
      <c r="K73" s="53"/>
      <c r="L73" s="53"/>
    </row>
    <row r="74" spans="1:12" s="237" customFormat="1">
      <c r="A74" s="234"/>
      <c r="D74" s="1639"/>
      <c r="K74" s="53"/>
      <c r="L74" s="53"/>
    </row>
    <row r="75" spans="1:12" s="237" customFormat="1">
      <c r="A75" s="234"/>
      <c r="D75" s="1639"/>
      <c r="K75" s="53"/>
      <c r="L75" s="53"/>
    </row>
    <row r="76" spans="1:12" s="237" customFormat="1">
      <c r="A76" s="234"/>
      <c r="D76" s="1639"/>
      <c r="K76" s="53"/>
      <c r="L76" s="53"/>
    </row>
    <row r="77" spans="1:12" s="237" customFormat="1">
      <c r="A77" s="234"/>
      <c r="D77" s="1639"/>
      <c r="K77" s="53"/>
      <c r="L77" s="53"/>
    </row>
    <row r="78" spans="1:12" s="237" customFormat="1">
      <c r="A78" s="234"/>
      <c r="D78" s="1639"/>
      <c r="K78" s="53"/>
      <c r="L78" s="53"/>
    </row>
    <row r="79" spans="1:12" s="237" customFormat="1">
      <c r="A79" s="234"/>
      <c r="D79" s="1639"/>
      <c r="K79" s="53"/>
      <c r="L79" s="53"/>
    </row>
    <row r="80" spans="1:12" s="237" customFormat="1">
      <c r="A80" s="234"/>
      <c r="D80" s="1639"/>
      <c r="K80" s="53"/>
      <c r="L80" s="53"/>
    </row>
    <row r="81" spans="1:12" s="237" customFormat="1">
      <c r="A81" s="234"/>
      <c r="D81" s="1639"/>
      <c r="K81" s="53"/>
      <c r="L81" s="53"/>
    </row>
    <row r="82" spans="1:12" s="237" customFormat="1">
      <c r="A82" s="234"/>
      <c r="D82" s="1639"/>
      <c r="K82" s="53"/>
      <c r="L82" s="53"/>
    </row>
    <row r="83" spans="1:12" s="237" customFormat="1">
      <c r="A83" s="234"/>
      <c r="D83" s="1639"/>
      <c r="K83" s="53"/>
      <c r="L83" s="53"/>
    </row>
    <row r="84" spans="1:12" s="237" customFormat="1">
      <c r="A84" s="234"/>
      <c r="D84" s="1639"/>
      <c r="K84" s="53"/>
      <c r="L84" s="53"/>
    </row>
    <row r="85" spans="1:12" s="237" customFormat="1">
      <c r="A85" s="234"/>
      <c r="D85" s="1639"/>
      <c r="K85" s="53"/>
      <c r="L85" s="53"/>
    </row>
    <row r="86" spans="1:12" s="237" customFormat="1">
      <c r="A86" s="234"/>
      <c r="D86" s="1639"/>
      <c r="K86" s="53"/>
      <c r="L86" s="53"/>
    </row>
    <row r="87" spans="1:12" s="237" customFormat="1">
      <c r="A87" s="234"/>
      <c r="D87" s="1639"/>
      <c r="K87" s="53"/>
      <c r="L87" s="53"/>
    </row>
    <row r="88" spans="1:12" s="237" customFormat="1">
      <c r="A88" s="234"/>
      <c r="D88" s="1639"/>
      <c r="K88" s="53"/>
      <c r="L88" s="53"/>
    </row>
    <row r="89" spans="1:12" s="237" customFormat="1">
      <c r="A89" s="234"/>
      <c r="D89" s="1639"/>
      <c r="K89" s="53"/>
      <c r="L89" s="53"/>
    </row>
    <row r="90" spans="1:12" s="237" customFormat="1">
      <c r="A90" s="234"/>
      <c r="D90" s="1639"/>
      <c r="K90" s="53"/>
      <c r="L90" s="53"/>
    </row>
    <row r="91" spans="1:12" s="237" customFormat="1">
      <c r="A91" s="234"/>
      <c r="D91" s="1639"/>
      <c r="K91" s="53"/>
      <c r="L91" s="53"/>
    </row>
    <row r="92" spans="1:12" s="237" customFormat="1">
      <c r="A92" s="234"/>
      <c r="D92" s="1639"/>
      <c r="K92" s="53"/>
      <c r="L92" s="53"/>
    </row>
    <row r="93" spans="1:12" s="237" customFormat="1">
      <c r="A93" s="234"/>
      <c r="D93" s="1639"/>
      <c r="K93" s="53"/>
      <c r="L93" s="53"/>
    </row>
    <row r="94" spans="1:12" s="237" customFormat="1">
      <c r="A94" s="234"/>
      <c r="D94" s="1639"/>
      <c r="K94" s="53"/>
      <c r="L94" s="53"/>
    </row>
    <row r="95" spans="1:12" s="237" customFormat="1">
      <c r="A95" s="234"/>
      <c r="D95" s="1639"/>
      <c r="K95" s="53"/>
      <c r="L95" s="53"/>
    </row>
    <row r="96" spans="1:12" s="237" customFormat="1">
      <c r="A96" s="234"/>
      <c r="D96" s="1639"/>
      <c r="K96" s="53"/>
      <c r="L96" s="53"/>
    </row>
    <row r="97" spans="1:12" s="237" customFormat="1">
      <c r="A97" s="234"/>
      <c r="D97" s="1639"/>
      <c r="K97" s="53"/>
      <c r="L97" s="53"/>
    </row>
    <row r="98" spans="1:12" s="237" customFormat="1">
      <c r="A98" s="234"/>
      <c r="D98" s="1639"/>
      <c r="K98" s="53"/>
      <c r="L98" s="53"/>
    </row>
    <row r="99" spans="1:12" s="237" customFormat="1">
      <c r="A99" s="234"/>
      <c r="D99" s="1639"/>
      <c r="K99" s="53"/>
      <c r="L99" s="53"/>
    </row>
    <row r="100" spans="1:12" s="237" customFormat="1">
      <c r="A100" s="234"/>
      <c r="D100" s="1639"/>
      <c r="K100" s="53"/>
      <c r="L100" s="53"/>
    </row>
    <row r="101" spans="1:12" s="237" customFormat="1">
      <c r="A101" s="234"/>
      <c r="D101" s="1639"/>
      <c r="K101" s="53"/>
      <c r="L101" s="53"/>
    </row>
    <row r="102" spans="1:12" s="237" customFormat="1">
      <c r="A102" s="234"/>
      <c r="D102" s="1639"/>
      <c r="K102" s="53"/>
      <c r="L102" s="53"/>
    </row>
    <row r="103" spans="1:12" s="237" customFormat="1">
      <c r="A103" s="234"/>
      <c r="D103" s="1639"/>
      <c r="K103" s="53"/>
      <c r="L103" s="53"/>
    </row>
    <row r="104" spans="1:12" s="237" customFormat="1">
      <c r="A104" s="234"/>
      <c r="D104" s="1639"/>
      <c r="K104" s="53"/>
      <c r="L104" s="53"/>
    </row>
    <row r="105" spans="1:12" s="237" customFormat="1">
      <c r="A105" s="234"/>
      <c r="D105" s="1639"/>
      <c r="K105" s="53"/>
      <c r="L105" s="53"/>
    </row>
    <row r="106" spans="1:12" s="237" customFormat="1">
      <c r="A106" s="234"/>
      <c r="D106" s="1639"/>
      <c r="K106" s="53"/>
      <c r="L106" s="53"/>
    </row>
    <row r="107" spans="1:12" s="237" customFormat="1">
      <c r="A107" s="234"/>
      <c r="D107" s="1639"/>
      <c r="K107" s="53"/>
      <c r="L107" s="53"/>
    </row>
    <row r="108" spans="1:12" s="237" customFormat="1">
      <c r="A108" s="234"/>
      <c r="D108" s="1639"/>
      <c r="K108" s="53"/>
      <c r="L108" s="53"/>
    </row>
    <row r="109" spans="1:12" s="237" customFormat="1">
      <c r="A109" s="234"/>
      <c r="D109" s="1639"/>
      <c r="K109" s="53"/>
      <c r="L109" s="53"/>
    </row>
    <row r="110" spans="1:12" s="237" customFormat="1">
      <c r="A110" s="234"/>
      <c r="D110" s="1639"/>
      <c r="K110" s="53"/>
      <c r="L110" s="53"/>
    </row>
    <row r="111" spans="1:12" s="237" customFormat="1">
      <c r="A111" s="234"/>
      <c r="D111" s="1639"/>
      <c r="K111" s="53"/>
      <c r="L111" s="53"/>
    </row>
    <row r="112" spans="1:12" s="237" customFormat="1">
      <c r="A112" s="234"/>
      <c r="D112" s="1639"/>
      <c r="K112" s="53"/>
      <c r="L112" s="53"/>
    </row>
    <row r="113" spans="1:12" s="237" customFormat="1">
      <c r="A113" s="234"/>
      <c r="D113" s="1639"/>
      <c r="K113" s="53"/>
      <c r="L113" s="53"/>
    </row>
    <row r="114" spans="1:12" s="237" customFormat="1">
      <c r="A114" s="234"/>
      <c r="D114" s="1639"/>
      <c r="K114" s="53"/>
      <c r="L114" s="53"/>
    </row>
    <row r="115" spans="1:12" s="237" customFormat="1">
      <c r="A115" s="234"/>
      <c r="D115" s="1639"/>
      <c r="K115" s="53"/>
      <c r="L115" s="53"/>
    </row>
    <row r="116" spans="1:12" s="237" customFormat="1">
      <c r="A116" s="234"/>
      <c r="D116" s="1639"/>
      <c r="K116" s="53"/>
      <c r="L116" s="53"/>
    </row>
    <row r="117" spans="1:12" s="237" customFormat="1">
      <c r="A117" s="234"/>
      <c r="D117" s="1639"/>
      <c r="K117" s="53"/>
      <c r="L117" s="53"/>
    </row>
    <row r="118" spans="1:12" s="237" customFormat="1">
      <c r="A118" s="234"/>
      <c r="D118" s="1639"/>
      <c r="K118" s="53"/>
      <c r="L118" s="53"/>
    </row>
    <row r="119" spans="1:12" s="237" customFormat="1">
      <c r="A119" s="234"/>
      <c r="D119" s="1639"/>
      <c r="K119" s="53"/>
      <c r="L119" s="53"/>
    </row>
    <row r="120" spans="1:12" s="237" customFormat="1">
      <c r="A120" s="234"/>
      <c r="D120" s="1639"/>
      <c r="K120" s="53"/>
      <c r="L120" s="53"/>
    </row>
    <row r="121" spans="1:12" s="237" customFormat="1">
      <c r="A121" s="234"/>
      <c r="D121" s="1639"/>
      <c r="K121" s="53"/>
      <c r="L121" s="53"/>
    </row>
    <row r="122" spans="1:12" s="237" customFormat="1">
      <c r="A122" s="234"/>
      <c r="D122" s="1639"/>
      <c r="K122" s="53"/>
      <c r="L122" s="53"/>
    </row>
    <row r="123" spans="1:12" s="237" customFormat="1">
      <c r="A123" s="234"/>
      <c r="D123" s="1639"/>
      <c r="K123" s="53"/>
      <c r="L123" s="53"/>
    </row>
    <row r="124" spans="1:12" s="237" customFormat="1">
      <c r="A124" s="234"/>
      <c r="D124" s="1639"/>
      <c r="K124" s="53"/>
      <c r="L124" s="53"/>
    </row>
    <row r="125" spans="1:12" s="237" customFormat="1">
      <c r="A125" s="234"/>
      <c r="D125" s="1639"/>
      <c r="K125" s="53"/>
      <c r="L125" s="53"/>
    </row>
    <row r="126" spans="1:12" s="237" customFormat="1">
      <c r="A126" s="234"/>
      <c r="D126" s="1639"/>
      <c r="K126" s="53"/>
      <c r="L126" s="53"/>
    </row>
    <row r="127" spans="1:12" s="237" customFormat="1">
      <c r="A127" s="234"/>
      <c r="D127" s="1639"/>
      <c r="K127" s="53"/>
      <c r="L127" s="53"/>
    </row>
    <row r="128" spans="1:12" s="237" customFormat="1">
      <c r="A128" s="234"/>
      <c r="D128" s="1639"/>
      <c r="K128" s="53"/>
      <c r="L128" s="53"/>
    </row>
    <row r="129" spans="1:12" s="237" customFormat="1">
      <c r="A129" s="234"/>
      <c r="D129" s="1639"/>
      <c r="K129" s="53"/>
      <c r="L129" s="53"/>
    </row>
    <row r="130" spans="1:12" s="237" customFormat="1">
      <c r="A130" s="234"/>
      <c r="D130" s="1639"/>
      <c r="K130" s="53"/>
      <c r="L130" s="53"/>
    </row>
    <row r="131" spans="1:12" s="237" customFormat="1">
      <c r="A131" s="234"/>
      <c r="D131" s="1639"/>
      <c r="K131" s="53"/>
      <c r="L131" s="53"/>
    </row>
    <row r="132" spans="1:12" s="237" customFormat="1">
      <c r="A132" s="234"/>
      <c r="D132" s="1639"/>
      <c r="K132" s="53"/>
      <c r="L132" s="53"/>
    </row>
    <row r="133" spans="1:12" s="237" customFormat="1">
      <c r="A133" s="234"/>
      <c r="D133" s="1639"/>
      <c r="K133" s="53"/>
      <c r="L133" s="53"/>
    </row>
    <row r="134" spans="1:12" s="237" customFormat="1">
      <c r="A134" s="234"/>
      <c r="D134" s="1639"/>
      <c r="K134" s="53"/>
      <c r="L134" s="53"/>
    </row>
    <row r="135" spans="1:12" s="237" customFormat="1">
      <c r="A135" s="234"/>
      <c r="D135" s="1639"/>
      <c r="K135" s="53"/>
      <c r="L135" s="53"/>
    </row>
    <row r="136" spans="1:12" s="237" customFormat="1">
      <c r="A136" s="234"/>
      <c r="D136" s="1639"/>
      <c r="K136" s="53"/>
      <c r="L136" s="53"/>
    </row>
    <row r="137" spans="1:12" s="237" customFormat="1">
      <c r="A137" s="234"/>
      <c r="D137" s="1639"/>
      <c r="K137" s="53"/>
      <c r="L137" s="53"/>
    </row>
    <row r="138" spans="1:12" s="237" customFormat="1">
      <c r="A138" s="234"/>
      <c r="D138" s="1639"/>
      <c r="K138" s="53"/>
      <c r="L138" s="53"/>
    </row>
    <row r="139" spans="1:12" s="237" customFormat="1">
      <c r="A139" s="234"/>
      <c r="D139" s="1639"/>
      <c r="K139" s="53"/>
      <c r="L139" s="53"/>
    </row>
    <row r="140" spans="1:12" s="237" customFormat="1">
      <c r="A140" s="234"/>
      <c r="D140" s="1639"/>
      <c r="K140" s="53"/>
      <c r="L140" s="53"/>
    </row>
    <row r="141" spans="1:12" s="237" customFormat="1">
      <c r="A141" s="234"/>
      <c r="D141" s="1639"/>
      <c r="K141" s="53"/>
      <c r="L141" s="53"/>
    </row>
    <row r="142" spans="1:12" s="237" customFormat="1">
      <c r="A142" s="234"/>
      <c r="D142" s="1639"/>
      <c r="K142" s="53"/>
      <c r="L142" s="53"/>
    </row>
    <row r="143" spans="1:12" s="237" customFormat="1">
      <c r="A143" s="234"/>
      <c r="D143" s="1639"/>
      <c r="K143" s="53"/>
      <c r="L143" s="53"/>
    </row>
    <row r="144" spans="1:12" s="237" customFormat="1">
      <c r="A144" s="234"/>
      <c r="D144" s="1639"/>
      <c r="K144" s="53"/>
      <c r="L144" s="53"/>
    </row>
    <row r="145" spans="1:12" s="237" customFormat="1">
      <c r="A145" s="234"/>
      <c r="D145" s="1639"/>
      <c r="K145" s="53"/>
      <c r="L145" s="53"/>
    </row>
    <row r="146" spans="1:12" s="237" customFormat="1">
      <c r="A146" s="234"/>
      <c r="D146" s="1639"/>
      <c r="K146" s="53"/>
      <c r="L146" s="53"/>
    </row>
    <row r="147" spans="1:12" s="237" customFormat="1">
      <c r="A147" s="234"/>
      <c r="D147" s="1639"/>
      <c r="K147" s="53"/>
      <c r="L147" s="53"/>
    </row>
    <row r="148" spans="1:12" s="237" customFormat="1">
      <c r="A148" s="234"/>
      <c r="D148" s="1639"/>
      <c r="K148" s="53"/>
      <c r="L148" s="53"/>
    </row>
    <row r="149" spans="1:12" s="237" customFormat="1">
      <c r="A149" s="234"/>
      <c r="D149" s="1639"/>
      <c r="K149" s="53"/>
      <c r="L149" s="53"/>
    </row>
    <row r="150" spans="1:12" s="237" customFormat="1">
      <c r="A150" s="234"/>
      <c r="D150" s="1639"/>
      <c r="K150" s="53"/>
      <c r="L150" s="53"/>
    </row>
    <row r="151" spans="1:12" s="237" customFormat="1">
      <c r="A151" s="234"/>
      <c r="D151" s="1639"/>
      <c r="K151" s="53"/>
      <c r="L151" s="53"/>
    </row>
    <row r="152" spans="1:12" s="237" customFormat="1">
      <c r="A152" s="234"/>
      <c r="D152" s="1639"/>
      <c r="K152" s="53"/>
      <c r="L152" s="53"/>
    </row>
    <row r="153" spans="1:12" s="237" customFormat="1">
      <c r="A153" s="234"/>
      <c r="D153" s="1639"/>
      <c r="K153" s="53"/>
      <c r="L153" s="53"/>
    </row>
    <row r="154" spans="1:12" s="237" customFormat="1">
      <c r="A154" s="234"/>
      <c r="D154" s="1639"/>
      <c r="K154" s="53"/>
      <c r="L154" s="53"/>
    </row>
    <row r="155" spans="1:12" s="237" customFormat="1">
      <c r="A155" s="234"/>
      <c r="D155" s="1639"/>
      <c r="K155" s="53"/>
      <c r="L155" s="53"/>
    </row>
    <row r="156" spans="1:12" s="237" customFormat="1">
      <c r="A156" s="234"/>
      <c r="D156" s="1639"/>
      <c r="K156" s="53"/>
      <c r="L156" s="53"/>
    </row>
    <row r="157" spans="1:12" s="237" customFormat="1">
      <c r="A157" s="234"/>
      <c r="D157" s="1639"/>
      <c r="K157" s="53"/>
      <c r="L157" s="53"/>
    </row>
    <row r="158" spans="1:12" s="237" customFormat="1">
      <c r="A158" s="234"/>
      <c r="D158" s="1639"/>
      <c r="K158" s="53"/>
      <c r="L158" s="53"/>
    </row>
    <row r="159" spans="1:12" s="237" customFormat="1">
      <c r="A159" s="234"/>
      <c r="D159" s="1639"/>
      <c r="K159" s="53"/>
      <c r="L159" s="53"/>
    </row>
    <row r="160" spans="1:12" s="237" customFormat="1">
      <c r="A160" s="234"/>
      <c r="D160" s="1639"/>
      <c r="K160" s="53"/>
      <c r="L160" s="53"/>
    </row>
    <row r="161" spans="1:12" s="237" customFormat="1">
      <c r="A161" s="234"/>
      <c r="D161" s="1639"/>
      <c r="K161" s="53"/>
      <c r="L161" s="53"/>
    </row>
    <row r="162" spans="1:12" s="237" customFormat="1">
      <c r="A162" s="234"/>
      <c r="D162" s="1639"/>
      <c r="K162" s="53"/>
      <c r="L162" s="53"/>
    </row>
    <row r="163" spans="1:12" s="237" customFormat="1">
      <c r="A163" s="234"/>
      <c r="D163" s="1639"/>
      <c r="K163" s="53"/>
      <c r="L163" s="53"/>
    </row>
    <row r="164" spans="1:12" s="237" customFormat="1">
      <c r="A164" s="234"/>
      <c r="D164" s="1639"/>
      <c r="K164" s="53"/>
      <c r="L164" s="53"/>
    </row>
    <row r="165" spans="1:12" s="237" customFormat="1">
      <c r="A165" s="234"/>
      <c r="D165" s="1639"/>
      <c r="K165" s="53"/>
      <c r="L165" s="53"/>
    </row>
    <row r="166" spans="1:12" s="237" customFormat="1">
      <c r="A166" s="234"/>
      <c r="D166" s="1639"/>
      <c r="K166" s="53"/>
      <c r="L166" s="53"/>
    </row>
    <row r="167" spans="1:12" s="237" customFormat="1">
      <c r="A167" s="234"/>
      <c r="D167" s="1639"/>
      <c r="K167" s="53"/>
      <c r="L167" s="53"/>
    </row>
    <row r="168" spans="1:12" s="237" customFormat="1">
      <c r="A168" s="234"/>
      <c r="D168" s="1639"/>
      <c r="K168" s="53"/>
      <c r="L168" s="53"/>
    </row>
    <row r="169" spans="1:12" s="237" customFormat="1">
      <c r="A169" s="234"/>
      <c r="D169" s="1639"/>
      <c r="K169" s="53"/>
      <c r="L169" s="53"/>
    </row>
    <row r="170" spans="1:12" s="237" customFormat="1">
      <c r="A170" s="234"/>
      <c r="D170" s="1639"/>
      <c r="K170" s="53"/>
      <c r="L170" s="53"/>
    </row>
    <row r="171" spans="1:12" s="237" customFormat="1">
      <c r="A171" s="234"/>
      <c r="D171" s="1639"/>
      <c r="K171" s="53"/>
      <c r="L171" s="53"/>
    </row>
    <row r="172" spans="1:12" s="237" customFormat="1">
      <c r="A172" s="234"/>
      <c r="D172" s="1639"/>
      <c r="K172" s="53"/>
      <c r="L172" s="53"/>
    </row>
    <row r="173" spans="1:12" s="237" customFormat="1">
      <c r="A173" s="234"/>
      <c r="D173" s="1639"/>
      <c r="K173" s="53"/>
      <c r="L173" s="53"/>
    </row>
    <row r="174" spans="1:12" s="237" customFormat="1">
      <c r="A174" s="234"/>
      <c r="D174" s="1639"/>
      <c r="K174" s="53"/>
      <c r="L174" s="53"/>
    </row>
    <row r="175" spans="1:12" s="237" customFormat="1">
      <c r="A175" s="234"/>
      <c r="D175" s="1639"/>
      <c r="K175" s="53"/>
      <c r="L175" s="53"/>
    </row>
    <row r="176" spans="1:12" s="237" customFormat="1">
      <c r="A176" s="234"/>
      <c r="D176" s="1639"/>
      <c r="K176" s="53"/>
      <c r="L176" s="53"/>
    </row>
    <row r="177" spans="1:12" s="237" customFormat="1">
      <c r="A177" s="234"/>
      <c r="D177" s="1639"/>
      <c r="K177" s="53"/>
      <c r="L177" s="53"/>
    </row>
    <row r="178" spans="1:12" s="237" customFormat="1">
      <c r="A178" s="234"/>
      <c r="D178" s="1639"/>
      <c r="K178" s="53"/>
      <c r="L178" s="53"/>
    </row>
    <row r="179" spans="1:12" s="237" customFormat="1">
      <c r="A179" s="234"/>
      <c r="D179" s="1639"/>
      <c r="K179" s="53"/>
      <c r="L179" s="53"/>
    </row>
    <row r="180" spans="1:12" s="237" customFormat="1">
      <c r="A180" s="234"/>
      <c r="D180" s="1639"/>
      <c r="K180" s="53"/>
      <c r="L180" s="53"/>
    </row>
    <row r="181" spans="1:12" s="237" customFormat="1">
      <c r="A181" s="234"/>
      <c r="D181" s="1639"/>
      <c r="K181" s="53"/>
      <c r="L181" s="53"/>
    </row>
    <row r="182" spans="1:12" s="237" customFormat="1">
      <c r="A182" s="234"/>
      <c r="D182" s="1639"/>
      <c r="K182" s="53"/>
      <c r="L182" s="53"/>
    </row>
    <row r="183" spans="1:12" s="237" customFormat="1">
      <c r="A183" s="234"/>
      <c r="D183" s="1639"/>
      <c r="K183" s="53"/>
      <c r="L183" s="53"/>
    </row>
    <row r="184" spans="1:12" s="237" customFormat="1">
      <c r="A184" s="234"/>
      <c r="D184" s="1639"/>
      <c r="K184" s="53"/>
      <c r="L184" s="53"/>
    </row>
    <row r="185" spans="1:12" s="237" customFormat="1">
      <c r="A185" s="234"/>
      <c r="D185" s="1639"/>
      <c r="K185" s="53"/>
      <c r="L185" s="53"/>
    </row>
    <row r="186" spans="1:12" s="237" customFormat="1">
      <c r="A186" s="234"/>
      <c r="D186" s="1639"/>
      <c r="K186" s="53"/>
      <c r="L186" s="53"/>
    </row>
    <row r="187" spans="1:12" s="237" customFormat="1">
      <c r="A187" s="234"/>
      <c r="D187" s="1639"/>
      <c r="K187" s="53"/>
      <c r="L187" s="53"/>
    </row>
    <row r="188" spans="1:12" s="237" customFormat="1">
      <c r="A188" s="234"/>
      <c r="D188" s="1639"/>
      <c r="K188" s="53"/>
      <c r="L188" s="53"/>
    </row>
    <row r="189" spans="1:12" s="237" customFormat="1">
      <c r="A189" s="234"/>
      <c r="D189" s="1639"/>
      <c r="K189" s="53"/>
      <c r="L189" s="53"/>
    </row>
    <row r="190" spans="1:12" s="237" customFormat="1">
      <c r="A190" s="234"/>
      <c r="D190" s="1639"/>
      <c r="K190" s="53"/>
      <c r="L190" s="53"/>
    </row>
    <row r="191" spans="1:12" s="237" customFormat="1">
      <c r="A191" s="234"/>
      <c r="D191" s="1639"/>
      <c r="K191" s="53"/>
      <c r="L191" s="53"/>
    </row>
    <row r="192" spans="1:12" s="237" customFormat="1">
      <c r="A192" s="234"/>
      <c r="D192" s="1639"/>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643" customWidth="1"/>
    <col min="2" max="2" width="23.5" style="2664" customWidth="1"/>
    <col min="3" max="3" width="32.25" style="2664" customWidth="1"/>
    <col min="4" max="4" width="2.625" style="2664" customWidth="1"/>
    <col min="5" max="5" width="5.875" style="2664" customWidth="1"/>
    <col min="6" max="6" width="23.625" style="2664" customWidth="1"/>
    <col min="7" max="7" width="33.375" style="2664" customWidth="1"/>
    <col min="8" max="8" width="11.875" style="2664" customWidth="1"/>
    <col min="9" max="9" width="16.75" style="2664" customWidth="1"/>
    <col min="10" max="10" width="2.625" style="2664" customWidth="1"/>
    <col min="11" max="11" width="11.875" style="2664" customWidth="1"/>
    <col min="12" max="12" width="16.75" style="2664" customWidth="1"/>
    <col min="13" max="13" width="2.625" style="2664" customWidth="1"/>
    <col min="14" max="14" width="11.875" style="2664" customWidth="1"/>
    <col min="15" max="15" width="16.75" style="2664" customWidth="1"/>
    <col min="16" max="16" width="2.625" style="2664" customWidth="1"/>
    <col min="17" max="17" width="11.875" style="2664" customWidth="1"/>
    <col min="18" max="18" width="16.75" style="2643" customWidth="1"/>
    <col min="19" max="16384" width="9" style="2643"/>
  </cols>
  <sheetData>
    <row r="1" spans="1:18" s="2637" customFormat="1" ht="19.5" thickBot="1">
      <c r="A1" s="3507" t="s">
        <v>1196</v>
      </c>
      <c r="B1" s="3508"/>
      <c r="C1" s="3508"/>
      <c r="D1" s="3508"/>
      <c r="E1" s="3508"/>
      <c r="F1" s="3508"/>
      <c r="G1" s="3508"/>
      <c r="H1" s="2635"/>
      <c r="I1" s="2635"/>
      <c r="J1" s="2635"/>
      <c r="K1" s="2635"/>
      <c r="L1" s="2635"/>
      <c r="M1" s="2635"/>
      <c r="N1" s="2635"/>
      <c r="O1" s="2635"/>
      <c r="P1" s="2635"/>
      <c r="Q1" s="2636"/>
    </row>
    <row r="2" spans="1:18" ht="14.25" thickBot="1">
      <c r="A2" s="2638"/>
      <c r="B2" s="2639"/>
      <c r="C2" s="2640" t="s">
        <v>1197</v>
      </c>
      <c r="D2" s="2641"/>
      <c r="E2" s="2638"/>
      <c r="F2" s="2642"/>
      <c r="G2" s="2640" t="s">
        <v>1198</v>
      </c>
      <c r="H2" s="2643"/>
      <c r="I2" s="2643"/>
      <c r="J2" s="2643"/>
      <c r="K2" s="2643"/>
      <c r="L2" s="2643"/>
      <c r="M2" s="2643"/>
      <c r="N2" s="2643"/>
      <c r="O2" s="2643"/>
      <c r="P2" s="2643"/>
      <c r="Q2" s="2643"/>
    </row>
    <row r="3" spans="1:18" ht="27">
      <c r="A3" s="2644" t="s">
        <v>1199</v>
      </c>
      <c r="B3" s="2645" t="s">
        <v>1186</v>
      </c>
      <c r="C3" s="2646"/>
      <c r="D3" s="2647"/>
      <c r="E3" s="2648" t="s">
        <v>1199</v>
      </c>
      <c r="F3" s="2649" t="s">
        <v>1187</v>
      </c>
      <c r="G3" s="2650"/>
      <c r="H3" s="2643"/>
      <c r="I3" s="2643"/>
      <c r="J3" s="2643"/>
      <c r="K3" s="2643"/>
      <c r="L3" s="2643"/>
      <c r="M3" s="2643"/>
      <c r="N3" s="2643"/>
      <c r="O3" s="2643"/>
      <c r="P3" s="2643"/>
      <c r="Q3" s="2643"/>
    </row>
    <row r="4" spans="1:18" ht="14.25">
      <c r="A4" s="2648"/>
      <c r="B4" s="2651" t="s">
        <v>1200</v>
      </c>
      <c r="C4" s="2652"/>
      <c r="D4" s="2647"/>
      <c r="E4" s="2653"/>
      <c r="F4" s="2654" t="s">
        <v>1201</v>
      </c>
      <c r="G4" s="2655"/>
      <c r="H4" s="2643"/>
      <c r="I4" s="2643"/>
      <c r="J4" s="2643"/>
      <c r="K4" s="2643"/>
      <c r="L4" s="2643"/>
      <c r="M4" s="2643"/>
      <c r="N4" s="2643"/>
      <c r="O4" s="2643"/>
      <c r="P4" s="2643"/>
      <c r="Q4" s="2643"/>
    </row>
    <row r="5" spans="1:18" ht="14.25">
      <c r="A5" s="2648"/>
      <c r="B5" s="2651" t="s">
        <v>1202</v>
      </c>
      <c r="C5" s="2652"/>
      <c r="D5" s="2647"/>
      <c r="E5" s="2653"/>
      <c r="F5" s="2651" t="s">
        <v>1827</v>
      </c>
      <c r="G5" s="2655"/>
      <c r="H5" s="2643"/>
      <c r="I5" s="2643"/>
      <c r="J5" s="2643"/>
      <c r="K5" s="2643"/>
      <c r="L5" s="2643"/>
      <c r="M5" s="2643"/>
      <c r="N5" s="2643"/>
      <c r="O5" s="2643"/>
      <c r="P5" s="2643"/>
      <c r="Q5" s="2643"/>
    </row>
    <row r="6" spans="1:18" ht="14.25">
      <c r="A6" s="2648"/>
      <c r="B6" s="2651" t="s">
        <v>1188</v>
      </c>
      <c r="C6" s="2655"/>
      <c r="D6" s="2647"/>
      <c r="E6" s="2653"/>
      <c r="F6" s="2651" t="s">
        <v>1828</v>
      </c>
      <c r="G6" s="2655"/>
      <c r="H6" s="2643"/>
      <c r="I6" s="2643"/>
      <c r="J6" s="2643"/>
      <c r="K6" s="2643"/>
      <c r="L6" s="2643"/>
      <c r="M6" s="2643"/>
      <c r="N6" s="2643"/>
      <c r="O6" s="2643"/>
      <c r="P6" s="2643"/>
      <c r="Q6" s="2643"/>
    </row>
    <row r="7" spans="1:18" ht="15" thickBot="1">
      <c r="A7" s="2648"/>
      <c r="B7" s="2651" t="s">
        <v>1827</v>
      </c>
      <c r="C7" s="2655"/>
      <c r="D7" s="2656"/>
      <c r="E7" s="2657"/>
      <c r="F7" s="2658" t="s">
        <v>1203</v>
      </c>
      <c r="G7" s="2659"/>
      <c r="H7" s="2643"/>
      <c r="I7" s="2643"/>
      <c r="J7" s="2643"/>
      <c r="K7" s="2643"/>
      <c r="L7" s="2643"/>
      <c r="M7" s="2643"/>
      <c r="N7" s="2643"/>
      <c r="O7" s="2643"/>
      <c r="P7" s="2643"/>
      <c r="Q7" s="2643"/>
    </row>
    <row r="8" spans="1:18" ht="14.25">
      <c r="A8" s="2648"/>
      <c r="B8" s="2651" t="s">
        <v>1828</v>
      </c>
      <c r="C8" s="2655"/>
      <c r="D8" s="2656"/>
      <c r="E8" s="2656"/>
      <c r="F8" s="2660"/>
      <c r="G8" s="2660"/>
      <c r="H8" s="2643"/>
      <c r="I8" s="2643"/>
      <c r="J8" s="2643"/>
      <c r="K8" s="2643"/>
      <c r="L8" s="2643"/>
      <c r="M8" s="2643"/>
      <c r="N8" s="2643"/>
      <c r="O8" s="2643"/>
      <c r="P8" s="2643"/>
      <c r="Q8" s="2643"/>
    </row>
    <row r="9" spans="1:18" ht="14.25">
      <c r="A9" s="2648"/>
      <c r="B9" s="2651" t="s">
        <v>1189</v>
      </c>
      <c r="C9" s="2652"/>
      <c r="D9" s="2647"/>
      <c r="E9" s="2656"/>
      <c r="F9" s="2660"/>
      <c r="G9" s="2660"/>
      <c r="H9" s="2643"/>
      <c r="I9" s="2643"/>
      <c r="J9" s="2643"/>
      <c r="K9" s="2643"/>
      <c r="L9" s="2643"/>
      <c r="M9" s="2643"/>
      <c r="N9" s="2643"/>
      <c r="O9" s="2643"/>
      <c r="P9" s="2643"/>
      <c r="Q9" s="2643"/>
    </row>
    <row r="10" spans="1:18" ht="15" thickBot="1">
      <c r="A10" s="2661"/>
      <c r="B10" s="2662" t="s">
        <v>1204</v>
      </c>
      <c r="C10" s="2663"/>
      <c r="D10" s="2647"/>
      <c r="E10" s="2647"/>
      <c r="F10" s="2660"/>
      <c r="G10" s="2660"/>
      <c r="J10" s="2665"/>
      <c r="M10" s="2665"/>
      <c r="P10" s="2665"/>
      <c r="R10" s="2664"/>
    </row>
    <row r="11" spans="1:18">
      <c r="A11" s="2666"/>
      <c r="B11" s="2656"/>
      <c r="C11" s="2647"/>
      <c r="D11" s="2647"/>
      <c r="E11" s="2647"/>
      <c r="F11" s="2656"/>
      <c r="G11" s="2656"/>
      <c r="J11" s="2665"/>
      <c r="M11" s="2665"/>
      <c r="P11" s="2665"/>
      <c r="R11" s="2664"/>
    </row>
    <row r="12" spans="1:18" s="2637" customFormat="1" ht="18.75">
      <c r="A12" s="2666"/>
      <c r="B12" s="2656"/>
      <c r="C12" s="2647"/>
      <c r="D12" s="2667"/>
      <c r="E12" s="2647"/>
      <c r="F12" s="2656"/>
      <c r="G12" s="2656"/>
      <c r="H12" s="2668"/>
      <c r="I12" s="2668"/>
      <c r="J12" s="2668"/>
      <c r="K12" s="2668"/>
      <c r="L12" s="2669"/>
      <c r="M12" s="2668"/>
      <c r="N12" s="2670"/>
      <c r="O12" s="2670"/>
      <c r="P12" s="2670"/>
      <c r="Q12" s="2670"/>
    </row>
    <row r="13" spans="1:18" ht="19.5" thickBot="1">
      <c r="A13" s="2671" t="s">
        <v>1205</v>
      </c>
      <c r="B13" s="2667"/>
      <c r="C13" s="2667"/>
      <c r="D13" s="2641"/>
      <c r="E13" s="2667"/>
      <c r="F13" s="2667"/>
      <c r="G13" s="2667"/>
    </row>
    <row r="14" spans="1:18" ht="14.25" thickBot="1">
      <c r="A14" s="2672"/>
      <c r="B14" s="2672"/>
      <c r="C14" s="2673" t="s">
        <v>1197</v>
      </c>
      <c r="D14" s="2647"/>
      <c r="E14" s="2674"/>
      <c r="F14" s="2674"/>
      <c r="G14" s="2640" t="s">
        <v>1198</v>
      </c>
    </row>
    <row r="15" spans="1:18" ht="27">
      <c r="A15" s="2675" t="s">
        <v>1190</v>
      </c>
      <c r="B15" s="2676" t="s">
        <v>1186</v>
      </c>
      <c r="C15" s="2677">
        <f>C3</f>
        <v>0</v>
      </c>
      <c r="D15" s="2647"/>
      <c r="E15" s="2678" t="s">
        <v>1191</v>
      </c>
      <c r="F15" s="2676" t="s">
        <v>1206</v>
      </c>
      <c r="G15" s="2679">
        <f>G3</f>
        <v>0</v>
      </c>
    </row>
    <row r="16" spans="1:18">
      <c r="A16" s="2680"/>
      <c r="B16" s="2681" t="s">
        <v>1200</v>
      </c>
      <c r="C16" s="2682">
        <f>C4</f>
        <v>0</v>
      </c>
      <c r="D16" s="2647"/>
      <c r="E16" s="2683"/>
      <c r="F16" s="2684" t="s">
        <v>1201</v>
      </c>
      <c r="G16" s="2685">
        <f>G4</f>
        <v>0</v>
      </c>
    </row>
    <row r="17" spans="1:7" ht="14.25">
      <c r="A17" s="2680"/>
      <c r="B17" s="2681" t="s">
        <v>1202</v>
      </c>
      <c r="C17" s="2682">
        <f>C5</f>
        <v>0</v>
      </c>
      <c r="D17" s="2656"/>
      <c r="E17" s="2683"/>
      <c r="F17" s="2684" t="s">
        <v>1207</v>
      </c>
      <c r="G17" s="2686"/>
    </row>
    <row r="18" spans="1:7">
      <c r="A18" s="2680"/>
      <c r="B18" s="2684" t="s">
        <v>1188</v>
      </c>
      <c r="C18" s="2685">
        <f>C6</f>
        <v>0</v>
      </c>
      <c r="D18" s="2656"/>
      <c r="E18" s="2683"/>
      <c r="F18" s="2684" t="s">
        <v>1203</v>
      </c>
      <c r="G18" s="2685">
        <f>G7</f>
        <v>0</v>
      </c>
    </row>
    <row r="19" spans="1:7" ht="14.25">
      <c r="A19" s="2680"/>
      <c r="B19" s="2684" t="s">
        <v>1192</v>
      </c>
      <c r="C19" s="2686"/>
      <c r="D19" s="2647"/>
      <c r="E19" s="2683"/>
      <c r="F19" s="2651" t="s">
        <v>1827</v>
      </c>
      <c r="G19" s="2685">
        <f>G5</f>
        <v>0</v>
      </c>
    </row>
    <row r="20" spans="1:7">
      <c r="A20" s="2680"/>
      <c r="B20" s="2684" t="s">
        <v>1193</v>
      </c>
      <c r="C20" s="2682">
        <f>C9</f>
        <v>0</v>
      </c>
      <c r="D20" s="2656"/>
      <c r="E20" s="2683"/>
      <c r="F20" s="2651" t="s">
        <v>1828</v>
      </c>
      <c r="G20" s="2685">
        <f>G6</f>
        <v>0</v>
      </c>
    </row>
    <row r="21" spans="1:7" ht="14.25">
      <c r="A21" s="2680"/>
      <c r="B21" s="2651" t="s">
        <v>1827</v>
      </c>
      <c r="C21" s="2685">
        <f>C7</f>
        <v>0</v>
      </c>
      <c r="D21" s="2647"/>
      <c r="E21" s="2683"/>
      <c r="F21" s="2684" t="s">
        <v>1194</v>
      </c>
      <c r="G21" s="2687"/>
    </row>
    <row r="22" spans="1:7" ht="14.25">
      <c r="A22" s="2680"/>
      <c r="B22" s="2651" t="s">
        <v>1828</v>
      </c>
      <c r="C22" s="2685">
        <f>C8</f>
        <v>0</v>
      </c>
      <c r="D22" s="2647"/>
      <c r="E22" s="2683"/>
      <c r="F22" s="2684" t="s">
        <v>1204</v>
      </c>
      <c r="G22" s="2686"/>
    </row>
    <row r="23" spans="1:7" ht="15" thickBot="1">
      <c r="A23" s="2680"/>
      <c r="B23" s="2684" t="s">
        <v>1194</v>
      </c>
      <c r="C23" s="2687"/>
      <c r="E23" s="2688"/>
      <c r="F23" s="2689" t="s">
        <v>1208</v>
      </c>
      <c r="G23" s="2690"/>
    </row>
    <row r="24" spans="1:7" ht="14.25" thickBot="1">
      <c r="A24" s="2691"/>
      <c r="B24" s="2689" t="s">
        <v>1195</v>
      </c>
      <c r="C24" s="2692">
        <f>C10</f>
        <v>0</v>
      </c>
      <c r="E24" s="2656"/>
      <c r="F24" s="2656"/>
      <c r="G24" s="2656"/>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I9" sqref="I9"/>
    </sheetView>
  </sheetViews>
  <sheetFormatPr defaultColWidth="14.625" defaultRowHeight="13.5"/>
  <cols>
    <col min="1" max="1" width="24.375" style="2694" customWidth="1"/>
    <col min="2" max="16384" width="14.625" style="2694"/>
  </cols>
  <sheetData>
    <row r="1" spans="1:10" ht="16.5">
      <c r="A1" s="2693" t="s">
        <v>2116</v>
      </c>
      <c r="B1" s="2693">
        <f>SUM(B14:B23)</f>
        <v>42462</v>
      </c>
      <c r="C1" s="2701"/>
      <c r="D1" s="2701"/>
      <c r="E1" s="2701"/>
      <c r="F1" s="2701"/>
      <c r="G1" s="2702"/>
      <c r="H1" s="2702"/>
      <c r="I1" s="2702"/>
      <c r="J1" s="2702"/>
    </row>
    <row r="2" spans="1:10" ht="16.5">
      <c r="A2" s="2693" t="s">
        <v>2117</v>
      </c>
      <c r="B2" s="2693">
        <f>SUM(C14:C23)</f>
        <v>16985.07</v>
      </c>
      <c r="C2" s="2701"/>
      <c r="D2" s="2701"/>
      <c r="E2" s="2701"/>
      <c r="F2" s="2701"/>
      <c r="G2" s="2702"/>
      <c r="H2" s="2702"/>
      <c r="I2" s="2702"/>
      <c r="J2" s="2702"/>
    </row>
    <row r="3" spans="1:10" ht="16.5">
      <c r="A3" s="2693" t="s">
        <v>2118</v>
      </c>
      <c r="B3" s="2695">
        <f>项目基本情况!D3</f>
        <v>45817</v>
      </c>
      <c r="C3" s="2701"/>
      <c r="D3" s="2701"/>
      <c r="E3" s="2701"/>
      <c r="F3" s="2701"/>
      <c r="G3" s="2702"/>
      <c r="H3" s="2702"/>
      <c r="I3" s="2702"/>
      <c r="J3" s="2702"/>
    </row>
    <row r="4" spans="1:10" ht="33">
      <c r="A4" s="2693" t="s">
        <v>2119</v>
      </c>
      <c r="B4" s="2693" t="s">
        <v>2120</v>
      </c>
      <c r="C4" s="2693" t="s">
        <v>2121</v>
      </c>
      <c r="D4" s="2693" t="s">
        <v>2122</v>
      </c>
      <c r="E4" s="2701"/>
      <c r="F4" s="2701"/>
      <c r="G4" s="2702"/>
      <c r="H4" s="2702"/>
      <c r="I4" s="2702"/>
      <c r="J4" s="2702"/>
    </row>
    <row r="5" spans="1:10" ht="16.5">
      <c r="A5" s="2693" t="s">
        <v>2123</v>
      </c>
      <c r="B5" s="2693">
        <f ca="1">SUM(D14:D23)</f>
        <v>6384</v>
      </c>
      <c r="C5" s="2693">
        <f ca="1">ROUND(B5*10000/$B$1,0)</f>
        <v>1503</v>
      </c>
      <c r="D5" s="2693">
        <f ca="1">ROUND(B5*10000/$B$2,0)</f>
        <v>3759</v>
      </c>
      <c r="E5" s="2701"/>
      <c r="F5" s="2701"/>
      <c r="G5" s="2702"/>
      <c r="H5" s="2702"/>
      <c r="I5" s="2702"/>
      <c r="J5" s="2702"/>
    </row>
    <row r="6" spans="1:10" ht="16.5">
      <c r="A6" s="2693" t="s">
        <v>2124</v>
      </c>
      <c r="B6" s="2693">
        <f ca="1">SUM(G14:G23)</f>
        <v>6226</v>
      </c>
      <c r="C6" s="2693">
        <f ca="1">ROUND(B6*10000/$B$1,0)</f>
        <v>1466</v>
      </c>
      <c r="D6" s="2693">
        <f ca="1">ROUND(B6*10000/$B$2,0)</f>
        <v>3666</v>
      </c>
      <c r="E6" s="2701"/>
      <c r="F6" s="2701"/>
      <c r="G6" s="2702"/>
      <c r="H6" s="2702"/>
      <c r="I6" s="2702"/>
      <c r="J6" s="2702"/>
    </row>
    <row r="7" spans="1:10" ht="16.5">
      <c r="A7" s="2693" t="s">
        <v>2125</v>
      </c>
      <c r="B7" s="2693">
        <f>SUM(H14:H23)</f>
        <v>0</v>
      </c>
      <c r="C7" s="2693">
        <f>ROUND(B7*10000/$B$1,0)</f>
        <v>0</v>
      </c>
      <c r="D7" s="2693">
        <f>ROUND(B7*10000/$B$2,0)</f>
        <v>0</v>
      </c>
      <c r="E7" s="2701"/>
      <c r="F7" s="2701"/>
      <c r="G7" s="2702"/>
      <c r="H7" s="2702"/>
      <c r="I7" s="2702"/>
      <c r="J7" s="2702"/>
    </row>
    <row r="8" spans="1:10" ht="16.5">
      <c r="A8" s="2693" t="s">
        <v>2126</v>
      </c>
      <c r="B8" s="2693">
        <f>SUM(I14:I23)</f>
        <v>0</v>
      </c>
      <c r="C8" s="2693">
        <f>ROUND(B8*10000/$B$1,0)</f>
        <v>0</v>
      </c>
      <c r="D8" s="2693">
        <f>ROUND(B8*10000/$B$2,0)</f>
        <v>0</v>
      </c>
      <c r="E8" s="2701"/>
      <c r="F8" s="2701"/>
      <c r="G8" s="2702"/>
      <c r="H8" s="2702"/>
      <c r="I8" s="2702"/>
      <c r="J8" s="2702"/>
    </row>
    <row r="9" spans="1:10" ht="16.5">
      <c r="A9" s="2693" t="s">
        <v>2127</v>
      </c>
      <c r="B9" s="2324"/>
      <c r="C9" s="2701"/>
      <c r="D9" s="2701"/>
      <c r="E9" s="2701"/>
      <c r="F9" s="2701"/>
      <c r="G9" s="2702"/>
      <c r="H9" s="2702"/>
      <c r="I9" s="2702"/>
      <c r="J9" s="2702"/>
    </row>
    <row r="10" spans="1:10" ht="16.5">
      <c r="A10" s="2693" t="s">
        <v>2128</v>
      </c>
      <c r="B10" s="2324"/>
      <c r="C10" s="2701"/>
      <c r="D10" s="2701"/>
      <c r="E10" s="2701"/>
      <c r="F10" s="2701"/>
      <c r="G10" s="2702"/>
      <c r="H10" s="2702"/>
      <c r="I10" s="2702"/>
      <c r="J10" s="2702"/>
    </row>
    <row r="11" spans="1:10" ht="16.5">
      <c r="A11" s="2693" t="s">
        <v>2145</v>
      </c>
      <c r="B11" s="2324"/>
      <c r="C11" s="2701"/>
      <c r="D11" s="2701"/>
      <c r="E11" s="2701"/>
      <c r="F11" s="2701"/>
      <c r="G11" s="2702"/>
      <c r="H11" s="2702"/>
      <c r="I11" s="2702"/>
      <c r="J11" s="2702"/>
    </row>
    <row r="12" spans="1:10" ht="16.5">
      <c r="A12" s="2701"/>
      <c r="B12" s="2701"/>
      <c r="C12" s="2701"/>
      <c r="D12" s="2701"/>
      <c r="E12" s="2701"/>
      <c r="F12" s="2701"/>
      <c r="G12" s="2702"/>
      <c r="H12" s="2702"/>
      <c r="I12" s="2702"/>
      <c r="J12" s="2702"/>
    </row>
    <row r="13" spans="1:10" ht="33">
      <c r="A13" s="2696" t="s">
        <v>2144</v>
      </c>
      <c r="B13" s="2697" t="s">
        <v>2116</v>
      </c>
      <c r="C13" s="2697" t="s">
        <v>2117</v>
      </c>
      <c r="D13" s="2697" t="s">
        <v>2129</v>
      </c>
      <c r="E13" s="2693" t="s">
        <v>2143</v>
      </c>
      <c r="F13" s="2693" t="s">
        <v>2122</v>
      </c>
      <c r="G13" s="2697" t="s">
        <v>2130</v>
      </c>
      <c r="H13" s="2697" t="s">
        <v>2131</v>
      </c>
      <c r="I13" s="2697" t="s">
        <v>2132</v>
      </c>
      <c r="J13" s="2702"/>
    </row>
    <row r="14" spans="1:10" ht="16.5">
      <c r="A14" s="2698" t="s">
        <v>2142</v>
      </c>
      <c r="B14" s="2699">
        <f>'数据-汇总表'!E3</f>
        <v>42462</v>
      </c>
      <c r="C14" s="2699">
        <f>'数据-汇总表'!D3</f>
        <v>16985.07</v>
      </c>
      <c r="D14" s="2699">
        <f ca="1">结果表!G19</f>
        <v>6384</v>
      </c>
      <c r="E14" s="2699">
        <f ca="1">ROUND(D14*10000/B14,0)</f>
        <v>1503</v>
      </c>
      <c r="F14" s="2699">
        <f ca="1">ROUND(D14*10000/C14,0)</f>
        <v>3759</v>
      </c>
      <c r="G14" s="2699">
        <f ca="1">结果表!O39</f>
        <v>6226</v>
      </c>
      <c r="H14" s="2699"/>
      <c r="I14" s="2699"/>
      <c r="J14" s="2702"/>
    </row>
    <row r="15" spans="1:10" ht="16.5">
      <c r="A15" s="2698" t="s">
        <v>2133</v>
      </c>
      <c r="B15" s="2700"/>
      <c r="C15" s="2700"/>
      <c r="D15" s="2700"/>
      <c r="E15" s="2699" t="e">
        <f t="shared" ref="E15:E23" si="0">ROUND(D15*10000/B15,0)</f>
        <v>#DIV/0!</v>
      </c>
      <c r="F15" s="2699" t="e">
        <f t="shared" ref="F15:F23" si="1">ROUND(D15*10000/C15,0)</f>
        <v>#DIV/0!</v>
      </c>
      <c r="G15" s="2324"/>
      <c r="H15" s="2324"/>
      <c r="I15" s="2700"/>
      <c r="J15" s="2702"/>
    </row>
    <row r="16" spans="1:10" ht="16.5">
      <c r="A16" s="2698" t="s">
        <v>2134</v>
      </c>
      <c r="B16" s="2700"/>
      <c r="C16" s="2700"/>
      <c r="D16" s="2700"/>
      <c r="E16" s="2699" t="e">
        <f t="shared" si="0"/>
        <v>#DIV/0!</v>
      </c>
      <c r="F16" s="2699" t="e">
        <f t="shared" si="1"/>
        <v>#DIV/0!</v>
      </c>
      <c r="G16" s="2324"/>
      <c r="H16" s="2324"/>
      <c r="I16" s="2700"/>
      <c r="J16" s="2702"/>
    </row>
    <row r="17" spans="1:10" ht="16.5">
      <c r="A17" s="2698" t="s">
        <v>2135</v>
      </c>
      <c r="B17" s="2700"/>
      <c r="C17" s="2700"/>
      <c r="D17" s="2700"/>
      <c r="E17" s="2699" t="e">
        <f t="shared" si="0"/>
        <v>#DIV/0!</v>
      </c>
      <c r="F17" s="2699" t="e">
        <f t="shared" si="1"/>
        <v>#DIV/0!</v>
      </c>
      <c r="G17" s="2324"/>
      <c r="H17" s="2324"/>
      <c r="I17" s="2700"/>
      <c r="J17" s="2702"/>
    </row>
    <row r="18" spans="1:10" ht="16.5">
      <c r="A18" s="2698" t="s">
        <v>2136</v>
      </c>
      <c r="B18" s="2700"/>
      <c r="C18" s="2700"/>
      <c r="D18" s="2700"/>
      <c r="E18" s="2699" t="e">
        <f t="shared" si="0"/>
        <v>#DIV/0!</v>
      </c>
      <c r="F18" s="2699" t="e">
        <f t="shared" si="1"/>
        <v>#DIV/0!</v>
      </c>
      <c r="G18" s="2700"/>
      <c r="H18" s="2700"/>
      <c r="I18" s="2700"/>
      <c r="J18" s="2702"/>
    </row>
    <row r="19" spans="1:10" ht="16.5">
      <c r="A19" s="2698" t="s">
        <v>2137</v>
      </c>
      <c r="B19" s="2700"/>
      <c r="C19" s="2700"/>
      <c r="D19" s="2700"/>
      <c r="E19" s="2699" t="e">
        <f t="shared" si="0"/>
        <v>#DIV/0!</v>
      </c>
      <c r="F19" s="2699" t="e">
        <f t="shared" si="1"/>
        <v>#DIV/0!</v>
      </c>
      <c r="G19" s="2700"/>
      <c r="H19" s="2700"/>
      <c r="I19" s="2700"/>
      <c r="J19" s="2702"/>
    </row>
    <row r="20" spans="1:10" ht="16.5">
      <c r="A20" s="2698" t="s">
        <v>2138</v>
      </c>
      <c r="B20" s="2700"/>
      <c r="C20" s="2700"/>
      <c r="D20" s="2700"/>
      <c r="E20" s="2699" t="e">
        <f t="shared" si="0"/>
        <v>#DIV/0!</v>
      </c>
      <c r="F20" s="2699" t="e">
        <f t="shared" si="1"/>
        <v>#DIV/0!</v>
      </c>
      <c r="G20" s="2700"/>
      <c r="H20" s="2700"/>
      <c r="I20" s="2700"/>
      <c r="J20" s="2702"/>
    </row>
    <row r="21" spans="1:10" ht="16.5">
      <c r="A21" s="2698" t="s">
        <v>2139</v>
      </c>
      <c r="B21" s="2700"/>
      <c r="C21" s="2700"/>
      <c r="D21" s="2700"/>
      <c r="E21" s="2699" t="e">
        <f t="shared" si="0"/>
        <v>#DIV/0!</v>
      </c>
      <c r="F21" s="2699" t="e">
        <f t="shared" si="1"/>
        <v>#DIV/0!</v>
      </c>
      <c r="G21" s="2700"/>
      <c r="H21" s="2700"/>
      <c r="I21" s="2700"/>
      <c r="J21" s="2702"/>
    </row>
    <row r="22" spans="1:10" ht="16.5">
      <c r="A22" s="2698" t="s">
        <v>2140</v>
      </c>
      <c r="B22" s="2700"/>
      <c r="C22" s="2700"/>
      <c r="D22" s="2700"/>
      <c r="E22" s="2699" t="e">
        <f t="shared" si="0"/>
        <v>#DIV/0!</v>
      </c>
      <c r="F22" s="2699" t="e">
        <f t="shared" si="1"/>
        <v>#DIV/0!</v>
      </c>
      <c r="G22" s="2700"/>
      <c r="H22" s="2700"/>
      <c r="I22" s="2700"/>
      <c r="J22" s="2702"/>
    </row>
    <row r="23" spans="1:10" ht="16.5">
      <c r="A23" s="2698" t="s">
        <v>2141</v>
      </c>
      <c r="B23" s="2700"/>
      <c r="C23" s="2700"/>
      <c r="D23" s="2700"/>
      <c r="E23" s="2324" t="e">
        <f t="shared" si="0"/>
        <v>#DIV/0!</v>
      </c>
      <c r="F23" s="2324" t="e">
        <f t="shared" si="1"/>
        <v>#DIV/0!</v>
      </c>
      <c r="G23" s="2700"/>
      <c r="H23" s="2700"/>
      <c r="I23" s="2700"/>
      <c r="J23" s="2702"/>
    </row>
    <row r="24" spans="1:10">
      <c r="A24" s="2702"/>
      <c r="B24" s="2702"/>
      <c r="C24" s="2702"/>
      <c r="D24" s="2702"/>
      <c r="E24" s="2702"/>
      <c r="F24" s="2702"/>
      <c r="G24" s="2702"/>
      <c r="H24" s="2702"/>
      <c r="I24" s="2702"/>
      <c r="J24" s="2702"/>
    </row>
    <row r="25" spans="1:10">
      <c r="A25" s="2702"/>
      <c r="B25" s="2702"/>
      <c r="C25" s="2702"/>
      <c r="D25" s="2702"/>
      <c r="E25" s="2702"/>
      <c r="F25" s="2702"/>
      <c r="G25" s="2702"/>
      <c r="H25" s="2702"/>
      <c r="I25" s="2702"/>
      <c r="J25" s="2702"/>
    </row>
    <row r="26" spans="1:10">
      <c r="A26" s="2702"/>
      <c r="B26" s="2702"/>
      <c r="C26" s="2702"/>
      <c r="D26" s="2702"/>
      <c r="E26" s="2702"/>
      <c r="F26" s="2702"/>
      <c r="G26" s="2702"/>
      <c r="H26" s="2702"/>
      <c r="I26" s="2702"/>
      <c r="J26" s="270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29" zoomScale="85" zoomScaleNormal="100" zoomScaleSheetLayoutView="85" zoomScalePageLayoutView="80" workbookViewId="0">
      <selection activeCell="I26" sqref="I26"/>
    </sheetView>
  </sheetViews>
  <sheetFormatPr defaultColWidth="12.625" defaultRowHeight="21.75" customHeight="1"/>
  <cols>
    <col min="1" max="2" width="12.75" style="1042" bestFit="1" customWidth="1"/>
    <col min="3" max="4" width="12.625" style="1042" customWidth="1"/>
    <col min="5" max="9" width="12.75" style="1042"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2"/>
  </cols>
  <sheetData>
    <row r="1" spans="1:22" ht="21.75" customHeight="1" thickBot="1">
      <c r="A1" s="1471" t="s">
        <v>1571</v>
      </c>
      <c r="B1" s="1472"/>
      <c r="C1" s="1497" t="s">
        <v>1572</v>
      </c>
      <c r="D1" s="1498" t="s">
        <v>3679</v>
      </c>
      <c r="E1" s="1497" t="s">
        <v>1573</v>
      </c>
      <c r="F1" s="1499" t="s">
        <v>3680</v>
      </c>
      <c r="G1" s="287"/>
      <c r="H1" s="287"/>
      <c r="I1" s="287"/>
      <c r="J1" s="1634"/>
      <c r="K1" s="1634"/>
      <c r="L1" s="1634"/>
      <c r="M1" s="1634"/>
      <c r="N1" s="1634"/>
      <c r="O1" s="1634"/>
      <c r="P1" s="1634"/>
      <c r="Q1" s="1634"/>
      <c r="R1" s="1634"/>
      <c r="S1" s="1634"/>
      <c r="T1" s="1634"/>
      <c r="U1" s="1634"/>
      <c r="V1" s="1634"/>
    </row>
    <row r="2" spans="1:22" ht="21.75" customHeight="1" thickBot="1">
      <c r="A2" s="3553" t="str">
        <f>项目基本情况!K2</f>
        <v>出让国有建设用地使用权</v>
      </c>
      <c r="B2" s="3554"/>
      <c r="C2" s="3555"/>
      <c r="D2" s="3555"/>
      <c r="E2" s="3555"/>
      <c r="F2" s="3555"/>
      <c r="G2" s="3554"/>
      <c r="H2" s="3554"/>
      <c r="I2" s="3556"/>
      <c r="J2" s="1641"/>
      <c r="K2" s="1634"/>
      <c r="L2" s="1634"/>
      <c r="M2" s="1634"/>
      <c r="N2" s="1634"/>
      <c r="O2" s="1634"/>
      <c r="P2" s="1634"/>
      <c r="Q2" s="1634"/>
      <c r="R2" s="1634"/>
      <c r="S2" s="1634"/>
      <c r="T2" s="1634"/>
      <c r="U2" s="1634"/>
      <c r="V2" s="1634"/>
    </row>
    <row r="3" spans="1:22" ht="14.25">
      <c r="A3" s="3546" t="s">
        <v>264</v>
      </c>
      <c r="B3" s="3547"/>
      <c r="C3" s="3547"/>
      <c r="D3" s="3547"/>
      <c r="E3" s="3547"/>
      <c r="F3" s="3547"/>
      <c r="G3" s="3547"/>
      <c r="H3" s="3547"/>
      <c r="I3" s="3547"/>
      <c r="J3" s="1641"/>
      <c r="K3" s="1634"/>
      <c r="L3" s="1634"/>
      <c r="M3" s="1634"/>
      <c r="N3" s="1634"/>
      <c r="O3" s="1634"/>
      <c r="P3" s="1634"/>
      <c r="Q3" s="1634"/>
      <c r="R3" s="1634"/>
      <c r="S3" s="1634"/>
      <c r="T3" s="1634"/>
      <c r="U3" s="1634"/>
      <c r="V3" s="1634"/>
    </row>
    <row r="4" spans="1:22" ht="14.25">
      <c r="A4" s="238" t="s">
        <v>265</v>
      </c>
      <c r="B4" s="239" t="s">
        <v>266</v>
      </c>
      <c r="C4" s="240" t="s">
        <v>3564</v>
      </c>
      <c r="D4" s="240" t="s">
        <v>3565</v>
      </c>
      <c r="E4" s="3512" t="s">
        <v>267</v>
      </c>
      <c r="F4" s="3513"/>
      <c r="G4" s="3513"/>
      <c r="H4" s="3513"/>
      <c r="I4" s="3548"/>
      <c r="J4" s="1641"/>
      <c r="K4" s="1634"/>
      <c r="L4" s="1116"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511" t="s">
        <v>268</v>
      </c>
      <c r="B5" s="3540">
        <v>25</v>
      </c>
      <c r="C5" s="3538"/>
      <c r="D5" s="3542"/>
      <c r="E5" s="241" t="s">
        <v>269</v>
      </c>
      <c r="F5" s="242"/>
      <c r="G5" s="242"/>
      <c r="H5" s="242"/>
      <c r="I5" s="243"/>
      <c r="J5" s="1641"/>
      <c r="K5" s="1634"/>
      <c r="L5" s="1634"/>
      <c r="M5" s="1634"/>
      <c r="N5" s="1634"/>
      <c r="O5" s="1634"/>
      <c r="P5" s="1634"/>
      <c r="Q5" s="1634"/>
      <c r="R5" s="1634"/>
      <c r="S5" s="1634"/>
      <c r="T5" s="1634"/>
      <c r="U5" s="1634"/>
      <c r="V5" s="1634"/>
    </row>
    <row r="6" spans="1:22" ht="14.25">
      <c r="A6" s="3511"/>
      <c r="B6" s="3540"/>
      <c r="C6" s="3541"/>
      <c r="D6" s="3542"/>
      <c r="E6" s="241" t="s">
        <v>270</v>
      </c>
      <c r="F6" s="242"/>
      <c r="G6" s="242"/>
      <c r="H6" s="242"/>
      <c r="I6" s="243"/>
      <c r="J6" s="1641"/>
      <c r="K6" s="1634"/>
      <c r="L6" s="1634"/>
      <c r="M6" s="1634"/>
      <c r="N6" s="1634"/>
      <c r="O6" s="1634"/>
      <c r="P6" s="1634"/>
      <c r="Q6" s="1634"/>
      <c r="R6" s="1634"/>
      <c r="S6" s="1634"/>
      <c r="T6" s="1634"/>
      <c r="U6" s="1634"/>
      <c r="V6" s="1634"/>
    </row>
    <row r="7" spans="1:22" ht="14.25">
      <c r="A7" s="3511"/>
      <c r="B7" s="3540"/>
      <c r="C7" s="3539"/>
      <c r="D7" s="3542"/>
      <c r="E7" s="241" t="s">
        <v>271</v>
      </c>
      <c r="F7" s="242"/>
      <c r="G7" s="242"/>
      <c r="H7" s="242"/>
      <c r="I7" s="243"/>
      <c r="J7" s="1641"/>
      <c r="K7" s="1634"/>
      <c r="L7" s="1634"/>
      <c r="M7" s="1634"/>
      <c r="N7" s="1634"/>
      <c r="O7" s="1634"/>
      <c r="P7" s="1634"/>
      <c r="Q7" s="1634"/>
      <c r="R7" s="1634"/>
      <c r="S7" s="1634"/>
      <c r="T7" s="1634"/>
      <c r="U7" s="1634"/>
      <c r="V7" s="1634"/>
    </row>
    <row r="8" spans="1:22" ht="14.25">
      <c r="A8" s="3511" t="s">
        <v>272</v>
      </c>
      <c r="B8" s="3540">
        <v>15</v>
      </c>
      <c r="C8" s="3538"/>
      <c r="D8" s="3542"/>
      <c r="E8" s="241" t="s">
        <v>273</v>
      </c>
      <c r="F8" s="242"/>
      <c r="G8" s="242"/>
      <c r="H8" s="242"/>
      <c r="I8" s="243"/>
      <c r="J8" s="1641"/>
      <c r="K8" s="1634"/>
      <c r="L8" s="1634"/>
      <c r="M8" s="1634"/>
      <c r="N8" s="1634"/>
      <c r="O8" s="1634"/>
      <c r="P8" s="1634"/>
      <c r="Q8" s="1634"/>
      <c r="R8" s="1634"/>
      <c r="S8" s="1634"/>
      <c r="T8" s="1634"/>
      <c r="U8" s="1634"/>
      <c r="V8" s="1634"/>
    </row>
    <row r="9" spans="1:22" ht="14.25">
      <c r="A9" s="3511"/>
      <c r="B9" s="3540"/>
      <c r="C9" s="3539"/>
      <c r="D9" s="3542"/>
      <c r="E9" s="241" t="s">
        <v>274</v>
      </c>
      <c r="F9" s="242"/>
      <c r="G9" s="242"/>
      <c r="H9" s="242"/>
      <c r="I9" s="243"/>
      <c r="J9" s="1641"/>
      <c r="K9" s="1634"/>
      <c r="L9" s="1634"/>
      <c r="M9" s="1634"/>
      <c r="N9" s="1634"/>
      <c r="O9" s="1634"/>
      <c r="P9" s="1634"/>
      <c r="Q9" s="1634"/>
      <c r="R9" s="1634"/>
      <c r="S9" s="1634"/>
      <c r="T9" s="1634"/>
      <c r="U9" s="1634"/>
      <c r="V9" s="1634"/>
    </row>
    <row r="10" spans="1:22" ht="14.25">
      <c r="A10" s="3511" t="s">
        <v>275</v>
      </c>
      <c r="B10" s="3540">
        <v>15</v>
      </c>
      <c r="C10" s="3538"/>
      <c r="D10" s="3542"/>
      <c r="E10" s="241" t="s">
        <v>276</v>
      </c>
      <c r="F10" s="242"/>
      <c r="G10" s="242"/>
      <c r="H10" s="242"/>
      <c r="I10" s="243"/>
      <c r="J10" s="1641"/>
      <c r="K10" s="1634"/>
      <c r="L10" s="1634"/>
      <c r="M10" s="1634"/>
      <c r="N10" s="1634"/>
      <c r="O10" s="1634"/>
      <c r="P10" s="1634"/>
      <c r="Q10" s="1634"/>
      <c r="R10" s="1634"/>
      <c r="S10" s="1634"/>
      <c r="T10" s="1634"/>
      <c r="U10" s="1634"/>
      <c r="V10" s="1634"/>
    </row>
    <row r="11" spans="1:22" ht="14.25">
      <c r="A11" s="3511"/>
      <c r="B11" s="3540"/>
      <c r="C11" s="3539"/>
      <c r="D11" s="3542"/>
      <c r="E11" s="241" t="s">
        <v>277</v>
      </c>
      <c r="F11" s="242"/>
      <c r="G11" s="242"/>
      <c r="H11" s="242"/>
      <c r="I11" s="243"/>
      <c r="J11" s="1641"/>
      <c r="K11" s="1634"/>
      <c r="L11" s="1634"/>
      <c r="M11" s="1634"/>
      <c r="N11" s="1634"/>
      <c r="O11" s="1634"/>
      <c r="P11" s="1634"/>
      <c r="Q11" s="1634"/>
      <c r="R11" s="1634"/>
      <c r="S11" s="1634"/>
      <c r="T11" s="1634"/>
      <c r="U11" s="1634"/>
      <c r="V11" s="1634"/>
    </row>
    <row r="12" spans="1:22" ht="14.25">
      <c r="A12" s="3511" t="s">
        <v>278</v>
      </c>
      <c r="B12" s="3540">
        <v>15</v>
      </c>
      <c r="C12" s="3538"/>
      <c r="D12" s="3542"/>
      <c r="E12" s="241" t="s">
        <v>279</v>
      </c>
      <c r="F12" s="242"/>
      <c r="G12" s="242"/>
      <c r="H12" s="242"/>
      <c r="I12" s="243"/>
      <c r="J12" s="1641"/>
      <c r="K12" s="1634"/>
      <c r="L12" s="1634"/>
      <c r="M12" s="1634"/>
      <c r="N12" s="1634"/>
      <c r="O12" s="1634"/>
      <c r="P12" s="1634"/>
      <c r="Q12" s="1634"/>
      <c r="R12" s="1634"/>
      <c r="S12" s="1634"/>
      <c r="T12" s="1634"/>
      <c r="U12" s="1634"/>
      <c r="V12" s="1634"/>
    </row>
    <row r="13" spans="1:22" ht="14.25">
      <c r="A13" s="3511"/>
      <c r="B13" s="3540"/>
      <c r="C13" s="3539"/>
      <c r="D13" s="3542"/>
      <c r="E13" s="241" t="s">
        <v>280</v>
      </c>
      <c r="F13" s="242"/>
      <c r="G13" s="242"/>
      <c r="H13" s="242"/>
      <c r="I13" s="243"/>
      <c r="J13" s="1641"/>
      <c r="K13" s="1634"/>
      <c r="L13" s="1634"/>
      <c r="M13" s="1634"/>
      <c r="N13" s="1634"/>
      <c r="O13" s="1634"/>
      <c r="P13" s="1634"/>
      <c r="Q13" s="1634"/>
      <c r="R13" s="1634"/>
      <c r="S13" s="1634"/>
      <c r="T13" s="1634"/>
      <c r="U13" s="1634"/>
      <c r="V13" s="1634"/>
    </row>
    <row r="14" spans="1:22" ht="14.25">
      <c r="A14" s="3511" t="s">
        <v>281</v>
      </c>
      <c r="B14" s="3540">
        <v>30</v>
      </c>
      <c r="C14" s="3538">
        <v>45</v>
      </c>
      <c r="D14" s="3542">
        <v>55</v>
      </c>
      <c r="E14" s="241" t="s">
        <v>282</v>
      </c>
      <c r="F14" s="242"/>
      <c r="G14" s="242"/>
      <c r="H14" s="242"/>
      <c r="I14" s="243"/>
      <c r="J14" s="1641"/>
      <c r="K14" s="1634"/>
      <c r="L14" s="1634"/>
      <c r="M14" s="1634"/>
      <c r="N14" s="1634"/>
      <c r="O14" s="1634"/>
      <c r="P14" s="1634"/>
      <c r="Q14" s="1634"/>
      <c r="R14" s="1634"/>
      <c r="S14" s="1634"/>
      <c r="T14" s="1634"/>
      <c r="U14" s="1634"/>
      <c r="V14" s="1634"/>
    </row>
    <row r="15" spans="1:22" ht="14.25">
      <c r="A15" s="3511"/>
      <c r="B15" s="3540"/>
      <c r="C15" s="3541"/>
      <c r="D15" s="3542"/>
      <c r="E15" s="241" t="s">
        <v>283</v>
      </c>
      <c r="F15" s="242"/>
      <c r="G15" s="242"/>
      <c r="H15" s="242"/>
      <c r="I15" s="243"/>
      <c r="J15" s="1641"/>
      <c r="K15" s="1634"/>
      <c r="L15" s="1634"/>
      <c r="M15" s="1634"/>
      <c r="N15" s="1634"/>
      <c r="O15" s="1634"/>
      <c r="P15" s="1634"/>
      <c r="Q15" s="1634"/>
      <c r="R15" s="1634"/>
      <c r="S15" s="1634"/>
      <c r="T15" s="1634"/>
      <c r="U15" s="1634"/>
      <c r="V15" s="1634"/>
    </row>
    <row r="16" spans="1:22" ht="14.25">
      <c r="A16" s="3511"/>
      <c r="B16" s="3540"/>
      <c r="C16" s="3539"/>
      <c r="D16" s="3542"/>
      <c r="E16" s="241" t="s">
        <v>284</v>
      </c>
      <c r="F16" s="242"/>
      <c r="G16" s="242"/>
      <c r="H16" s="242"/>
      <c r="I16" s="243"/>
      <c r="J16" s="1641"/>
      <c r="K16" s="1634"/>
      <c r="L16" s="1634"/>
      <c r="M16" s="1634"/>
      <c r="N16" s="1634"/>
      <c r="O16" s="1634"/>
      <c r="P16" s="1634"/>
      <c r="Q16" s="1634"/>
      <c r="R16" s="1634"/>
      <c r="S16" s="1634"/>
      <c r="T16" s="1634"/>
      <c r="U16" s="1634"/>
      <c r="V16" s="1634"/>
    </row>
    <row r="17" spans="1:22" ht="15">
      <c r="A17" s="244" t="s">
        <v>285</v>
      </c>
      <c r="B17" s="125"/>
      <c r="C17" s="245">
        <f>SUM(C5:C16)</f>
        <v>45</v>
      </c>
      <c r="D17" s="245">
        <f>SUM(D5:D16)</f>
        <v>55</v>
      </c>
      <c r="E17" s="287"/>
      <c r="F17" s="287"/>
      <c r="G17" s="287"/>
      <c r="H17" s="287"/>
      <c r="I17" s="287"/>
      <c r="J17" s="1641"/>
      <c r="K17" s="1634"/>
      <c r="L17" s="1634"/>
      <c r="M17" s="1634"/>
      <c r="N17" s="1634"/>
      <c r="O17" s="1634"/>
      <c r="P17" s="1634"/>
      <c r="Q17" s="1634"/>
      <c r="R17" s="1634"/>
      <c r="S17" s="1634"/>
      <c r="T17" s="1634"/>
      <c r="U17" s="1634"/>
      <c r="V17" s="1634"/>
    </row>
    <row r="18" spans="1:22" ht="32.450000000000003" customHeight="1" thickBot="1">
      <c r="A18" s="246" t="s">
        <v>286</v>
      </c>
      <c r="B18" s="96"/>
      <c r="C18" s="247">
        <f>ROUND(C17/SUM(C17:D17),2)</f>
        <v>0.45</v>
      </c>
      <c r="D18" s="247">
        <f>1-C18</f>
        <v>0.55000000000000004</v>
      </c>
      <c r="E18" s="3543" t="s">
        <v>2242</v>
      </c>
      <c r="F18" s="3544"/>
      <c r="G18" s="3544"/>
      <c r="H18" s="3544"/>
      <c r="I18" s="3544"/>
      <c r="J18" s="1634"/>
      <c r="K18" s="1634"/>
      <c r="L18" s="1634"/>
      <c r="M18" s="1634"/>
      <c r="N18" s="1634"/>
      <c r="O18" s="1634"/>
      <c r="P18" s="1634"/>
      <c r="Q18" s="1634"/>
      <c r="R18" s="1634"/>
      <c r="S18" s="1634"/>
      <c r="T18" s="1634"/>
      <c r="U18" s="1634"/>
      <c r="V18" s="1634"/>
    </row>
    <row r="19" spans="1:22" ht="15">
      <c r="A19" s="248" t="s">
        <v>287</v>
      </c>
      <c r="B19" s="249" t="s">
        <v>288</v>
      </c>
      <c r="C19" s="250">
        <f ca="1">SUMIF(INDIRECT("'"&amp;C4&amp;"'"&amp;"!A:A"),结果表!B19,INDIRECT("'"&amp;C4&amp;"'"&amp;"!B:B"))</f>
        <v>8966</v>
      </c>
      <c r="D19" s="251">
        <f ca="1">SUMIF(INDIRECT("'"&amp;D4&amp;"'"&amp;"!A:A"),结果表!B19,INDIRECT("'"&amp;D4&amp;"'"&amp;"!B:B"))</f>
        <v>4271</v>
      </c>
      <c r="E19" s="248" t="s">
        <v>289</v>
      </c>
      <c r="F19" s="249" t="s">
        <v>288</v>
      </c>
      <c r="G19" s="252">
        <f ca="1">ROUND(C19*$C$18+D19*$D$18,0)</f>
        <v>6384</v>
      </c>
      <c r="H19" s="253" t="s">
        <v>290</v>
      </c>
      <c r="I19" s="287"/>
      <c r="J19" s="1634"/>
      <c r="K19" s="1634"/>
      <c r="L19" s="1634"/>
      <c r="M19" s="1634"/>
      <c r="N19" s="1634"/>
      <c r="O19" s="1634"/>
      <c r="P19" s="1634"/>
      <c r="Q19" s="1634"/>
      <c r="R19" s="1634"/>
      <c r="S19" s="1634"/>
      <c r="T19" s="1634"/>
      <c r="U19" s="1634"/>
      <c r="V19" s="1634"/>
    </row>
    <row r="20" spans="1:22" ht="15">
      <c r="A20" s="254"/>
      <c r="B20" s="102" t="s">
        <v>291</v>
      </c>
      <c r="C20" s="255">
        <f ca="1">SUMIF(INDIRECT("'"&amp;C4&amp;"'"&amp;"!A:A"),结果表!B20,INDIRECT("'"&amp;C4&amp;"'"&amp;"!B:B"))</f>
        <v>2112</v>
      </c>
      <c r="D20" s="256">
        <f ca="1">SUMIF(INDIRECT("'"&amp;D4&amp;"'"&amp;"!A:A"),结果表!B20,INDIRECT("'"&amp;D4&amp;"'"&amp;"!B:B"))</f>
        <v>1006</v>
      </c>
      <c r="E20" s="254"/>
      <c r="F20" s="102" t="s">
        <v>291</v>
      </c>
      <c r="G20" s="257">
        <f ca="1">ROUND(C20*$C$18+D20*$D$18,0)</f>
        <v>1504</v>
      </c>
      <c r="H20" s="258" t="s">
        <v>292</v>
      </c>
      <c r="I20" s="287"/>
      <c r="J20" s="1634"/>
      <c r="K20" s="1634"/>
      <c r="L20" s="1634"/>
      <c r="M20" s="1634"/>
      <c r="N20" s="1634"/>
      <c r="O20" s="1634"/>
      <c r="P20" s="1634"/>
      <c r="Q20" s="1634"/>
      <c r="R20" s="1634"/>
      <c r="S20" s="1634"/>
      <c r="T20" s="1634"/>
      <c r="U20" s="1634"/>
      <c r="V20" s="1634"/>
    </row>
    <row r="21" spans="1:22" ht="15" customHeight="1">
      <c r="A21" s="254"/>
      <c r="B21" s="106" t="s">
        <v>293</v>
      </c>
      <c r="C21" s="259">
        <f ca="1">SUMIF(INDIRECT("'"&amp;C4&amp;"'"&amp;"!A:A"),结果表!B21,INDIRECT("'"&amp;C4&amp;"'"&amp;"!B:B"))</f>
        <v>5279</v>
      </c>
      <c r="D21" s="135">
        <f ca="1">SUMIF(INDIRECT("'"&amp;D4&amp;"'"&amp;"!A:A"),结果表!B21,INDIRECT("'"&amp;D4&amp;"'"&amp;"!B:B"))</f>
        <v>2515</v>
      </c>
      <c r="E21" s="254"/>
      <c r="F21" s="106" t="s">
        <v>293</v>
      </c>
      <c r="G21" s="260">
        <f ca="1">ROUND(C21*$C$18+D21*$D$18,0)</f>
        <v>3759</v>
      </c>
      <c r="H21" s="258" t="s">
        <v>292</v>
      </c>
      <c r="I21" s="287"/>
      <c r="J21" s="1634"/>
      <c r="K21" s="1634"/>
      <c r="L21" s="1634"/>
      <c r="M21" s="1634"/>
      <c r="N21" s="1634"/>
      <c r="O21" s="1634"/>
      <c r="P21" s="1634"/>
      <c r="Q21" s="1634"/>
      <c r="R21" s="1634"/>
      <c r="S21" s="1634"/>
      <c r="T21" s="1634"/>
      <c r="U21" s="1634"/>
      <c r="V21" s="1634"/>
    </row>
    <row r="22" spans="1:22" ht="15.75" thickBot="1">
      <c r="A22" s="117" t="s">
        <v>294</v>
      </c>
      <c r="B22" s="1058"/>
      <c r="C22" s="241"/>
      <c r="D22" s="261">
        <f ca="1">IF(C19&lt;D19,D19/C19-1,C19/D19-1)</f>
        <v>1.0992741746663546</v>
      </c>
      <c r="E22" s="262"/>
      <c r="F22" s="263"/>
      <c r="G22" s="264">
        <f ca="1">ROUND(G19/('数据-汇总表'!D3/666.67),0)</f>
        <v>251</v>
      </c>
      <c r="H22" s="265" t="s">
        <v>295</v>
      </c>
      <c r="I22" s="287"/>
      <c r="J22" s="1634"/>
      <c r="K22" s="1634"/>
      <c r="L22" s="1634"/>
      <c r="M22" s="1634"/>
      <c r="N22" s="1634"/>
      <c r="O22" s="1634"/>
      <c r="P22" s="1634"/>
      <c r="Q22" s="1634"/>
      <c r="R22" s="1634"/>
      <c r="S22" s="1634"/>
      <c r="T22" s="1634"/>
      <c r="U22" s="1634"/>
      <c r="V22" s="1634"/>
    </row>
    <row r="23" spans="1:22" ht="13.5" thickBot="1">
      <c r="A23" s="287"/>
      <c r="B23" s="287"/>
      <c r="C23" s="287"/>
      <c r="D23" s="287"/>
      <c r="E23" s="287"/>
      <c r="F23" s="287"/>
      <c r="G23" s="287"/>
      <c r="H23" s="287"/>
      <c r="I23" s="287"/>
      <c r="J23" s="1634"/>
      <c r="K23" s="1634"/>
      <c r="L23" s="1634"/>
      <c r="M23" s="1634"/>
      <c r="N23" s="1634"/>
      <c r="O23" s="1634"/>
      <c r="P23" s="1634"/>
      <c r="Q23" s="1634"/>
      <c r="R23" s="1634"/>
      <c r="S23" s="1634"/>
      <c r="T23" s="1634"/>
      <c r="U23" s="1634"/>
      <c r="V23" s="1634"/>
    </row>
    <row r="24" spans="1:22" ht="15" thickBot="1">
      <c r="A24" s="3517" t="s">
        <v>296</v>
      </c>
      <c r="B24" s="249" t="s">
        <v>288</v>
      </c>
      <c r="C24" s="266">
        <f>IF(B30=0,0,D30)</f>
        <v>0</v>
      </c>
      <c r="D24" s="267"/>
      <c r="E24" s="287"/>
      <c r="F24" s="287"/>
      <c r="G24" s="287"/>
      <c r="H24" s="287"/>
      <c r="I24" s="287"/>
      <c r="J24" s="1634"/>
      <c r="K24" s="1634"/>
      <c r="L24" s="1634"/>
      <c r="M24" s="1634"/>
      <c r="N24" s="1634"/>
      <c r="O24" s="1634"/>
      <c r="P24" s="1634"/>
      <c r="Q24" s="1634"/>
      <c r="R24" s="1634"/>
      <c r="S24" s="1634"/>
      <c r="T24" s="1634"/>
      <c r="U24" s="1634"/>
      <c r="V24" s="1634"/>
    </row>
    <row r="25" spans="1:22" ht="18">
      <c r="A25" s="3518"/>
      <c r="B25" s="1122" t="s">
        <v>297</v>
      </c>
      <c r="C25" s="268">
        <f>IF(B30=0,0,C30)</f>
        <v>0</v>
      </c>
      <c r="D25" s="269"/>
      <c r="E25" s="287"/>
      <c r="F25" s="287"/>
      <c r="G25" s="287"/>
      <c r="H25" s="287"/>
      <c r="I25" s="287"/>
      <c r="J25" s="1634"/>
      <c r="K25" s="1059" t="str">
        <f ca="1">项目基本情况!A17&amp;"国有建设用地使用权价格："&amp;O38&amp;"万元"</f>
        <v>出让国有建设用地使用权价格：6384万元</v>
      </c>
      <c r="L25" s="1060"/>
      <c r="M25" s="1060"/>
      <c r="N25" s="1060"/>
      <c r="O25" s="1061"/>
      <c r="P25" s="1634"/>
      <c r="Q25" s="1634"/>
      <c r="R25" s="1634"/>
      <c r="S25" s="1634"/>
      <c r="T25" s="1634"/>
      <c r="U25" s="1634"/>
      <c r="V25" s="1634"/>
    </row>
    <row r="26" spans="1:22" ht="18">
      <c r="A26" s="270" t="s">
        <v>298</v>
      </c>
      <c r="B26" s="3420" t="s">
        <v>3683</v>
      </c>
      <c r="C26" s="3420" t="s">
        <v>3684</v>
      </c>
      <c r="D26" s="272" t="s">
        <v>300</v>
      </c>
      <c r="E26" s="287"/>
      <c r="F26" s="287"/>
      <c r="G26" s="287"/>
      <c r="H26" s="287"/>
      <c r="I26" s="287"/>
      <c r="J26" s="1634"/>
      <c r="K26" s="1062" t="str">
        <f ca="1">"大写金额：人民币"&amp;NUMBERSTRING(INT(O38*10000),2)&amp;"元整"</f>
        <v>大写金额：人民币陆仟叁佰捌拾肆万元整</v>
      </c>
      <c r="L26" s="1058"/>
      <c r="M26" s="1058"/>
      <c r="N26" s="1058"/>
      <c r="O26" s="258"/>
      <c r="P26" s="1634"/>
      <c r="Q26" s="1634"/>
      <c r="R26" s="1634"/>
      <c r="S26" s="1634"/>
      <c r="T26" s="1634"/>
      <c r="U26" s="1634"/>
      <c r="V26" s="1634"/>
    </row>
    <row r="27" spans="1:22" ht="18">
      <c r="A27" s="3418" t="s">
        <v>3681</v>
      </c>
      <c r="B27" s="271">
        <v>51750000</v>
      </c>
      <c r="C27" s="3417">
        <v>0.03</v>
      </c>
      <c r="D27" s="272">
        <f>ROUND(B27*C27/10000,0)</f>
        <v>155</v>
      </c>
      <c r="E27" s="287"/>
      <c r="F27" s="287"/>
      <c r="G27" s="287"/>
      <c r="H27" s="287"/>
      <c r="I27" s="287"/>
      <c r="J27" s="1634"/>
      <c r="K27" s="1062" t="str">
        <f ca="1">"单位面积地价："&amp;M38&amp;"元/平方米"</f>
        <v>单位面积地价：3759元/平方米</v>
      </c>
      <c r="L27" s="1058"/>
      <c r="M27" s="1058"/>
      <c r="N27" s="1058"/>
      <c r="O27" s="258"/>
      <c r="P27" s="1634"/>
      <c r="Q27" s="1634"/>
      <c r="R27" s="1634"/>
      <c r="S27" s="1634"/>
      <c r="T27" s="1634"/>
      <c r="U27" s="1634"/>
      <c r="V27" s="1634"/>
    </row>
    <row r="28" spans="1:22" ht="18.75" customHeight="1">
      <c r="A28" s="3418" t="s">
        <v>3686</v>
      </c>
      <c r="B28" s="271">
        <v>51750000</v>
      </c>
      <c r="C28" s="3417">
        <v>5.0000000000000001E-4</v>
      </c>
      <c r="D28" s="272">
        <f>ROUND(B28*C28/10000,0)</f>
        <v>3</v>
      </c>
      <c r="E28" s="287"/>
      <c r="F28" s="287"/>
      <c r="G28" s="287"/>
      <c r="H28" s="287"/>
      <c r="I28" s="287"/>
      <c r="J28" s="1634"/>
      <c r="K28" s="1062" t="str">
        <f ca="1">"楼面地价："&amp;N38&amp;"元/平方米"</f>
        <v>楼面地价：1503元/平方米</v>
      </c>
      <c r="L28" s="1058"/>
      <c r="M28" s="1058"/>
      <c r="N28" s="1058"/>
      <c r="O28" s="258"/>
      <c r="P28" s="1634"/>
      <c r="V28" s="1634"/>
    </row>
    <row r="29" spans="1:22" ht="18">
      <c r="A29" s="270"/>
      <c r="B29" s="271"/>
      <c r="C29" s="271"/>
      <c r="D29" s="272"/>
      <c r="E29" s="287"/>
      <c r="F29" s="287"/>
      <c r="G29" s="287"/>
      <c r="H29" s="287"/>
      <c r="I29" s="287"/>
      <c r="J29" s="1634"/>
      <c r="K29" s="1062" t="str">
        <f ca="1">IF(OR(项目基本情况!E8="抵押价格",项目基本情况!E8="已注销及未注销"),"抵押价格："&amp;O39&amp;"万元","——")</f>
        <v>抵押价格：6226万元</v>
      </c>
      <c r="L29" s="1058"/>
      <c r="M29" s="1058"/>
      <c r="N29" s="1058"/>
      <c r="O29" s="258"/>
      <c r="P29" s="1634"/>
      <c r="V29" s="1634"/>
    </row>
    <row r="30" spans="1:22" ht="18.75" thickBot="1">
      <c r="A30" s="2363" t="s">
        <v>301</v>
      </c>
      <c r="B30" s="285"/>
      <c r="C30" s="285"/>
      <c r="D30" s="286">
        <f>D27+D28</f>
        <v>158</v>
      </c>
      <c r="E30" s="2537" t="s">
        <v>2243</v>
      </c>
      <c r="F30" s="287"/>
      <c r="G30" s="287"/>
      <c r="H30" s="287"/>
      <c r="I30" s="287"/>
      <c r="J30" s="1634"/>
      <c r="K30" s="1062" t="str">
        <f ca="1">IF(K29="——","——","大写金额：人民币"&amp;NUMBERSTRING(INT(O39*10000),2)&amp;"元整")</f>
        <v>大写金额：人民币陆仟贰佰贰拾陆万元整</v>
      </c>
      <c r="L30" s="1058"/>
      <c r="M30" s="1058"/>
      <c r="N30" s="1058"/>
      <c r="O30" s="258"/>
      <c r="P30" s="1634"/>
      <c r="V30" s="1634"/>
    </row>
    <row r="31" spans="1:22" ht="24" customHeight="1" thickBot="1">
      <c r="A31" s="3545" t="s">
        <v>2244</v>
      </c>
      <c r="B31" s="3545"/>
      <c r="C31" s="3545"/>
      <c r="D31" s="3545"/>
      <c r="E31" s="3545"/>
      <c r="F31" s="3545"/>
      <c r="G31" s="3545"/>
      <c r="H31" s="3545"/>
      <c r="I31" s="3545"/>
      <c r="J31" s="1634"/>
      <c r="K31" s="1978" t="str">
        <f>IF(项目基本情况!E8="抵押价格","——","抵押担保权已注销时的抵押价格："&amp;O40&amp;"万元")</f>
        <v>——</v>
      </c>
      <c r="L31" s="1975"/>
      <c r="M31" s="1975"/>
      <c r="N31" s="1975"/>
      <c r="O31" s="1976"/>
      <c r="P31" s="1634"/>
      <c r="V31" s="1634"/>
    </row>
    <row r="32" spans="1:22" ht="19.5" thickTop="1" thickBot="1">
      <c r="A32" s="254" t="s">
        <v>302</v>
      </c>
      <c r="B32" s="2538" t="s">
        <v>1219</v>
      </c>
      <c r="C32" s="246">
        <f ca="1">G19-C24</f>
        <v>6384</v>
      </c>
      <c r="D32" s="2539" t="s">
        <v>1220</v>
      </c>
      <c r="E32" s="287"/>
      <c r="F32" s="287"/>
      <c r="G32" s="287"/>
      <c r="H32" s="287"/>
      <c r="I32" s="287"/>
      <c r="J32" s="1634"/>
      <c r="K32" s="1974" t="str">
        <f>IF(K31="——","——","大写金额：人民币"&amp;NUMBERSTRING(INT(O40*10000),2)&amp;"元整")</f>
        <v>——</v>
      </c>
      <c r="L32" s="1634"/>
      <c r="M32" s="1634"/>
      <c r="N32" s="1634"/>
      <c r="O32" s="1977"/>
      <c r="P32" s="1634"/>
      <c r="V32" s="1634"/>
    </row>
    <row r="33" spans="1:22" ht="18.75" thickBot="1">
      <c r="A33" s="275" t="s">
        <v>305</v>
      </c>
      <c r="B33" s="1170" t="s">
        <v>1221</v>
      </c>
      <c r="C33" s="244">
        <f ca="1">ROUND(C32*10000/'数据-汇总表'!E3,0)</f>
        <v>1503</v>
      </c>
      <c r="D33" s="1171" t="s">
        <v>1222</v>
      </c>
      <c r="E33" s="3517" t="s">
        <v>303</v>
      </c>
      <c r="F33" s="273" t="s">
        <v>304</v>
      </c>
      <c r="G33" s="274"/>
      <c r="H33" s="894" t="s">
        <v>3682</v>
      </c>
      <c r="I33" s="1063"/>
      <c r="J33" s="1634"/>
      <c r="K33" s="1062" t="str">
        <f>IF(项目基本情况!E9="——","——","抵押净值："&amp;C46&amp;"万元")</f>
        <v>——</v>
      </c>
      <c r="L33" s="1058"/>
      <c r="M33" s="1058"/>
      <c r="N33" s="1058"/>
      <c r="O33" s="258"/>
      <c r="P33" s="1634"/>
      <c r="V33" s="1634"/>
    </row>
    <row r="34" spans="1:22" ht="18.75" thickBot="1">
      <c r="A34" s="277"/>
      <c r="B34" s="98" t="s">
        <v>1223</v>
      </c>
      <c r="C34" s="244">
        <f ca="1">ROUND(C32*10000/'数据-汇总表'!D3,0)</f>
        <v>3759</v>
      </c>
      <c r="D34" s="1171" t="s">
        <v>1222</v>
      </c>
      <c r="E34" s="3561"/>
      <c r="F34" s="118" t="s">
        <v>306</v>
      </c>
      <c r="G34" s="276"/>
      <c r="H34" s="96"/>
      <c r="I34" s="287"/>
      <c r="J34" s="1634"/>
      <c r="K34" s="1065" t="str">
        <f>IF(K33="——","——","大写金额：人民币"&amp;NUMBERSTRING(INT(O41*10000),2)&amp;"元整")</f>
        <v>——</v>
      </c>
      <c r="L34" s="1066"/>
      <c r="M34" s="1066"/>
      <c r="N34" s="1066"/>
      <c r="O34" s="1067"/>
      <c r="P34" s="1634"/>
      <c r="V34" s="1634"/>
    </row>
    <row r="35" spans="1:22" ht="15.75" thickBot="1">
      <c r="A35" s="262"/>
      <c r="B35" s="1172"/>
      <c r="C35" s="1173">
        <f ca="1">ROUND(C32/('数据-汇总表'!D3/666.67),0)</f>
        <v>251</v>
      </c>
      <c r="D35" s="1174" t="s">
        <v>1224</v>
      </c>
      <c r="E35" s="3562"/>
      <c r="F35" s="278" t="s">
        <v>307</v>
      </c>
      <c r="G35" s="3416">
        <f>D30</f>
        <v>158</v>
      </c>
      <c r="H35" s="3419" t="s">
        <v>3687</v>
      </c>
      <c r="I35" s="287"/>
      <c r="J35" s="1634"/>
      <c r="K35" s="3535" t="s">
        <v>314</v>
      </c>
      <c r="L35" s="3535" t="s">
        <v>315</v>
      </c>
      <c r="M35" s="1068" t="s">
        <v>316</v>
      </c>
      <c r="N35" s="3535" t="s">
        <v>317</v>
      </c>
      <c r="O35" s="3535" t="s">
        <v>318</v>
      </c>
      <c r="P35" s="1634"/>
      <c r="V35" s="1634"/>
    </row>
    <row r="36" spans="1:22" ht="16.5" customHeight="1">
      <c r="A36" s="280" t="s">
        <v>308</v>
      </c>
      <c r="B36" s="281" t="s">
        <v>299</v>
      </c>
      <c r="C36" s="282" t="s">
        <v>309</v>
      </c>
      <c r="D36" s="282" t="s">
        <v>310</v>
      </c>
      <c r="E36" s="283" t="s">
        <v>311</v>
      </c>
      <c r="F36" s="287"/>
      <c r="G36" s="287"/>
      <c r="H36" s="287"/>
      <c r="I36" s="287"/>
      <c r="J36" s="1642"/>
      <c r="K36" s="3536"/>
      <c r="L36" s="3536"/>
      <c r="M36" s="1070" t="s">
        <v>319</v>
      </c>
      <c r="N36" s="3536"/>
      <c r="O36" s="3536"/>
      <c r="P36" s="1634"/>
      <c r="V36" s="1634"/>
    </row>
    <row r="37" spans="1:22" ht="16.5" customHeight="1" thickBot="1">
      <c r="A37" s="1064" t="s">
        <v>312</v>
      </c>
      <c r="B37" s="270"/>
      <c r="C37" s="271"/>
      <c r="D37" s="3417"/>
      <c r="E37" s="272"/>
      <c r="F37" s="287"/>
      <c r="G37" s="287"/>
      <c r="H37" s="287"/>
      <c r="I37" s="287"/>
      <c r="J37" s="1642"/>
      <c r="K37" s="3537"/>
      <c r="L37" s="3537"/>
      <c r="M37" s="1071"/>
      <c r="N37" s="3537"/>
      <c r="O37" s="3537"/>
      <c r="P37" s="1634"/>
      <c r="V37" s="1634"/>
    </row>
    <row r="38" spans="1:22" ht="16.5" customHeight="1" thickBot="1">
      <c r="A38" s="1064" t="s">
        <v>313</v>
      </c>
      <c r="B38" s="270"/>
      <c r="C38" s="271"/>
      <c r="D38" s="271"/>
      <c r="E38" s="272"/>
      <c r="F38" s="287"/>
      <c r="G38" s="287"/>
      <c r="H38" s="287"/>
      <c r="I38" s="287"/>
      <c r="J38" s="1642"/>
      <c r="K38" s="1072">
        <f>'数据-汇总表'!D3</f>
        <v>16985.07</v>
      </c>
      <c r="L38" s="1073">
        <f>'数据-汇总表'!E3</f>
        <v>42462</v>
      </c>
      <c r="M38" s="1073">
        <f ca="1">C34</f>
        <v>3759</v>
      </c>
      <c r="N38" s="1073">
        <f ca="1">C33</f>
        <v>1503</v>
      </c>
      <c r="O38" s="1074">
        <f ca="1">C32</f>
        <v>6384</v>
      </c>
      <c r="P38" s="1634"/>
      <c r="V38" s="1634"/>
    </row>
    <row r="39" spans="1:22" ht="16.5" customHeight="1" thickBot="1">
      <c r="A39" s="1069"/>
      <c r="B39" s="284"/>
      <c r="C39" s="285"/>
      <c r="D39" s="285"/>
      <c r="E39" s="286"/>
      <c r="F39" s="287"/>
      <c r="G39" s="287"/>
      <c r="H39" s="287"/>
      <c r="I39" s="287"/>
      <c r="J39" s="1642"/>
      <c r="K39" s="3575" t="str">
        <f>MID(A44,3,LEN(A44)-2)</f>
        <v>抵押价格</v>
      </c>
      <c r="L39" s="3576"/>
      <c r="M39" s="3576"/>
      <c r="N39" s="3577"/>
      <c r="O39" s="1176">
        <f ca="1">C44</f>
        <v>6226</v>
      </c>
      <c r="P39" s="1634"/>
      <c r="V39" s="1634"/>
    </row>
    <row r="40" spans="1:22" ht="19.5" thickBot="1">
      <c r="A40" s="95" t="s">
        <v>808</v>
      </c>
      <c r="B40" s="287"/>
      <c r="C40" s="287"/>
      <c r="D40" s="287"/>
      <c r="E40" s="287"/>
      <c r="F40" s="287"/>
      <c r="G40" s="287"/>
      <c r="H40" s="287"/>
      <c r="I40" s="287"/>
      <c r="J40" s="1642"/>
      <c r="K40" s="3575" t="str">
        <f>MID(A45,3,LEN(A45)-2)</f>
        <v/>
      </c>
      <c r="L40" s="3576"/>
      <c r="M40" s="3576"/>
      <c r="N40" s="3577"/>
      <c r="O40" s="1176" t="str">
        <f>C45</f>
        <v>——</v>
      </c>
      <c r="P40" s="1634"/>
      <c r="V40" s="1634"/>
    </row>
    <row r="41" spans="1:22" ht="16.5" thickBot="1">
      <c r="A41" s="288" t="s">
        <v>320</v>
      </c>
      <c r="B41" s="289"/>
      <c r="C41" s="290" t="s">
        <v>321</v>
      </c>
      <c r="D41" s="291" t="s">
        <v>322</v>
      </c>
      <c r="E41" s="291" t="s">
        <v>323</v>
      </c>
      <c r="F41" s="292" t="s">
        <v>324</v>
      </c>
      <c r="G41" s="287"/>
      <c r="H41" s="287"/>
      <c r="I41" s="287"/>
      <c r="J41" s="1642"/>
      <c r="K41" s="3575" t="str">
        <f>MID(A46,3,LEN(A46)-2)</f>
        <v/>
      </c>
      <c r="L41" s="3576"/>
      <c r="M41" s="3576"/>
      <c r="N41" s="3577"/>
      <c r="O41" s="1176" t="str">
        <f>C46</f>
        <v>——</v>
      </c>
      <c r="P41" s="1634"/>
      <c r="V41" s="1634"/>
    </row>
    <row r="42" spans="1:22" ht="29.25">
      <c r="A42" s="3519" t="s">
        <v>1583</v>
      </c>
      <c r="B42" s="3520"/>
      <c r="C42" s="244">
        <f ca="1">C32</f>
        <v>6384</v>
      </c>
      <c r="D42" s="293">
        <f ca="1">C33</f>
        <v>1503</v>
      </c>
      <c r="E42" s="293">
        <f ca="1">C34</f>
        <v>3759</v>
      </c>
      <c r="F42" s="294">
        <f ca="1">C35</f>
        <v>251</v>
      </c>
      <c r="G42" s="287"/>
      <c r="H42" s="287"/>
      <c r="I42" s="295"/>
      <c r="J42" s="1642"/>
      <c r="K42" s="1075" t="s">
        <v>325</v>
      </c>
      <c r="L42" s="1658" t="s">
        <v>326</v>
      </c>
      <c r="M42" s="1076" t="s">
        <v>327</v>
      </c>
      <c r="N42" s="1659" t="s">
        <v>328</v>
      </c>
      <c r="O42" s="1660" t="s">
        <v>329</v>
      </c>
      <c r="P42" s="1634"/>
      <c r="V42" s="1634"/>
    </row>
    <row r="43" spans="1:22" ht="30">
      <c r="A43" s="3530" t="s">
        <v>2010</v>
      </c>
      <c r="B43" s="3531"/>
      <c r="C43" s="244">
        <f>IF(H33="正常操作",G33+G34+G35,G34+G35)</f>
        <v>158</v>
      </c>
      <c r="D43" s="293" t="s">
        <v>17</v>
      </c>
      <c r="E43" s="293" t="s">
        <v>18</v>
      </c>
      <c r="F43" s="294" t="s">
        <v>18</v>
      </c>
      <c r="G43" s="2169" t="s">
        <v>875</v>
      </c>
      <c r="H43" s="287"/>
      <c r="I43" s="295"/>
      <c r="J43" s="1642"/>
      <c r="K43" s="1077" t="str">
        <f>C4</f>
        <v>比较法-住宅、综合</v>
      </c>
      <c r="L43" s="1078">
        <f ca="1">IF(L42="估价结果/万元",C19,C20)</f>
        <v>8966</v>
      </c>
      <c r="M43" s="1079">
        <f>C18</f>
        <v>0.45</v>
      </c>
      <c r="N43" s="1080">
        <f ca="1">IF(N42="测算结果/万元",G19,G20)</f>
        <v>6384</v>
      </c>
      <c r="O43" s="1081">
        <f ca="1">IF(O42="最终结果/万元",C32,C33)</f>
        <v>6384</v>
      </c>
      <c r="P43" s="1634"/>
      <c r="V43" s="1634"/>
    </row>
    <row r="44" spans="1:22" ht="30.75" thickBot="1">
      <c r="A44" s="3519" t="str">
        <f>IF(OR(项目基本情况!E8="抵押价格",项目基本情况!E8="已注销及未注销"),"3.抵押价格","——")</f>
        <v>3.抵押价格</v>
      </c>
      <c r="B44" s="3520"/>
      <c r="C44" s="244">
        <f ca="1">IF(A44="——","——",C42-C43)</f>
        <v>6226</v>
      </c>
      <c r="D44" s="293">
        <f ca="1">ROUND(C44*10000/'数据-汇总表'!E3,0)</f>
        <v>1466</v>
      </c>
      <c r="E44" s="293">
        <f ca="1">ROUND(C44*10000/'数据-汇总表'!D3,0)</f>
        <v>3666</v>
      </c>
      <c r="F44" s="294">
        <f ca="1">ROUND(C44/('数据-汇总表'!D3/666.67),0)</f>
        <v>244</v>
      </c>
      <c r="G44" s="287"/>
      <c r="H44" s="287"/>
      <c r="I44" s="295"/>
      <c r="J44" s="1642"/>
      <c r="K44" s="1082" t="str">
        <f>D4</f>
        <v>剩余法-待开发</v>
      </c>
      <c r="L44" s="1083">
        <f ca="1">IF(L42="估价结果/万元",D19,D20)</f>
        <v>4271</v>
      </c>
      <c r="M44" s="1084">
        <f>D18</f>
        <v>0.55000000000000004</v>
      </c>
      <c r="N44" s="1085"/>
      <c r="O44" s="1086"/>
      <c r="P44" s="1634"/>
      <c r="V44" s="1634"/>
    </row>
    <row r="45" spans="1:22" ht="15">
      <c r="A45" s="3525" t="str">
        <f>IF(项目基本情况!E8="已注销及未注销","4.抵押担保权已注销时的抵押价格",IF(项目基本情况!E8="已注销","3.抵押担保权已注销时的抵押价格","——"))</f>
        <v>——</v>
      </c>
      <c r="B45" s="3526"/>
      <c r="C45" s="1496"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2"/>
      <c r="K45" s="1634"/>
      <c r="L45" s="1634"/>
      <c r="M45" s="1634"/>
      <c r="N45" s="1634"/>
      <c r="O45" s="1634"/>
      <c r="P45" s="1634"/>
      <c r="V45" s="1634"/>
    </row>
    <row r="46" spans="1:22" ht="15.75" thickBot="1">
      <c r="A46" s="3521" t="str">
        <f>IF(项目基本情况!E9="抵押净值",IF(A45="——","4.抵押净值","5.抵押净值"),"——")</f>
        <v>——</v>
      </c>
      <c r="B46" s="3522"/>
      <c r="C46" s="296" t="str">
        <f>IF(A46="——","——",O79)</f>
        <v>——</v>
      </c>
      <c r="D46" s="293" t="e">
        <f>ROUND(C46*10000/'数据-汇总表'!E3,0)</f>
        <v>#VALUE!</v>
      </c>
      <c r="E46" s="293" t="e">
        <f>ROUND(C46*10000/'数据-汇总表'!D3,0)</f>
        <v>#VALUE!</v>
      </c>
      <c r="F46" s="294" t="e">
        <f>ROUND(C46/('数据-汇总表'!D3/666.67),0)</f>
        <v>#VALUE!</v>
      </c>
      <c r="G46" s="287"/>
      <c r="H46" s="287"/>
      <c r="I46" s="295"/>
      <c r="J46" s="1642"/>
      <c r="K46" s="1634"/>
      <c r="L46" s="1634"/>
      <c r="M46" s="1634"/>
      <c r="N46" s="1634"/>
      <c r="O46" s="1634"/>
      <c r="P46" s="1634"/>
      <c r="Q46" s="1634"/>
      <c r="R46" s="1634"/>
      <c r="S46" s="1634"/>
      <c r="T46" s="1634"/>
      <c r="U46" s="1634"/>
      <c r="V46" s="1634"/>
    </row>
    <row r="47" spans="1:22" ht="15.75">
      <c r="A47" s="297" t="s">
        <v>330</v>
      </c>
      <c r="B47" s="1087"/>
      <c r="C47" s="298" t="s">
        <v>331</v>
      </c>
      <c r="D47" s="15"/>
      <c r="E47" s="15"/>
      <c r="F47" s="15"/>
      <c r="G47" s="299"/>
      <c r="H47" s="300"/>
      <c r="I47" s="301"/>
      <c r="J47" s="1642"/>
      <c r="K47" s="287" t="str">
        <f>IF(C43=0,"本次评估"&amp;IF(G43="设定","设定估价对象","")&amp;"不存在"&amp;MID(A43,3,LEN(A43)-2),"本次评估"&amp;IF(G43="设定","设定","")&amp;MID(A43,3,LEN(A43)-2)&amp;"为人民币"&amp;C43&amp;"万元整。")</f>
        <v>本次评估估价师知悉的法定优先受偿款为人民币158万元整。</v>
      </c>
      <c r="L47" s="1634"/>
      <c r="M47" s="1634"/>
      <c r="N47" s="1634"/>
      <c r="O47" s="1634"/>
      <c r="P47" s="1634"/>
      <c r="Q47" s="1634"/>
      <c r="R47" s="1634"/>
      <c r="S47" s="1634"/>
      <c r="T47" s="1634"/>
      <c r="U47" s="1634"/>
      <c r="V47" s="1634"/>
    </row>
    <row r="48" spans="1:22" ht="12.75">
      <c r="A48" s="302">
        <v>1</v>
      </c>
      <c r="B48" s="303"/>
      <c r="C48" s="303"/>
      <c r="D48" s="15"/>
      <c r="E48" s="15"/>
      <c r="F48" s="15"/>
      <c r="G48" s="15"/>
      <c r="H48" s="53"/>
      <c r="I48" s="304"/>
      <c r="J48" s="1642"/>
      <c r="K48" s="1634"/>
      <c r="L48" s="1634"/>
      <c r="M48" s="1634"/>
      <c r="N48" s="1634"/>
      <c r="O48" s="1634"/>
      <c r="P48" s="1634"/>
      <c r="Q48" s="1634"/>
      <c r="R48" s="1634"/>
      <c r="S48" s="1634"/>
      <c r="T48" s="1634"/>
      <c r="U48" s="1634"/>
      <c r="V48" s="1634"/>
    </row>
    <row r="49" spans="1:22" ht="12.75">
      <c r="A49" s="302">
        <v>2</v>
      </c>
      <c r="B49" s="303"/>
      <c r="C49" s="303"/>
      <c r="D49" s="15"/>
      <c r="E49" s="15"/>
      <c r="F49" s="15"/>
      <c r="G49" s="15"/>
      <c r="H49" s="53"/>
      <c r="I49" s="304"/>
      <c r="J49" s="1643"/>
      <c r="K49" s="1634"/>
      <c r="L49" s="1634"/>
      <c r="M49" s="1634"/>
      <c r="N49" s="1634"/>
      <c r="O49" s="1634"/>
      <c r="P49" s="1634"/>
      <c r="Q49" s="1634"/>
      <c r="R49" s="1634"/>
      <c r="S49" s="1634"/>
      <c r="T49" s="1634"/>
      <c r="U49" s="1634"/>
      <c r="V49" s="1634"/>
    </row>
    <row r="50" spans="1:22" ht="12.75">
      <c r="A50" s="302">
        <v>3</v>
      </c>
      <c r="B50" s="303"/>
      <c r="C50" s="303"/>
      <c r="D50" s="15"/>
      <c r="E50" s="15"/>
      <c r="F50" s="15"/>
      <c r="G50" s="15"/>
      <c r="H50" s="53"/>
      <c r="I50" s="304"/>
      <c r="J50" s="1643"/>
      <c r="K50" s="1634"/>
      <c r="L50" s="1634"/>
      <c r="M50" s="1634"/>
      <c r="N50" s="1634"/>
      <c r="O50" s="1634"/>
      <c r="P50" s="1634"/>
      <c r="Q50" s="1634"/>
      <c r="R50" s="1634"/>
      <c r="S50" s="1634"/>
      <c r="T50" s="1634"/>
      <c r="U50" s="1634"/>
      <c r="V50" s="1634"/>
    </row>
    <row r="51" spans="1:22" ht="12.75">
      <c r="A51" s="305"/>
      <c r="B51" s="306"/>
      <c r="C51" s="306"/>
      <c r="D51" s="307"/>
      <c r="E51" s="307"/>
      <c r="F51" s="307"/>
      <c r="G51" s="307"/>
      <c r="H51" s="308"/>
      <c r="I51" s="309"/>
      <c r="J51" s="1643"/>
      <c r="K51" s="1634"/>
      <c r="L51" s="1634"/>
      <c r="M51" s="1634"/>
      <c r="N51" s="1634"/>
      <c r="O51" s="1634"/>
      <c r="P51" s="1634"/>
      <c r="Q51" s="1634"/>
      <c r="R51" s="1634"/>
      <c r="S51" s="1634"/>
      <c r="T51" s="1634"/>
      <c r="U51" s="1634"/>
      <c r="V51" s="1634"/>
    </row>
    <row r="52" spans="1:22" ht="12.75">
      <c r="A52" s="303"/>
      <c r="B52" s="303"/>
      <c r="C52" s="303"/>
      <c r="D52" s="15"/>
      <c r="E52" s="15"/>
      <c r="F52" s="15"/>
      <c r="G52" s="15"/>
      <c r="H52" s="53"/>
      <c r="I52" s="237"/>
      <c r="J52" s="1643"/>
      <c r="K52" s="1634"/>
      <c r="L52" s="1634"/>
      <c r="M52" s="1634"/>
      <c r="N52" s="1634"/>
      <c r="O52" s="1634"/>
      <c r="P52" s="1634"/>
      <c r="Q52" s="1634"/>
      <c r="R52" s="1634"/>
      <c r="S52" s="1634"/>
      <c r="T52" s="1634"/>
      <c r="U52" s="1634"/>
      <c r="V52" s="1634"/>
    </row>
    <row r="53" spans="1:22" ht="12.75">
      <c r="A53" s="237"/>
      <c r="B53" s="237"/>
      <c r="C53" s="237"/>
      <c r="D53" s="237"/>
      <c r="E53" s="237"/>
      <c r="F53" s="310" t="s">
        <v>332</v>
      </c>
      <c r="G53" s="311"/>
      <c r="H53" s="311"/>
      <c r="I53" s="312" t="s">
        <v>333</v>
      </c>
      <c r="J53" s="1643"/>
      <c r="K53" s="1634"/>
      <c r="L53" s="1634"/>
      <c r="M53" s="1634"/>
      <c r="N53" s="1634"/>
      <c r="O53" s="1634"/>
      <c r="P53" s="1634"/>
      <c r="Q53" s="1634"/>
      <c r="R53" s="1634"/>
      <c r="S53" s="1634"/>
      <c r="T53" s="1634"/>
      <c r="U53" s="1634"/>
      <c r="V53" s="1634"/>
    </row>
    <row r="54" spans="1:22" ht="12.75">
      <c r="A54" s="237"/>
      <c r="B54" s="313" t="s">
        <v>334</v>
      </c>
      <c r="C54" s="237"/>
      <c r="D54" s="237"/>
      <c r="E54" s="237"/>
      <c r="F54" s="237"/>
      <c r="G54" s="237"/>
      <c r="H54" s="237"/>
      <c r="I54" s="237"/>
      <c r="J54" s="1643"/>
      <c r="K54" s="1634"/>
      <c r="L54" s="1634"/>
      <c r="M54" s="1634"/>
      <c r="N54" s="1634"/>
      <c r="O54" s="1634"/>
      <c r="P54" s="1634"/>
      <c r="Q54" s="1634"/>
      <c r="R54" s="1634"/>
      <c r="S54" s="1634"/>
      <c r="T54" s="1634"/>
      <c r="U54" s="1634"/>
      <c r="V54" s="1634"/>
    </row>
    <row r="55" spans="1:22" ht="12.75">
      <c r="A55" s="237"/>
      <c r="B55" s="237"/>
      <c r="C55" s="237"/>
      <c r="D55" s="237"/>
      <c r="E55" s="237"/>
      <c r="F55" s="237"/>
      <c r="G55" s="237"/>
      <c r="H55" s="237"/>
      <c r="I55" s="237"/>
      <c r="J55" s="1643"/>
      <c r="K55" s="1634"/>
      <c r="L55" s="1634"/>
      <c r="M55" s="1634"/>
      <c r="N55" s="1634"/>
      <c r="O55" s="1634"/>
      <c r="P55" s="1634"/>
      <c r="Q55" s="1634"/>
      <c r="R55" s="1634"/>
      <c r="S55" s="1634"/>
      <c r="T55" s="1634"/>
      <c r="U55" s="1634"/>
      <c r="V55" s="1634"/>
    </row>
    <row r="56" spans="1:22" ht="12.75">
      <c r="A56" s="237"/>
      <c r="B56" s="311"/>
      <c r="C56" s="311"/>
      <c r="D56" s="311"/>
      <c r="E56" s="311"/>
      <c r="F56" s="311"/>
      <c r="G56" s="311"/>
      <c r="H56" s="311"/>
      <c r="I56" s="312" t="s">
        <v>335</v>
      </c>
      <c r="J56" s="1643"/>
      <c r="K56" s="1634"/>
      <c r="L56" s="1634"/>
      <c r="M56" s="1634"/>
      <c r="N56" s="1634"/>
      <c r="O56" s="1634"/>
      <c r="P56" s="1634"/>
      <c r="Q56" s="1634"/>
      <c r="R56" s="1634"/>
      <c r="S56" s="1634"/>
      <c r="T56" s="1634"/>
      <c r="U56" s="1634"/>
      <c r="V56" s="1634"/>
    </row>
    <row r="57" spans="1:22" ht="12.75">
      <c r="A57" s="237"/>
      <c r="B57" s="313" t="s">
        <v>336</v>
      </c>
      <c r="C57" s="237"/>
      <c r="D57" s="237"/>
      <c r="E57" s="237"/>
      <c r="F57" s="237"/>
      <c r="G57" s="237"/>
      <c r="H57" s="237"/>
      <c r="I57" s="237"/>
      <c r="J57" s="1643"/>
      <c r="K57" s="1634"/>
      <c r="L57" s="1634"/>
      <c r="M57" s="1634"/>
      <c r="N57" s="1634"/>
      <c r="O57" s="1634"/>
      <c r="P57" s="1634"/>
      <c r="Q57" s="1634"/>
      <c r="R57" s="1634"/>
      <c r="S57" s="1634"/>
      <c r="T57" s="1634"/>
      <c r="U57" s="1634"/>
      <c r="V57" s="1634"/>
    </row>
    <row r="58" spans="1:22" ht="12.75">
      <c r="A58" s="237"/>
      <c r="B58" s="313"/>
      <c r="C58" s="237"/>
      <c r="D58" s="237"/>
      <c r="E58" s="237"/>
      <c r="F58" s="237"/>
      <c r="G58" s="237"/>
      <c r="H58" s="237"/>
      <c r="I58" s="237"/>
      <c r="J58" s="1643"/>
      <c r="K58" s="1634"/>
      <c r="L58" s="1634"/>
      <c r="M58" s="1634"/>
      <c r="N58" s="1634"/>
      <c r="O58" s="1634"/>
      <c r="P58" s="1634"/>
      <c r="Q58" s="1634"/>
      <c r="R58" s="1634"/>
      <c r="S58" s="1634"/>
      <c r="T58" s="1634"/>
      <c r="U58" s="1634"/>
      <c r="V58" s="1634"/>
    </row>
    <row r="59" spans="1:22" ht="12.75">
      <c r="A59" s="237"/>
      <c r="B59" s="311"/>
      <c r="C59" s="311"/>
      <c r="D59" s="311"/>
      <c r="E59" s="311"/>
      <c r="F59" s="311"/>
      <c r="G59" s="311"/>
      <c r="H59" s="311"/>
      <c r="I59" s="312" t="s">
        <v>335</v>
      </c>
      <c r="J59" s="1643"/>
      <c r="K59" s="1634"/>
      <c r="L59" s="1634"/>
      <c r="M59" s="1634"/>
      <c r="N59" s="1634"/>
      <c r="O59" s="1634"/>
      <c r="P59" s="1634"/>
      <c r="Q59" s="1634"/>
      <c r="R59" s="1634"/>
      <c r="S59" s="1634"/>
      <c r="T59" s="1634"/>
      <c r="U59" s="1634"/>
      <c r="V59" s="1634"/>
    </row>
    <row r="60" spans="1:22" ht="12.75">
      <c r="A60" s="237"/>
      <c r="B60" s="237"/>
      <c r="C60" s="237"/>
      <c r="D60" s="237"/>
      <c r="E60" s="237"/>
      <c r="F60" s="237"/>
      <c r="G60" s="237"/>
      <c r="H60" s="237"/>
      <c r="I60" s="237"/>
      <c r="J60" s="1643"/>
      <c r="K60" s="1634"/>
      <c r="L60" s="1634"/>
      <c r="M60" s="1634"/>
      <c r="N60" s="1634"/>
      <c r="O60" s="1634"/>
      <c r="P60" s="1634"/>
      <c r="Q60" s="1634"/>
      <c r="R60" s="1634"/>
      <c r="S60" s="1634"/>
      <c r="T60" s="1634"/>
      <c r="U60" s="1634"/>
      <c r="V60" s="1634"/>
    </row>
    <row r="61" spans="1:22" ht="12.75">
      <c r="A61" s="237"/>
      <c r="B61" s="313"/>
      <c r="C61" s="314"/>
      <c r="D61" s="197"/>
      <c r="E61" s="197"/>
      <c r="F61" s="234"/>
      <c r="G61" s="237"/>
      <c r="H61" s="237"/>
      <c r="I61" s="237"/>
      <c r="J61" s="1643"/>
      <c r="K61" s="1634"/>
      <c r="L61" s="1634"/>
      <c r="M61" s="1634"/>
      <c r="N61" s="1634"/>
      <c r="O61" s="1634"/>
      <c r="P61" s="1634"/>
      <c r="Q61" s="1634"/>
      <c r="R61" s="1634"/>
      <c r="S61" s="1634"/>
      <c r="T61" s="1634"/>
      <c r="U61" s="1634"/>
      <c r="V61" s="1634"/>
    </row>
    <row r="62" spans="1:22" ht="18.75">
      <c r="A62" s="11" t="s">
        <v>337</v>
      </c>
      <c r="B62" s="1088"/>
      <c r="C62" s="1088"/>
      <c r="D62" s="1089"/>
      <c r="E62" s="1089"/>
      <c r="F62" s="1090"/>
      <c r="G62" s="1090"/>
      <c r="H62" s="1090"/>
      <c r="I62" s="1090"/>
      <c r="J62" s="1644"/>
      <c r="K62" s="1634"/>
      <c r="L62" s="1634"/>
      <c r="M62" s="1634"/>
      <c r="N62" s="1634"/>
      <c r="O62" s="1634"/>
      <c r="P62" s="1634"/>
      <c r="Q62" s="1634"/>
      <c r="R62" s="1634"/>
      <c r="S62" s="1634"/>
      <c r="T62" s="1634"/>
      <c r="U62" s="1634"/>
      <c r="V62" s="1634"/>
    </row>
    <row r="63" spans="1:22" ht="14.25" customHeight="1" thickBot="1">
      <c r="A63" s="3569" t="s">
        <v>338</v>
      </c>
      <c r="B63" s="3570"/>
      <c r="C63" s="3571"/>
      <c r="D63" s="315">
        <f ca="1">ROUND(C42*F63,0)</f>
        <v>6384</v>
      </c>
      <c r="E63" s="279" t="s">
        <v>339</v>
      </c>
      <c r="F63" s="316">
        <v>1</v>
      </c>
      <c r="G63" s="317" t="s">
        <v>340</v>
      </c>
      <c r="H63" s="287"/>
      <c r="I63" s="287"/>
      <c r="J63" s="1634"/>
      <c r="K63" s="1634"/>
      <c r="L63" s="1634"/>
      <c r="M63" s="1634"/>
      <c r="N63" s="1634"/>
      <c r="O63" s="1634"/>
      <c r="P63" s="1634"/>
      <c r="Q63" s="1634"/>
      <c r="R63" s="1634"/>
      <c r="S63" s="1634"/>
      <c r="T63" s="1634"/>
      <c r="U63" s="1634"/>
      <c r="V63" s="1634"/>
    </row>
    <row r="64" spans="1:22" ht="14.25" customHeight="1">
      <c r="A64" s="3527" t="s">
        <v>342</v>
      </c>
      <c r="B64" s="3528"/>
      <c r="C64" s="3528"/>
      <c r="D64" s="3528"/>
      <c r="E64" s="3528"/>
      <c r="F64" s="3528"/>
      <c r="G64" s="3529"/>
      <c r="H64" s="1091"/>
      <c r="I64" s="866"/>
      <c r="J64" s="1636"/>
      <c r="K64" s="1299" t="s">
        <v>341</v>
      </c>
      <c r="L64" s="9"/>
      <c r="M64" s="9"/>
      <c r="N64" s="9"/>
      <c r="O64" s="9"/>
      <c r="P64" s="287"/>
      <c r="Q64" s="1634"/>
      <c r="R64" s="1634"/>
      <c r="S64" s="1634"/>
      <c r="T64" s="1634"/>
      <c r="U64" s="1634"/>
      <c r="V64" s="1634"/>
    </row>
    <row r="65" spans="1:22" ht="12" customHeight="1">
      <c r="A65" s="318" t="s">
        <v>344</v>
      </c>
      <c r="B65" s="319"/>
      <c r="C65" s="320"/>
      <c r="D65" s="321" t="s">
        <v>345</v>
      </c>
      <c r="E65" s="49" t="s">
        <v>346</v>
      </c>
      <c r="F65" s="322" t="s">
        <v>347</v>
      </c>
      <c r="G65" s="323" t="s">
        <v>348</v>
      </c>
      <c r="H65" s="1091"/>
      <c r="I65" s="866"/>
      <c r="J65" s="1636"/>
      <c r="K65" s="1092"/>
      <c r="L65" s="1093"/>
      <c r="M65" s="1093"/>
      <c r="N65" s="1123" t="s">
        <v>343</v>
      </c>
      <c r="O65" s="1124"/>
      <c r="P65" s="1125"/>
      <c r="Q65" s="1634"/>
      <c r="R65" s="1634"/>
      <c r="S65" s="1634"/>
      <c r="T65" s="1634"/>
      <c r="U65" s="1634"/>
      <c r="V65" s="1634"/>
    </row>
    <row r="66" spans="1:22" ht="25.5">
      <c r="A66" s="3523" t="s">
        <v>350</v>
      </c>
      <c r="B66" s="3524"/>
      <c r="C66" s="3524"/>
      <c r="D66" s="241" t="b">
        <f>IF(H66="情况1",0,IF(H66="情况2",D70,IF(H66="情况3",D71,IF(H66="情况4",D72))))</f>
        <v>0</v>
      </c>
      <c r="E66" s="904" t="str">
        <f>IF(H66="情况4","(销售额-原购置价)×税（费）率","销售额×税（费）率")</f>
        <v>销售额×税（费）率</v>
      </c>
      <c r="F66" s="324">
        <f>IF(H66="情况1","免征",'数据-取费表'!B41)</f>
        <v>5.5000000000000007E-2</v>
      </c>
      <c r="G66" s="325" t="s">
        <v>351</v>
      </c>
      <c r="H66" s="174"/>
      <c r="I66" s="1091"/>
      <c r="J66" s="1646"/>
      <c r="K66" s="1094">
        <v>1</v>
      </c>
      <c r="L66" s="3584" t="s">
        <v>349</v>
      </c>
      <c r="M66" s="3585"/>
      <c r="N66" s="1971"/>
      <c r="O66" s="1972"/>
      <c r="P66" s="1973"/>
      <c r="Q66" s="1634"/>
      <c r="R66" s="1634"/>
      <c r="S66" s="1634"/>
      <c r="T66" s="1634"/>
      <c r="U66" s="1634"/>
      <c r="V66" s="1634"/>
    </row>
    <row r="67" spans="1:22" ht="25.5" customHeight="1">
      <c r="A67" s="326" t="s">
        <v>353</v>
      </c>
      <c r="B67" s="3514" t="s">
        <v>354</v>
      </c>
      <c r="C67" s="3514"/>
      <c r="D67" s="327">
        <v>0</v>
      </c>
      <c r="E67" s="37" t="s">
        <v>355</v>
      </c>
      <c r="F67" s="58" t="s">
        <v>15</v>
      </c>
      <c r="G67" s="3572"/>
      <c r="H67" s="2540" t="s">
        <v>2245</v>
      </c>
      <c r="I67" s="2542"/>
      <c r="J67" s="1647"/>
      <c r="K67" s="1630">
        <v>2</v>
      </c>
      <c r="L67" s="3578" t="s">
        <v>352</v>
      </c>
      <c r="M67" s="3578"/>
      <c r="N67" s="1126">
        <f>'数据-取费表'!B2</f>
        <v>45817</v>
      </c>
      <c r="O67" s="1126"/>
      <c r="P67" s="1126"/>
      <c r="Q67" s="1634"/>
      <c r="R67" s="1634"/>
      <c r="S67" s="1634"/>
      <c r="T67" s="1634"/>
      <c r="U67" s="1634"/>
      <c r="V67" s="1634"/>
    </row>
    <row r="68" spans="1:22" ht="25.5" customHeight="1">
      <c r="A68" s="328"/>
      <c r="B68" s="3514" t="s">
        <v>357</v>
      </c>
      <c r="C68" s="3514"/>
      <c r="D68" s="329"/>
      <c r="E68" s="73"/>
      <c r="F68" s="330"/>
      <c r="G68" s="3573"/>
      <c r="H68" s="2541" t="s">
        <v>2246</v>
      </c>
      <c r="I68" s="2542"/>
      <c r="J68" s="1647"/>
      <c r="K68" s="1630">
        <v>3</v>
      </c>
      <c r="L68" s="3578" t="s">
        <v>356</v>
      </c>
      <c r="M68" s="3578"/>
      <c r="N68" s="1096">
        <f ca="1">C42</f>
        <v>6384</v>
      </c>
      <c r="O68" s="1096"/>
      <c r="P68" s="1096"/>
      <c r="Q68" s="1634"/>
      <c r="R68" s="1634"/>
      <c r="S68" s="1634"/>
      <c r="T68" s="1634"/>
      <c r="U68" s="1634"/>
      <c r="V68" s="1634"/>
    </row>
    <row r="69" spans="1:22" ht="23.45" customHeight="1">
      <c r="A69" s="331"/>
      <c r="B69" s="3514" t="s">
        <v>358</v>
      </c>
      <c r="C69" s="3514"/>
      <c r="D69" s="332"/>
      <c r="E69" s="69"/>
      <c r="F69" s="330"/>
      <c r="G69" s="3574"/>
      <c r="H69" s="2541" t="s">
        <v>2247</v>
      </c>
      <c r="I69" s="2542"/>
      <c r="J69" s="1647"/>
      <c r="K69" s="1097">
        <v>4</v>
      </c>
      <c r="L69" s="3588" t="s">
        <v>2155</v>
      </c>
      <c r="M69" s="3589"/>
      <c r="N69" s="1098">
        <f ca="1">C44</f>
        <v>6226</v>
      </c>
      <c r="O69" s="1098"/>
      <c r="P69" s="1098"/>
      <c r="Q69" s="1634"/>
      <c r="R69" s="1634"/>
      <c r="S69" s="1634"/>
      <c r="T69" s="1634"/>
      <c r="U69" s="1634"/>
      <c r="V69" s="1634"/>
    </row>
    <row r="70" spans="1:22" ht="24" customHeight="1">
      <c r="A70" s="333" t="s">
        <v>359</v>
      </c>
      <c r="B70" s="3514" t="s">
        <v>360</v>
      </c>
      <c r="C70" s="3514"/>
      <c r="D70" s="332">
        <f ca="1">ROUND(D63*'数据-取费表'!B41/(1+'数据-取费表'!C42),0)</f>
        <v>334</v>
      </c>
      <c r="E70" s="14" t="s">
        <v>361</v>
      </c>
      <c r="F70" s="334">
        <f>'数据-取费表'!B41</f>
        <v>5.5000000000000007E-2</v>
      </c>
      <c r="G70" s="335"/>
      <c r="H70" s="287"/>
      <c r="I70" s="1095"/>
      <c r="J70" s="1647"/>
      <c r="K70" s="2331"/>
      <c r="L70" s="2332"/>
      <c r="M70" s="2332"/>
      <c r="N70" s="2333" t="s">
        <v>2159</v>
      </c>
      <c r="O70" s="2332"/>
      <c r="P70" s="2334"/>
      <c r="Q70" s="1634"/>
      <c r="R70" s="1634"/>
      <c r="S70" s="1634"/>
      <c r="T70" s="1634"/>
      <c r="U70" s="1634"/>
      <c r="V70" s="1634"/>
    </row>
    <row r="71" spans="1:22" ht="12" customHeight="1">
      <c r="A71" s="333" t="s">
        <v>367</v>
      </c>
      <c r="B71" s="3515" t="s">
        <v>2270</v>
      </c>
      <c r="C71" s="3516"/>
      <c r="D71" s="332">
        <f ca="1">ROUND(D63*'数据-取费表'!B41/(1+'数据-取费表'!C42),0)</f>
        <v>334</v>
      </c>
      <c r="E71" s="14" t="s">
        <v>361</v>
      </c>
      <c r="F71" s="334">
        <f>'数据-取费表'!B41</f>
        <v>5.5000000000000007E-2</v>
      </c>
      <c r="G71" s="335"/>
      <c r="H71" s="287"/>
      <c r="I71" s="1095"/>
      <c r="J71" s="1647"/>
      <c r="K71" s="2330" t="s">
        <v>362</v>
      </c>
      <c r="L71" s="3590" t="s">
        <v>363</v>
      </c>
      <c r="M71" s="3590"/>
      <c r="N71" s="2330" t="s">
        <v>364</v>
      </c>
      <c r="O71" s="2330" t="s">
        <v>365</v>
      </c>
      <c r="P71" s="2330" t="s">
        <v>366</v>
      </c>
      <c r="Q71" s="1634"/>
      <c r="R71" s="1634"/>
      <c r="S71" s="1634"/>
      <c r="T71" s="1634"/>
      <c r="U71" s="1634"/>
      <c r="V71" s="1634"/>
    </row>
    <row r="72" spans="1:22" ht="12" customHeight="1">
      <c r="A72" s="333" t="s">
        <v>369</v>
      </c>
      <c r="B72" s="3515" t="s">
        <v>2271</v>
      </c>
      <c r="C72" s="3516"/>
      <c r="D72" s="332">
        <f ca="1">C86</f>
        <v>334</v>
      </c>
      <c r="E72" s="69" t="s">
        <v>370</v>
      </c>
      <c r="F72" s="334">
        <f>'数据-取费表'!B41</f>
        <v>5.5000000000000007E-2</v>
      </c>
      <c r="G72" s="335"/>
      <c r="H72" s="1101"/>
      <c r="I72" s="1095"/>
      <c r="J72" s="1647"/>
      <c r="K72" s="1630">
        <v>1</v>
      </c>
      <c r="L72" s="3565" t="s">
        <v>368</v>
      </c>
      <c r="M72" s="3565"/>
      <c r="N72" s="1099" t="b">
        <f>D66</f>
        <v>0</v>
      </c>
      <c r="O72" s="1537" t="str">
        <f>E66</f>
        <v>销售额×税（费）率</v>
      </c>
      <c r="P72" s="1100">
        <f>F66</f>
        <v>5.5000000000000007E-2</v>
      </c>
      <c r="Q72" s="1634"/>
      <c r="R72" s="1634"/>
      <c r="S72" s="1634"/>
      <c r="T72" s="1634"/>
      <c r="U72" s="1634"/>
      <c r="V72" s="1634"/>
    </row>
    <row r="73" spans="1:22" ht="24" customHeight="1">
      <c r="A73" s="3560" t="s">
        <v>372</v>
      </c>
      <c r="B73" s="3524"/>
      <c r="C73" s="3524"/>
      <c r="D73" s="336">
        <f ca="1">IF(H73="个人住宅",0,ROUND(D63*I73,0))</f>
        <v>3</v>
      </c>
      <c r="E73" s="14" t="s">
        <v>373</v>
      </c>
      <c r="F73" s="334" t="str">
        <f>IF(H73="正常",I73,"免征")</f>
        <v>免征</v>
      </c>
      <c r="G73" s="335"/>
      <c r="H73" s="174"/>
      <c r="I73" s="334">
        <f>'数据-取费表'!B49</f>
        <v>5.0000000000000001E-4</v>
      </c>
      <c r="J73" s="1647"/>
      <c r="K73" s="1630">
        <v>2</v>
      </c>
      <c r="L73" s="3565" t="s">
        <v>371</v>
      </c>
      <c r="M73" s="3565"/>
      <c r="N73" s="1099">
        <f t="shared" ref="N73:P74" ca="1" si="0">D73</f>
        <v>3</v>
      </c>
      <c r="O73" s="1537" t="str">
        <f t="shared" si="0"/>
        <v>销售额×税（费）率</v>
      </c>
      <c r="P73" s="1100" t="str">
        <f t="shared" si="0"/>
        <v>免征</v>
      </c>
      <c r="Q73" s="1634"/>
      <c r="R73" s="1634"/>
      <c r="S73" s="1634"/>
      <c r="T73" s="1634"/>
      <c r="U73" s="1634"/>
      <c r="V73" s="1634"/>
    </row>
    <row r="74" spans="1:22" ht="24.75">
      <c r="A74" s="3560" t="s">
        <v>375</v>
      </c>
      <c r="B74" s="3524"/>
      <c r="C74" s="3524"/>
      <c r="D74" s="336">
        <f ca="1">IF(H74="个人住宅",D75,D76)</f>
        <v>3620</v>
      </c>
      <c r="E74" s="14" t="s">
        <v>376</v>
      </c>
      <c r="F74" s="334" t="str">
        <f>IF(H74="正常",F76,"免征")</f>
        <v>免征</v>
      </c>
      <c r="G74" s="895" t="s">
        <v>377</v>
      </c>
      <c r="H74" s="337"/>
      <c r="I74" s="38"/>
      <c r="J74" s="1647"/>
      <c r="K74" s="1630">
        <v>3</v>
      </c>
      <c r="L74" s="3565" t="s">
        <v>374</v>
      </c>
      <c r="M74" s="3565"/>
      <c r="N74" s="1099">
        <f t="shared" ca="1" si="0"/>
        <v>3620</v>
      </c>
      <c r="O74" s="1537" t="str">
        <f t="shared" si="0"/>
        <v>增值额×税（费）率</v>
      </c>
      <c r="P74" s="1102" t="str">
        <f t="shared" si="0"/>
        <v>免征</v>
      </c>
      <c r="Q74" s="1634"/>
      <c r="R74" s="1634"/>
      <c r="S74" s="1634"/>
      <c r="T74" s="1634"/>
      <c r="U74" s="1634"/>
      <c r="V74" s="1634"/>
    </row>
    <row r="75" spans="1:22" ht="12.75">
      <c r="A75" s="333" t="s">
        <v>378</v>
      </c>
      <c r="B75" s="3512" t="s">
        <v>379</v>
      </c>
      <c r="C75" s="3548"/>
      <c r="D75" s="338">
        <v>0</v>
      </c>
      <c r="E75" s="37" t="s">
        <v>380</v>
      </c>
      <c r="F75" s="339"/>
      <c r="G75" s="335"/>
      <c r="H75" s="38"/>
      <c r="I75" s="38"/>
      <c r="J75" s="1647"/>
      <c r="K75" s="1630">
        <f>IF(H77="非个人房产","",4)</f>
        <v>4</v>
      </c>
      <c r="L75" s="3565" t="str">
        <f>IF(H77="非个人房产","——","个人所得税")</f>
        <v>个人所得税</v>
      </c>
      <c r="M75" s="3565"/>
      <c r="N75" s="1103">
        <f>D77</f>
        <v>0</v>
      </c>
      <c r="O75" s="1538" t="str">
        <f>E77</f>
        <v>差额计税</v>
      </c>
      <c r="P75" s="1104">
        <f>F77</f>
        <v>0.01</v>
      </c>
      <c r="Q75" s="1634"/>
      <c r="R75" s="1634"/>
      <c r="S75" s="1634"/>
      <c r="T75" s="1634"/>
      <c r="U75" s="1634"/>
      <c r="V75" s="1634"/>
    </row>
    <row r="76" spans="1:22" ht="24.75">
      <c r="A76" s="333" t="s">
        <v>359</v>
      </c>
      <c r="B76" s="3512" t="s">
        <v>382</v>
      </c>
      <c r="C76" s="3513"/>
      <c r="D76" s="336">
        <f ca="1">IF(H76="转让取得",C99,C115)</f>
        <v>3620</v>
      </c>
      <c r="E76" s="14" t="s">
        <v>383</v>
      </c>
      <c r="F76" s="49" t="s">
        <v>15</v>
      </c>
      <c r="G76" s="335"/>
      <c r="H76" s="337"/>
      <c r="I76" s="38"/>
      <c r="J76" s="1647"/>
      <c r="K76" s="1630" t="str">
        <f>IF(项目基本情况!K6="上海银行",IF(K75="",4,K75+1),"")</f>
        <v/>
      </c>
      <c r="L76" s="3580" t="str">
        <f>IF(项目基本情况!K6="上海银行","其他处置费用","")</f>
        <v/>
      </c>
      <c r="M76" s="3581"/>
      <c r="N76" s="1099" t="str">
        <f>IF(项目基本情况!K6="上海银行",N89,"")</f>
        <v/>
      </c>
      <c r="O76" s="3582" t="str">
        <f>IF(项目基本情况!K6="上海银行","包含处置中涉及的律师、诉讼、拍卖、评估等费用","")</f>
        <v/>
      </c>
      <c r="P76" s="3583"/>
      <c r="Q76" s="1634"/>
      <c r="R76" s="1634"/>
      <c r="S76" s="1634"/>
      <c r="T76" s="1634"/>
      <c r="U76" s="1634"/>
      <c r="V76" s="1634"/>
    </row>
    <row r="77" spans="1:22" ht="24.75" thickBot="1">
      <c r="A77" s="3567" t="s">
        <v>385</v>
      </c>
      <c r="B77" s="3568"/>
      <c r="C77" s="3568"/>
      <c r="D77" s="2545">
        <f>IF(H77="非个人房产","——",IF(H77="个人住宅（满五唯一有凭证）",0,IF(H77="个人其他（无凭证）",ROUND(D63*F77,0),ROUND(C84*F77,0))))</f>
        <v>0</v>
      </c>
      <c r="E77" s="2546" t="str">
        <f>IF(H77="非个人房产","——",IF(H77="个人其他（无凭证）","销售额×税（费）率",IF(H77="个人住宅（满五唯一有凭证）","免征","差额计税")))</f>
        <v>差额计税</v>
      </c>
      <c r="F77" s="2547">
        <f>IF(OR(H77="非个人房产",H77="个人住宅（满五唯一有凭证）"),"——",IF(H77="个人其他（有凭证）",20%,1%))</f>
        <v>0.01</v>
      </c>
      <c r="G77" s="896" t="s">
        <v>377</v>
      </c>
      <c r="H77" s="2544"/>
      <c r="I77" s="2543" t="s">
        <v>2248</v>
      </c>
      <c r="J77" s="1647"/>
      <c r="K77" s="3566">
        <f>IF(AND(K75="",K76=""),4,IF(项目基本情况!K6="上海银行",K76+1,K75+1))</f>
        <v>5</v>
      </c>
      <c r="L77" s="3565" t="s">
        <v>2156</v>
      </c>
      <c r="M77" s="2329" t="s">
        <v>381</v>
      </c>
      <c r="N77" s="1105"/>
      <c r="O77" s="1106">
        <f ca="1">SUMIF(N72:N76,"&lt;9e307")</f>
        <v>3623</v>
      </c>
      <c r="P77" s="1107"/>
      <c r="Q77" s="2327">
        <f ca="1">O77/N69</f>
        <v>0.58191455187921615</v>
      </c>
      <c r="R77" s="1634"/>
      <c r="S77" s="1634"/>
      <c r="T77" s="1634"/>
      <c r="U77" s="1634"/>
      <c r="V77" s="1634"/>
    </row>
    <row r="78" spans="1:22" ht="12" customHeight="1">
      <c r="A78" s="1108"/>
      <c r="B78" s="287"/>
      <c r="C78" s="287"/>
      <c r="D78" s="287"/>
      <c r="E78" s="38"/>
      <c r="F78" s="38"/>
      <c r="G78" s="38"/>
      <c r="H78" s="866"/>
      <c r="I78" s="287"/>
      <c r="J78" s="1647"/>
      <c r="K78" s="3566"/>
      <c r="L78" s="3565"/>
      <c r="M78" s="2329" t="s">
        <v>384</v>
      </c>
      <c r="N78" s="1105"/>
      <c r="O78" s="1106" t="str">
        <f ca="1">NUMBERSTRING(INT(O77*10000),2)&amp;"元整"</f>
        <v>叁仟陆佰贰拾叁万元整</v>
      </c>
      <c r="P78" s="1107"/>
      <c r="Q78" s="1634"/>
      <c r="R78" s="1634"/>
      <c r="S78" s="1634"/>
      <c r="T78" s="1634"/>
      <c r="U78" s="1634"/>
      <c r="V78" s="1634"/>
    </row>
    <row r="79" spans="1:22" ht="13.5" thickBot="1">
      <c r="A79" s="3532" t="s">
        <v>386</v>
      </c>
      <c r="B79" s="3532"/>
      <c r="C79" s="3532"/>
      <c r="D79" s="3532"/>
      <c r="E79" s="3532"/>
      <c r="F79" s="38"/>
      <c r="G79" s="38"/>
      <c r="H79" s="866"/>
      <c r="I79" s="287"/>
      <c r="J79" s="1647"/>
      <c r="K79" s="3586">
        <f>K77+1</f>
        <v>6</v>
      </c>
      <c r="L79" s="3565" t="s">
        <v>2157</v>
      </c>
      <c r="M79" s="2329" t="s">
        <v>381</v>
      </c>
      <c r="N79" s="1105"/>
      <c r="O79" s="1106">
        <f ca="1">N69-O77</f>
        <v>2603</v>
      </c>
      <c r="P79" s="1107"/>
      <c r="Q79" s="1634"/>
      <c r="R79" s="1634"/>
      <c r="S79" s="1634"/>
      <c r="T79" s="1634"/>
      <c r="U79" s="1634"/>
      <c r="V79" s="1634"/>
    </row>
    <row r="80" spans="1:22" ht="25.5">
      <c r="A80" s="3533" t="s">
        <v>387</v>
      </c>
      <c r="B80" s="3534"/>
      <c r="C80" s="905"/>
      <c r="D80" s="905" t="s">
        <v>388</v>
      </c>
      <c r="E80" s="340" t="s">
        <v>389</v>
      </c>
      <c r="F80" s="38"/>
      <c r="G80" s="38"/>
      <c r="H80" s="866"/>
      <c r="I80" s="287"/>
      <c r="J80" s="1634"/>
      <c r="K80" s="3587"/>
      <c r="L80" s="3565"/>
      <c r="M80" s="2329" t="s">
        <v>384</v>
      </c>
      <c r="N80" s="1105"/>
      <c r="O80" s="1106" t="str">
        <f ca="1">NUMBERSTRING(INT(O79*10000),2)&amp;"元整"</f>
        <v>贰仟陆佰零叁万元整</v>
      </c>
      <c r="P80" s="1107"/>
      <c r="Q80" s="1634"/>
      <c r="R80" s="1634"/>
      <c r="S80" s="1634"/>
      <c r="T80" s="1634"/>
      <c r="U80" s="1634"/>
      <c r="V80" s="1634"/>
    </row>
    <row r="81" spans="1:26" ht="13.5" thickBot="1">
      <c r="A81" s="351" t="s">
        <v>1350</v>
      </c>
      <c r="B81" s="341" t="s">
        <v>390</v>
      </c>
      <c r="C81" s="342">
        <f ca="1">ROUND((C82+C83)/(1+'数据-取费表'!C42),0)</f>
        <v>6080</v>
      </c>
      <c r="D81" s="343"/>
      <c r="E81" s="344"/>
      <c r="F81" s="38"/>
      <c r="G81" s="38"/>
      <c r="H81" s="866"/>
      <c r="I81" s="287"/>
      <c r="J81" s="1634"/>
      <c r="K81" s="1630">
        <f>K79+1</f>
        <v>7</v>
      </c>
      <c r="L81" s="3563" t="s">
        <v>2158</v>
      </c>
      <c r="M81" s="3564"/>
      <c r="N81" s="1109"/>
      <c r="O81" s="1110">
        <f ca="1">ROUND(O79*10000/'数据-汇总表'!E3,0)</f>
        <v>613</v>
      </c>
      <c r="P81" s="1111"/>
      <c r="Q81" s="1634"/>
      <c r="R81" s="1634"/>
      <c r="S81" s="1634"/>
      <c r="T81" s="1634"/>
      <c r="U81" s="1634"/>
      <c r="V81" s="1634"/>
    </row>
    <row r="82" spans="1:26" ht="13.5" thickTop="1">
      <c r="A82" s="345" t="s">
        <v>1351</v>
      </c>
      <c r="B82" s="346" t="s">
        <v>391</v>
      </c>
      <c r="C82" s="347">
        <f ca="1">D63</f>
        <v>6384</v>
      </c>
      <c r="D82" s="348" t="s">
        <v>13</v>
      </c>
      <c r="E82" s="349"/>
      <c r="F82" s="38"/>
      <c r="G82" s="38"/>
      <c r="H82" s="866"/>
      <c r="I82" s="287"/>
      <c r="J82" s="1634"/>
      <c r="K82" s="1634"/>
      <c r="L82" s="1634"/>
      <c r="M82" s="1634"/>
      <c r="N82" s="1634"/>
      <c r="O82" s="1634"/>
      <c r="P82" s="1634"/>
      <c r="Q82" s="1634"/>
      <c r="R82" s="1634"/>
      <c r="S82" s="1634"/>
      <c r="T82" s="1634"/>
      <c r="U82" s="1634"/>
      <c r="V82" s="1634"/>
    </row>
    <row r="83" spans="1:26" ht="12.75">
      <c r="A83" s="345" t="s">
        <v>1352</v>
      </c>
      <c r="B83" s="346" t="s">
        <v>392</v>
      </c>
      <c r="C83" s="350"/>
      <c r="D83" s="348"/>
      <c r="E83" s="349"/>
      <c r="F83" s="38"/>
      <c r="G83" s="38"/>
      <c r="H83" s="866"/>
      <c r="I83" s="287"/>
      <c r="J83" s="1634"/>
      <c r="K83" s="3579" t="s">
        <v>2146</v>
      </c>
      <c r="L83" s="2335" t="s">
        <v>2147</v>
      </c>
      <c r="M83" s="2325">
        <f ca="1">IF(N69&gt;10000,N69*0.5%,IF(AND(N69&gt;1000,N69&lt;=10000),N69*1%,IF(AND(N69&gt;100,N69&lt;=1000),N69*3%,IF(AND(N69&gt;10,N69&lt;=100),N69*5%,N69*8%))))</f>
        <v>62.26</v>
      </c>
      <c r="N83" s="49">
        <f ca="1">ROUND(M83,1)</f>
        <v>62.3</v>
      </c>
      <c r="O83" s="2328"/>
      <c r="P83" s="1634"/>
      <c r="Q83" s="1634"/>
      <c r="R83" s="1634"/>
      <c r="S83" s="1634"/>
      <c r="T83" s="1634"/>
      <c r="U83" s="1634"/>
      <c r="V83" s="1634"/>
    </row>
    <row r="84" spans="1:26" ht="12.75">
      <c r="A84" s="351" t="s">
        <v>1353</v>
      </c>
      <c r="B84" s="352" t="s">
        <v>393</v>
      </c>
      <c r="C84" s="353"/>
      <c r="D84" s="354" t="s">
        <v>13</v>
      </c>
      <c r="E84" s="2350" t="s">
        <v>2191</v>
      </c>
      <c r="F84" s="38"/>
      <c r="G84" s="38"/>
      <c r="H84" s="866"/>
      <c r="I84" s="287"/>
      <c r="J84" s="1634"/>
      <c r="K84" s="3579"/>
      <c r="L84" s="2335" t="s">
        <v>2148</v>
      </c>
      <c r="M84" s="2325">
        <f ca="1">IF(N69&gt;2000,N69*0.5%,IF(AND(N69&gt;1000,N69&lt;=2000),N69*0.6%,IF(AND(N69&gt;500,N69&lt;=1000),N69*0.7%,IF(AND(N69&gt;200,N69&lt;=500),N69*0.8%,IF(AND(N69&gt;100,N69&lt;=200),N69*0.9%,IF(AND(N69&gt;50,N69&lt;=100),N69*1%,IF(AND(N69&gt;20,N69&lt;=50),N69*1.5%,IF(AND(N69&gt;10,N69&lt;=20),N69*2%,IF(AND(N69&gt;1,N69&lt;=10),N69*2.5%)))))))))</f>
        <v>31.13</v>
      </c>
      <c r="N84" s="49">
        <f ca="1">ROUND(M84,1)</f>
        <v>31.1</v>
      </c>
      <c r="O84" s="1634" t="s">
        <v>2149</v>
      </c>
      <c r="P84" s="1634"/>
      <c r="Q84" s="1634"/>
      <c r="R84" s="1634"/>
      <c r="S84" s="1634"/>
      <c r="T84" s="1634"/>
      <c r="U84" s="1634"/>
      <c r="V84" s="1634"/>
    </row>
    <row r="85" spans="1:26" ht="12.75">
      <c r="A85" s="351" t="s">
        <v>1354</v>
      </c>
      <c r="B85" s="352" t="s">
        <v>394</v>
      </c>
      <c r="C85" s="355">
        <f ca="1">C81-C84</f>
        <v>6080</v>
      </c>
      <c r="D85" s="348" t="s">
        <v>13</v>
      </c>
      <c r="E85" s="349"/>
      <c r="F85" s="38"/>
      <c r="G85" s="38"/>
      <c r="H85" s="866"/>
      <c r="I85" s="287"/>
      <c r="J85" s="1634"/>
      <c r="K85" s="3579"/>
      <c r="L85" s="2335" t="s">
        <v>2150</v>
      </c>
      <c r="M85" s="2325">
        <f ca="1">IF(N69&gt;1000,N69*0.1%,IF(AND(N69&gt;500,N69&lt;=1000),N69*0.5%,IF(AND(N69&gt;50,N69&lt;=500),N69*1%,IF(AND(N69&gt;1,N69&lt;=50),N69*1.5%))))</f>
        <v>6.226</v>
      </c>
      <c r="N85" s="49">
        <f ca="1">ROUND(M85,1)</f>
        <v>6.2</v>
      </c>
      <c r="O85" s="1634" t="s">
        <v>2149</v>
      </c>
      <c r="P85" s="1634"/>
      <c r="Q85" s="1634"/>
      <c r="R85" s="1634"/>
      <c r="S85" s="1634"/>
      <c r="T85" s="1634"/>
      <c r="U85" s="1634"/>
      <c r="V85" s="1634"/>
    </row>
    <row r="86" spans="1:26" ht="13.5" thickBot="1">
      <c r="A86" s="356" t="s">
        <v>1355</v>
      </c>
      <c r="B86" s="357" t="s">
        <v>395</v>
      </c>
      <c r="C86" s="358">
        <f ca="1">IF(C85&lt;=0,0,ROUND(C85*D86,0))</f>
        <v>334</v>
      </c>
      <c r="D86" s="359">
        <f>'数据-取费表'!B41</f>
        <v>5.5000000000000007E-2</v>
      </c>
      <c r="E86" s="360"/>
      <c r="F86" s="38"/>
      <c r="G86" s="38"/>
      <c r="H86" s="866"/>
      <c r="I86" s="287"/>
      <c r="J86" s="1634"/>
      <c r="K86" s="3579"/>
      <c r="L86" s="2335" t="s">
        <v>2151</v>
      </c>
      <c r="M86" s="2325">
        <f ca="1">N69*0.5%</f>
        <v>31.13</v>
      </c>
      <c r="N86" s="49">
        <f ca="1">IF(M86&gt;0.5,0.5,ROUND(M86,0))</f>
        <v>0.5</v>
      </c>
      <c r="O86" s="1634" t="s">
        <v>2152</v>
      </c>
      <c r="P86" s="1634"/>
      <c r="Q86" s="1634"/>
      <c r="R86" s="1634"/>
      <c r="S86" s="1634"/>
      <c r="T86" s="1634"/>
      <c r="U86" s="1634"/>
      <c r="V86" s="1634"/>
    </row>
    <row r="87" spans="1:26" ht="14.25" customHeight="1">
      <c r="A87" s="1112"/>
      <c r="B87" s="1113"/>
      <c r="C87" s="1114"/>
      <c r="D87" s="1115"/>
      <c r="E87" s="1116"/>
      <c r="F87" s="38"/>
      <c r="G87" s="38"/>
      <c r="H87" s="866"/>
      <c r="I87" s="287"/>
      <c r="J87" s="1634"/>
      <c r="K87" s="3579"/>
      <c r="L87" s="2335" t="s">
        <v>2153</v>
      </c>
      <c r="M87" s="2325">
        <f ca="1">IF(N69&gt;=10000,(8.25+(N69-10000)*0.01%),IF(AND(N69&gt;=8000,N69&lt;10000),(7.85+(N69-8000)*0.02%),IF(AND(N69&gt;=5000,N69&lt;8000),(6.65+(N69-5000)*0.04%),IF(AND(N69&gt;=2000,N69&lt;5000),(4.25+(PN69-2000)*0.08%),IF(AND(N69&gt;=1000,N69&lt;2000),(2.75+(N69-1000)*0.15%),IF(AND(N69&gt;=100,N69&lt;1000),(0.5+(N69-100)*0.25%),IF(AND(N69&gt;0,N69&lt;100),N69*0.5%)))))))</f>
        <v>7.1404000000000005</v>
      </c>
      <c r="N87" s="49">
        <f ca="1">ROUND(M87*0.9,1)</f>
        <v>6.4</v>
      </c>
      <c r="O87" s="2328"/>
      <c r="P87" s="1634"/>
      <c r="Q87" s="1634"/>
      <c r="R87" s="1634"/>
      <c r="S87" s="1634"/>
      <c r="T87" s="1634"/>
      <c r="U87" s="1634"/>
      <c r="V87" s="1634"/>
    </row>
    <row r="88" spans="1:26" s="1005" customFormat="1" ht="15" thickBot="1">
      <c r="A88" s="3558" t="s">
        <v>396</v>
      </c>
      <c r="B88" s="3559"/>
      <c r="C88" s="3559"/>
      <c r="D88" s="3559"/>
      <c r="E88" s="3559"/>
      <c r="F88" s="3559"/>
      <c r="G88" s="3559"/>
      <c r="H88" s="3559"/>
      <c r="I88" s="1117"/>
      <c r="J88" s="1648"/>
      <c r="K88" s="3579"/>
      <c r="L88" s="2335" t="s">
        <v>2154</v>
      </c>
      <c r="M88" s="2325">
        <f ca="1">IF(N69&gt;10000,N69*0.5%,IF(AND(N69&gt;5000,N69&lt;=10000),N69*1%,IF(AND(N69&gt;1000,N69&lt;=5000),N69*2%,IF(AND(N69&gt;200,N69&lt;=1000),N69*3%,N69*5%))))</f>
        <v>62.26</v>
      </c>
      <c r="N88" s="49">
        <f ca="1">ROUND(M88,1)</f>
        <v>62.3</v>
      </c>
      <c r="O88" s="2328"/>
      <c r="P88" s="1645"/>
      <c r="Q88" s="1645"/>
      <c r="R88" s="1645"/>
      <c r="S88" s="1645"/>
      <c r="T88" s="1645"/>
      <c r="U88" s="1645"/>
      <c r="V88" s="1645"/>
      <c r="W88" s="1649"/>
      <c r="X88" s="1649"/>
      <c r="Y88" s="1649"/>
      <c r="Z88" s="1649"/>
    </row>
    <row r="89" spans="1:26" s="1005" customFormat="1" ht="14.25">
      <c r="A89" s="3533" t="s">
        <v>387</v>
      </c>
      <c r="B89" s="3534"/>
      <c r="C89" s="905"/>
      <c r="D89" s="905" t="s">
        <v>388</v>
      </c>
      <c r="E89" s="361" t="s">
        <v>397</v>
      </c>
      <c r="F89" s="362"/>
      <c r="G89" s="362"/>
      <c r="H89" s="363"/>
      <c r="I89" s="1118"/>
      <c r="J89" s="1650"/>
      <c r="K89" s="3579"/>
      <c r="L89" s="2335" t="s">
        <v>16</v>
      </c>
      <c r="M89" s="2326"/>
      <c r="N89" s="49">
        <f ca="1">ROUND(SUM(N83:N88),0)</f>
        <v>169</v>
      </c>
      <c r="O89" s="2336">
        <f ca="1">N89/N69</f>
        <v>2.7144233858014778E-2</v>
      </c>
      <c r="P89" s="1645"/>
      <c r="Q89" s="1645"/>
      <c r="R89" s="1645"/>
      <c r="S89" s="1645"/>
      <c r="T89" s="1645"/>
      <c r="U89" s="1645"/>
      <c r="V89" s="1645"/>
      <c r="W89" s="1649"/>
      <c r="X89" s="1649"/>
      <c r="Y89" s="1649"/>
      <c r="Z89" s="1649"/>
    </row>
    <row r="90" spans="1:26" s="1005" customFormat="1" ht="14.25">
      <c r="A90" s="351" t="s">
        <v>1350</v>
      </c>
      <c r="B90" s="352" t="s">
        <v>398</v>
      </c>
      <c r="C90" s="355">
        <f ca="1">ROUND(D63/(1+'数据-取费表'!C42),0)</f>
        <v>6080</v>
      </c>
      <c r="D90" s="348" t="s">
        <v>13</v>
      </c>
      <c r="E90" s="903"/>
      <c r="F90" s="902"/>
      <c r="G90" s="902"/>
      <c r="H90" s="364"/>
      <c r="I90" s="1118"/>
      <c r="J90" s="1650"/>
      <c r="K90" s="1645"/>
      <c r="L90" s="1645"/>
      <c r="M90" s="1645"/>
      <c r="N90" s="1645"/>
      <c r="O90" s="1645"/>
      <c r="P90" s="1645"/>
      <c r="Q90" s="1645"/>
      <c r="R90" s="1645"/>
      <c r="S90" s="1645"/>
      <c r="T90" s="1645"/>
      <c r="U90" s="1645"/>
      <c r="V90" s="1645"/>
      <c r="W90" s="1649"/>
      <c r="X90" s="1649"/>
      <c r="Y90" s="1649"/>
      <c r="Z90" s="1649"/>
    </row>
    <row r="91" spans="1:26" s="1005" customFormat="1" ht="14.25">
      <c r="A91" s="351" t="s">
        <v>1356</v>
      </c>
      <c r="B91" s="322" t="s">
        <v>399</v>
      </c>
      <c r="C91" s="355">
        <f ca="1">C92+C96</f>
        <v>30</v>
      </c>
      <c r="D91" s="348" t="s">
        <v>13</v>
      </c>
      <c r="E91" s="903"/>
      <c r="F91" s="902"/>
      <c r="G91" s="902"/>
      <c r="H91" s="364"/>
      <c r="I91" s="1118"/>
      <c r="J91" s="1650"/>
      <c r="K91" s="1645"/>
      <c r="L91" s="1645"/>
      <c r="M91" s="1645"/>
      <c r="N91" s="1645"/>
      <c r="O91" s="1645"/>
      <c r="P91" s="1645"/>
      <c r="Q91" s="1645"/>
      <c r="R91" s="1645"/>
      <c r="S91" s="1645"/>
      <c r="T91" s="1645"/>
      <c r="U91" s="1645"/>
      <c r="V91" s="1645"/>
      <c r="W91" s="1649"/>
      <c r="X91" s="1649"/>
      <c r="Y91" s="1649"/>
      <c r="Z91" s="1649"/>
    </row>
    <row r="92" spans="1:26" s="1005" customFormat="1" ht="24">
      <c r="A92" s="365" t="s">
        <v>1357</v>
      </c>
      <c r="B92" s="346" t="s">
        <v>400</v>
      </c>
      <c r="C92" s="348">
        <f>ROUND(IF(G95="2016年5月1日后购买",C93/(1+'数据-取费表'!C30)+C94+C95,C93+C94+C95),0)</f>
        <v>0</v>
      </c>
      <c r="D92" s="348" t="s">
        <v>13</v>
      </c>
      <c r="E92" s="903"/>
      <c r="F92" s="902"/>
      <c r="G92" s="902"/>
      <c r="H92" s="364"/>
      <c r="I92" s="1118"/>
      <c r="J92" s="1650"/>
      <c r="K92" s="1645"/>
      <c r="L92" s="1645"/>
      <c r="M92" s="1645"/>
      <c r="N92" s="1645"/>
      <c r="O92" s="1645"/>
      <c r="P92" s="1645"/>
      <c r="Q92" s="1645"/>
      <c r="R92" s="1645"/>
      <c r="S92" s="1645"/>
      <c r="T92" s="1645"/>
      <c r="U92" s="1645"/>
      <c r="V92" s="1645"/>
      <c r="W92" s="1649"/>
      <c r="X92" s="1649"/>
      <c r="Y92" s="1649"/>
      <c r="Z92" s="1649"/>
    </row>
    <row r="93" spans="1:26" s="1005" customFormat="1" ht="14.25">
      <c r="A93" s="365" t="s">
        <v>1358</v>
      </c>
      <c r="B93" s="346" t="s">
        <v>401</v>
      </c>
      <c r="C93" s="366"/>
      <c r="D93" s="348" t="s">
        <v>13</v>
      </c>
      <c r="E93" s="367" t="s">
        <v>402</v>
      </c>
      <c r="F93" s="368"/>
      <c r="G93" s="367" t="s">
        <v>403</v>
      </c>
      <c r="H93" s="369">
        <v>5</v>
      </c>
      <c r="I93" s="9"/>
      <c r="J93" s="1645"/>
      <c r="K93" s="1645"/>
      <c r="L93" s="1645"/>
      <c r="M93" s="1645"/>
      <c r="N93" s="1645"/>
      <c r="O93" s="1645"/>
      <c r="P93" s="1645"/>
      <c r="Q93" s="1645"/>
      <c r="R93" s="1645"/>
      <c r="S93" s="1645"/>
      <c r="T93" s="1645"/>
      <c r="U93" s="1645"/>
      <c r="V93" s="1645"/>
      <c r="W93" s="1649"/>
      <c r="X93" s="1649"/>
      <c r="Y93" s="1649"/>
      <c r="Z93" s="1649"/>
    </row>
    <row r="94" spans="1:26" s="1005" customFormat="1" ht="24.75" customHeight="1">
      <c r="A94" s="365" t="s">
        <v>1359</v>
      </c>
      <c r="B94" s="370" t="s">
        <v>404</v>
      </c>
      <c r="C94" s="348">
        <f>IF(F93="购房发票",ROUND(C93*H93*5%,0),0)</f>
        <v>0</v>
      </c>
      <c r="D94" s="371">
        <v>0.05</v>
      </c>
      <c r="E94" s="3515" t="s">
        <v>405</v>
      </c>
      <c r="F94" s="3514"/>
      <c r="G94" s="3514"/>
      <c r="H94" s="3557"/>
      <c r="I94" s="1118"/>
      <c r="J94" s="1650"/>
      <c r="K94" s="1645"/>
      <c r="L94" s="1645"/>
      <c r="M94" s="1645"/>
      <c r="N94" s="1645"/>
      <c r="O94" s="1645"/>
      <c r="P94" s="1645"/>
      <c r="Q94" s="1645"/>
      <c r="R94" s="1645"/>
      <c r="S94" s="1645"/>
      <c r="T94" s="1645"/>
      <c r="U94" s="1645"/>
      <c r="V94" s="1645"/>
      <c r="W94" s="1649"/>
      <c r="X94" s="1649"/>
      <c r="Y94" s="1649"/>
      <c r="Z94" s="1649"/>
    </row>
    <row r="95" spans="1:26" s="1005" customFormat="1" ht="24.75" customHeight="1">
      <c r="A95" s="365" t="s">
        <v>1360</v>
      </c>
      <c r="B95" s="346" t="s">
        <v>406</v>
      </c>
      <c r="C95" s="348">
        <f>ROUND(IF(G95="个人买卖住房",0,IF(G95="2016年5月1日前购买",C93*D95,C93*D95/(1+'数据-取费表'!C42))),0)</f>
        <v>0</v>
      </c>
      <c r="D95" s="372">
        <f>'数据-取费表'!B48+'数据-取费表'!B49</f>
        <v>3.0499999999999999E-2</v>
      </c>
      <c r="E95" s="22" t="s">
        <v>407</v>
      </c>
      <c r="F95" s="373"/>
      <c r="G95" s="374"/>
      <c r="H95" s="910" t="str">
        <f>IF(G95="个人买卖住房","免征印花税"," ")</f>
        <v xml:space="preserve"> </v>
      </c>
      <c r="I95" s="1118"/>
      <c r="J95" s="1650"/>
      <c r="K95" s="1645"/>
      <c r="L95" s="1645"/>
      <c r="M95" s="1645"/>
      <c r="N95" s="1645"/>
      <c r="O95" s="1645"/>
      <c r="P95" s="1645"/>
      <c r="Q95" s="1645"/>
      <c r="R95" s="1645"/>
      <c r="S95" s="1645"/>
      <c r="T95" s="1645"/>
      <c r="U95" s="1645"/>
      <c r="V95" s="1645"/>
      <c r="W95" s="1649"/>
      <c r="X95" s="1649"/>
      <c r="Y95" s="1649"/>
      <c r="Z95" s="1649"/>
    </row>
    <row r="96" spans="1:26" s="1005" customFormat="1" ht="24.75" customHeight="1">
      <c r="A96" s="365" t="s">
        <v>1361</v>
      </c>
      <c r="B96" s="346" t="s">
        <v>408</v>
      </c>
      <c r="C96" s="375">
        <f ca="1">ROUND(D63*D96/(1+'数据-取费表'!C42),0)</f>
        <v>30</v>
      </c>
      <c r="D96" s="376">
        <f>'数据-取费表'!B43</f>
        <v>5.000000000000001E-3</v>
      </c>
      <c r="E96" s="3549" t="s">
        <v>1778</v>
      </c>
      <c r="F96" s="3550"/>
      <c r="G96" s="3550"/>
      <c r="H96" s="3551"/>
      <c r="I96" s="1119"/>
      <c r="J96" s="1651"/>
      <c r="K96" s="1645"/>
      <c r="L96" s="1645"/>
      <c r="M96" s="1645"/>
      <c r="N96" s="1645"/>
      <c r="O96" s="1645"/>
      <c r="P96" s="1645"/>
      <c r="Q96" s="1645"/>
      <c r="R96" s="1645"/>
      <c r="S96" s="1645"/>
      <c r="T96" s="1645"/>
      <c r="U96" s="1645"/>
      <c r="V96" s="1645"/>
      <c r="W96" s="1649"/>
      <c r="X96" s="1649"/>
      <c r="Y96" s="1649"/>
      <c r="Z96" s="1649"/>
    </row>
    <row r="97" spans="1:26" s="1005" customFormat="1" ht="14.25">
      <c r="A97" s="1337" t="s">
        <v>1362</v>
      </c>
      <c r="B97" s="352" t="s">
        <v>409</v>
      </c>
      <c r="C97" s="355">
        <f ca="1">C90-C91</f>
        <v>6050</v>
      </c>
      <c r="D97" s="348" t="s">
        <v>13</v>
      </c>
      <c r="E97" s="903"/>
      <c r="F97" s="902"/>
      <c r="G97" s="902"/>
      <c r="H97" s="364"/>
      <c r="I97" s="1118"/>
      <c r="J97" s="1650"/>
      <c r="K97" s="1645"/>
      <c r="L97" s="1645"/>
      <c r="M97" s="1645"/>
      <c r="N97" s="1645"/>
      <c r="O97" s="1645"/>
      <c r="P97" s="1645"/>
      <c r="Q97" s="1645"/>
      <c r="R97" s="1645"/>
      <c r="S97" s="1645"/>
      <c r="T97" s="1645"/>
      <c r="U97" s="1645"/>
      <c r="V97" s="1645"/>
      <c r="W97" s="1649"/>
      <c r="X97" s="1649"/>
      <c r="Y97" s="1649"/>
      <c r="Z97" s="1649"/>
    </row>
    <row r="98" spans="1:26" s="1005" customFormat="1" ht="24">
      <c r="A98" s="1337" t="s">
        <v>1363</v>
      </c>
      <c r="B98" s="352" t="s">
        <v>410</v>
      </c>
      <c r="C98" s="377">
        <f ca="1">IF(C97&lt;=0,0,C97/C91)</f>
        <v>201.66666666666666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2"/>
      <c r="G98" s="902"/>
      <c r="H98" s="364"/>
      <c r="I98" s="1118"/>
      <c r="J98" s="1650"/>
      <c r="K98" s="1645"/>
      <c r="L98" s="1645"/>
      <c r="M98" s="1645"/>
      <c r="N98" s="1645"/>
      <c r="O98" s="1645"/>
      <c r="P98" s="1645"/>
      <c r="Q98" s="1645"/>
      <c r="R98" s="1645"/>
      <c r="S98" s="1645"/>
      <c r="T98" s="1645"/>
      <c r="U98" s="1645"/>
      <c r="V98" s="1645"/>
      <c r="W98" s="1649"/>
      <c r="X98" s="1649"/>
      <c r="Y98" s="1649"/>
      <c r="Z98" s="1649"/>
    </row>
    <row r="99" spans="1:26" s="1005" customFormat="1" ht="24.75" thickBot="1">
      <c r="A99" s="1338" t="s">
        <v>1364</v>
      </c>
      <c r="B99" s="357" t="s">
        <v>411</v>
      </c>
      <c r="C99" s="378">
        <f ca="1">ROUND(IF(C97&lt;=0,0,IF(C98&gt;=200%,C97*60%-C91*35%,IF(C98&gt;=100%,C97*50%-C91*15%,IF(C98&gt;=50%,C97*40%-C91*5%,IF(C98&lt;50%,C97*30%,0))))),0)</f>
        <v>3620</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18"/>
      <c r="J99" s="1650"/>
      <c r="K99" s="1645"/>
      <c r="L99" s="1645"/>
      <c r="M99" s="1645"/>
      <c r="N99" s="1645"/>
      <c r="O99" s="1645"/>
      <c r="P99" s="1645"/>
      <c r="Q99" s="1645"/>
      <c r="R99" s="1645"/>
      <c r="S99" s="1645"/>
      <c r="T99" s="1645"/>
      <c r="U99" s="1645"/>
      <c r="V99" s="1645"/>
      <c r="W99" s="1649"/>
      <c r="X99" s="1649"/>
      <c r="Y99" s="1649"/>
      <c r="Z99" s="1649"/>
    </row>
    <row r="100" spans="1:26" s="1005" customFormat="1" ht="7.5" customHeight="1">
      <c r="A100" s="9"/>
      <c r="B100" s="1120"/>
      <c r="C100" s="9"/>
      <c r="D100" s="9"/>
      <c r="E100" s="1120"/>
      <c r="F100" s="1120"/>
      <c r="G100" s="1120"/>
      <c r="H100" s="1121"/>
      <c r="I100" s="1119"/>
      <c r="J100" s="1651"/>
      <c r="K100" s="1645"/>
      <c r="L100" s="1645"/>
      <c r="M100" s="1645"/>
      <c r="N100" s="1645"/>
      <c r="O100" s="1645"/>
      <c r="P100" s="1645"/>
      <c r="Q100" s="1645"/>
      <c r="R100" s="1645"/>
      <c r="S100" s="1645"/>
      <c r="T100" s="1645"/>
      <c r="U100" s="1645"/>
      <c r="V100" s="1645"/>
      <c r="W100" s="1649"/>
      <c r="X100" s="1649"/>
      <c r="Y100" s="1649"/>
      <c r="Z100" s="1649"/>
    </row>
    <row r="101" spans="1:26" s="1005" customFormat="1" ht="15" thickBot="1">
      <c r="A101" s="3558" t="s">
        <v>412</v>
      </c>
      <c r="B101" s="3559"/>
      <c r="C101" s="3559"/>
      <c r="D101" s="3559"/>
      <c r="E101" s="3559"/>
      <c r="F101" s="3559"/>
      <c r="G101" s="3559"/>
      <c r="H101" s="3559"/>
      <c r="I101" s="9"/>
      <c r="J101" s="1645"/>
      <c r="K101" s="1645"/>
      <c r="L101" s="1645"/>
      <c r="M101" s="1645"/>
      <c r="N101" s="1645"/>
      <c r="O101" s="1645"/>
      <c r="P101" s="1645"/>
      <c r="Q101" s="1645"/>
      <c r="R101" s="1645"/>
      <c r="S101" s="1645"/>
      <c r="T101" s="1645"/>
      <c r="U101" s="1645"/>
      <c r="V101" s="1645"/>
      <c r="W101" s="1649"/>
      <c r="X101" s="1649"/>
      <c r="Y101" s="1649"/>
      <c r="Z101" s="1649"/>
    </row>
    <row r="102" spans="1:26" s="1005" customFormat="1" ht="14.25">
      <c r="A102" s="3533" t="s">
        <v>387</v>
      </c>
      <c r="B102" s="3534"/>
      <c r="C102" s="905"/>
      <c r="D102" s="905" t="s">
        <v>388</v>
      </c>
      <c r="E102" s="361" t="s">
        <v>397</v>
      </c>
      <c r="F102" s="362"/>
      <c r="G102" s="362"/>
      <c r="H102" s="383"/>
      <c r="I102" s="9"/>
      <c r="J102" s="1645"/>
      <c r="K102" s="1645"/>
      <c r="L102" s="1645"/>
      <c r="M102" s="1645"/>
      <c r="N102" s="1645"/>
      <c r="O102" s="1645"/>
      <c r="P102" s="1645"/>
      <c r="Q102" s="1645"/>
      <c r="R102" s="1645"/>
      <c r="S102" s="1645"/>
      <c r="T102" s="1645"/>
      <c r="U102" s="1645"/>
      <c r="V102" s="1645"/>
      <c r="W102" s="1649"/>
      <c r="X102" s="1649"/>
      <c r="Y102" s="1649"/>
      <c r="Z102" s="1649"/>
    </row>
    <row r="103" spans="1:26" s="1005" customFormat="1" ht="14.25">
      <c r="A103" s="351" t="s">
        <v>1350</v>
      </c>
      <c r="B103" s="352" t="s">
        <v>398</v>
      </c>
      <c r="C103" s="355">
        <f ca="1">ROUND(D63/(1+'数据-取费表'!C42),0)</f>
        <v>6080</v>
      </c>
      <c r="D103" s="348" t="s">
        <v>13</v>
      </c>
      <c r="E103" s="903"/>
      <c r="F103" s="902"/>
      <c r="G103" s="902"/>
      <c r="H103" s="384"/>
      <c r="I103" s="9"/>
      <c r="J103" s="1645"/>
      <c r="K103" s="1645"/>
      <c r="L103" s="1645"/>
      <c r="M103" s="1645"/>
      <c r="N103" s="1645"/>
      <c r="O103" s="1645"/>
      <c r="P103" s="1645"/>
      <c r="Q103" s="1645"/>
      <c r="R103" s="1645"/>
      <c r="S103" s="1645"/>
      <c r="T103" s="1645"/>
      <c r="U103" s="1645"/>
      <c r="V103" s="1645"/>
      <c r="W103" s="1649"/>
      <c r="X103" s="1649"/>
      <c r="Y103" s="1649"/>
      <c r="Z103" s="1649"/>
    </row>
    <row r="104" spans="1:26" s="1005" customFormat="1" ht="14.25">
      <c r="A104" s="351" t="s">
        <v>1356</v>
      </c>
      <c r="B104" s="322" t="s">
        <v>399</v>
      </c>
      <c r="C104" s="355">
        <f ca="1">IF(H106="仅含出让金",C105+C108+C109+C110+C111+C112,C105+C109+C110+C111+C112)</f>
        <v>30</v>
      </c>
      <c r="D104" s="385"/>
      <c r="E104" s="903"/>
      <c r="F104" s="902"/>
      <c r="G104" s="902"/>
      <c r="H104" s="384"/>
      <c r="I104" s="9"/>
      <c r="J104" s="1645"/>
      <c r="K104" s="1645"/>
      <c r="L104" s="1645"/>
      <c r="M104" s="1645"/>
      <c r="N104" s="1645"/>
      <c r="O104" s="1645"/>
      <c r="P104" s="1645"/>
      <c r="Q104" s="1645"/>
      <c r="R104" s="1645"/>
      <c r="S104" s="1645"/>
      <c r="T104" s="1645"/>
      <c r="U104" s="1645"/>
      <c r="V104" s="1645"/>
      <c r="W104" s="1649"/>
      <c r="X104" s="1649"/>
      <c r="Y104" s="1649"/>
      <c r="Z104" s="1649"/>
    </row>
    <row r="105" spans="1:26" s="1005" customFormat="1" ht="14.25">
      <c r="A105" s="365" t="s">
        <v>1357</v>
      </c>
      <c r="B105" s="346" t="s">
        <v>413</v>
      </c>
      <c r="C105" s="375">
        <f>C106+C107</f>
        <v>0</v>
      </c>
      <c r="D105" s="376"/>
      <c r="E105" s="897"/>
      <c r="F105" s="898"/>
      <c r="G105" s="898"/>
      <c r="H105" s="899"/>
      <c r="I105" s="9"/>
      <c r="J105" s="1645"/>
      <c r="K105" s="1645"/>
      <c r="L105" s="1645"/>
      <c r="M105" s="1645"/>
      <c r="N105" s="1645"/>
      <c r="O105" s="1645"/>
      <c r="P105" s="1645"/>
      <c r="Q105" s="1645"/>
      <c r="R105" s="1645"/>
      <c r="S105" s="1645"/>
      <c r="T105" s="1645"/>
      <c r="U105" s="1645"/>
      <c r="V105" s="1645"/>
      <c r="W105" s="1649"/>
      <c r="X105" s="1649"/>
      <c r="Y105" s="1649"/>
      <c r="Z105" s="1649"/>
    </row>
    <row r="106" spans="1:26" s="1005" customFormat="1" ht="14.25">
      <c r="A106" s="365" t="s">
        <v>1358</v>
      </c>
      <c r="B106" s="346" t="s">
        <v>414</v>
      </c>
      <c r="C106" s="386"/>
      <c r="D106" s="376"/>
      <c r="E106" s="387" t="s">
        <v>415</v>
      </c>
      <c r="F106" s="898"/>
      <c r="G106" s="388" t="s">
        <v>416</v>
      </c>
      <c r="H106" s="389"/>
      <c r="I106" s="9"/>
      <c r="J106" s="1645"/>
      <c r="K106" s="2743" t="s">
        <v>2264</v>
      </c>
      <c r="L106" s="1645"/>
      <c r="M106" s="1645"/>
      <c r="N106" s="1645"/>
      <c r="O106" s="1645"/>
      <c r="P106" s="1645"/>
      <c r="Q106" s="1645"/>
      <c r="R106" s="1645"/>
      <c r="S106" s="1645"/>
      <c r="T106" s="1645"/>
      <c r="U106" s="1645"/>
      <c r="V106" s="1645"/>
      <c r="W106" s="1649"/>
      <c r="X106" s="1649"/>
      <c r="Y106" s="1649"/>
      <c r="Z106" s="1649"/>
    </row>
    <row r="107" spans="1:26" s="1005" customFormat="1" ht="14.25">
      <c r="A107" s="365" t="s">
        <v>1359</v>
      </c>
      <c r="B107" s="346" t="s">
        <v>406</v>
      </c>
      <c r="C107" s="375">
        <f>ROUND(C106*D107,0)</f>
        <v>0</v>
      </c>
      <c r="D107" s="376">
        <f>'数据-取费表'!B48+'数据-取费表'!B49</f>
        <v>3.0499999999999999E-2</v>
      </c>
      <c r="E107" s="387" t="s">
        <v>417</v>
      </c>
      <c r="F107" s="898"/>
      <c r="G107" s="898"/>
      <c r="H107" s="899"/>
      <c r="I107" s="9"/>
      <c r="J107" s="1645"/>
      <c r="K107" s="1645"/>
      <c r="L107" s="1645"/>
      <c r="M107" s="1645"/>
      <c r="N107" s="1645"/>
      <c r="O107" s="1645"/>
      <c r="P107" s="1645"/>
      <c r="Q107" s="1645"/>
      <c r="R107" s="1645"/>
      <c r="S107" s="1645"/>
      <c r="T107" s="1645"/>
      <c r="U107" s="1645"/>
      <c r="V107" s="1645"/>
      <c r="W107" s="1649"/>
      <c r="X107" s="1649"/>
      <c r="Y107" s="1649"/>
      <c r="Z107" s="1649"/>
    </row>
    <row r="108" spans="1:26" s="1005" customFormat="1" ht="14.25">
      <c r="A108" s="365" t="s">
        <v>1361</v>
      </c>
      <c r="B108" s="346" t="s">
        <v>418</v>
      </c>
      <c r="C108" s="386"/>
      <c r="D108" s="376"/>
      <c r="E108" s="387" t="str">
        <f>IF(H106="-","土地取得成本中已包含该笔费用"," ")</f>
        <v xml:space="preserve"> </v>
      </c>
      <c r="F108" s="898"/>
      <c r="G108" s="3509" t="s">
        <v>2240</v>
      </c>
      <c r="H108" s="3510"/>
      <c r="I108" s="2415"/>
      <c r="J108" s="1645"/>
      <c r="K108" s="2743" t="s">
        <v>2265</v>
      </c>
      <c r="L108" s="1645"/>
      <c r="M108" s="1645"/>
      <c r="N108" s="1645"/>
      <c r="O108" s="1645"/>
      <c r="P108" s="1645"/>
      <c r="Q108" s="1645"/>
      <c r="R108" s="1645"/>
      <c r="S108" s="1645"/>
      <c r="T108" s="1645"/>
      <c r="U108" s="1645"/>
      <c r="V108" s="1645"/>
      <c r="W108" s="1649"/>
      <c r="X108" s="1649"/>
      <c r="Y108" s="1649"/>
      <c r="Z108" s="1649"/>
    </row>
    <row r="109" spans="1:26" s="1005" customFormat="1" ht="24" customHeight="1">
      <c r="A109" s="1339" t="s">
        <v>1365</v>
      </c>
      <c r="B109" s="346" t="s">
        <v>419</v>
      </c>
      <c r="C109" s="375">
        <f>IF(H109="——",IF(F1="现房",'剩余法-现房'!C18,0),I109)</f>
        <v>0</v>
      </c>
      <c r="D109" s="376"/>
      <c r="E109" s="3552" t="s">
        <v>420</v>
      </c>
      <c r="F109" s="3550"/>
      <c r="G109" s="3550"/>
      <c r="H109" s="1598" t="s">
        <v>875</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5" customFormat="1" ht="25.5" customHeight="1">
      <c r="A110" s="1339" t="s">
        <v>1366</v>
      </c>
      <c r="B110" s="346" t="s">
        <v>421</v>
      </c>
      <c r="C110" s="375">
        <f>ROUND((C105+C108+C109)*D110,0)</f>
        <v>0</v>
      </c>
      <c r="D110" s="2773">
        <v>0</v>
      </c>
      <c r="E110" s="3552" t="s">
        <v>422</v>
      </c>
      <c r="F110" s="3550"/>
      <c r="G110" s="3550"/>
      <c r="H110" s="3551"/>
      <c r="I110" s="9"/>
      <c r="J110" s="1645"/>
      <c r="K110" s="2744" t="s">
        <v>2266</v>
      </c>
      <c r="L110" s="1645"/>
      <c r="M110" s="1645"/>
      <c r="N110" s="1645"/>
      <c r="O110" s="1645"/>
      <c r="P110" s="1645"/>
      <c r="Q110" s="1645"/>
      <c r="R110" s="1645"/>
      <c r="S110" s="1645"/>
      <c r="T110" s="1645"/>
      <c r="U110" s="1645"/>
      <c r="V110" s="1645"/>
      <c r="W110" s="1649"/>
      <c r="X110" s="1649"/>
      <c r="Y110" s="1649"/>
      <c r="Z110" s="1649"/>
    </row>
    <row r="111" spans="1:26" s="1005" customFormat="1" ht="25.5" customHeight="1">
      <c r="A111" s="1339" t="s">
        <v>1367</v>
      </c>
      <c r="B111" s="346" t="s">
        <v>408</v>
      </c>
      <c r="C111" s="375">
        <f ca="1">ROUND(D63*D111/(1+'数据-取费表'!C42),0)</f>
        <v>30</v>
      </c>
      <c r="D111" s="376">
        <f>'数据-取费表'!B43</f>
        <v>5.000000000000001E-3</v>
      </c>
      <c r="E111" s="3549" t="s">
        <v>1778</v>
      </c>
      <c r="F111" s="3550"/>
      <c r="G111" s="3550"/>
      <c r="H111" s="3551"/>
      <c r="I111" s="9"/>
      <c r="J111" s="1645"/>
      <c r="K111" s="1645"/>
      <c r="L111" s="1645"/>
      <c r="M111" s="1645"/>
      <c r="N111" s="1645"/>
      <c r="O111" s="1645"/>
      <c r="P111" s="1645"/>
      <c r="Q111" s="1645"/>
      <c r="R111" s="1645"/>
      <c r="S111" s="1645"/>
      <c r="T111" s="1645"/>
      <c r="U111" s="1645"/>
      <c r="V111" s="1645"/>
      <c r="W111" s="1649"/>
      <c r="X111" s="1649"/>
      <c r="Y111" s="1649"/>
      <c r="Z111" s="1649"/>
    </row>
    <row r="112" spans="1:26" s="1005" customFormat="1" ht="25.5" customHeight="1">
      <c r="A112" s="1339" t="s">
        <v>1368</v>
      </c>
      <c r="B112" s="346" t="s">
        <v>423</v>
      </c>
      <c r="C112" s="375">
        <f>ROUND(C108*D112,0)</f>
        <v>0</v>
      </c>
      <c r="D112" s="376">
        <v>0.2</v>
      </c>
      <c r="E112" s="3552" t="s">
        <v>1797</v>
      </c>
      <c r="F112" s="3550"/>
      <c r="G112" s="3550"/>
      <c r="H112" s="3551"/>
      <c r="I112" s="9"/>
      <c r="J112" s="1645"/>
      <c r="K112" s="1645"/>
      <c r="L112" s="1645"/>
      <c r="M112" s="1645"/>
      <c r="N112" s="1645"/>
      <c r="O112" s="1645"/>
      <c r="P112" s="1645"/>
      <c r="Q112" s="1645"/>
      <c r="R112" s="1645"/>
      <c r="S112" s="1645"/>
      <c r="T112" s="1645"/>
      <c r="U112" s="1645"/>
      <c r="V112" s="1645"/>
      <c r="W112" s="1649"/>
      <c r="X112" s="1649"/>
      <c r="Y112" s="1649"/>
      <c r="Z112" s="1649"/>
    </row>
    <row r="113" spans="1:26" s="1005" customFormat="1" ht="14.25">
      <c r="A113" s="1337" t="s">
        <v>1362</v>
      </c>
      <c r="B113" s="352" t="s">
        <v>409</v>
      </c>
      <c r="C113" s="355">
        <f ca="1">ROUND(C103-C104,0)</f>
        <v>6050</v>
      </c>
      <c r="D113" s="348" t="s">
        <v>13</v>
      </c>
      <c r="E113" s="903"/>
      <c r="F113" s="902"/>
      <c r="G113" s="902"/>
      <c r="H113" s="384"/>
      <c r="I113" s="9"/>
      <c r="J113" s="1645"/>
      <c r="K113" s="1645"/>
      <c r="L113" s="1645"/>
      <c r="M113" s="1645"/>
      <c r="N113" s="1645"/>
      <c r="O113" s="1645"/>
      <c r="P113" s="1645"/>
      <c r="Q113" s="1645"/>
      <c r="R113" s="1645"/>
      <c r="S113" s="1645"/>
      <c r="T113" s="1645"/>
      <c r="U113" s="1645"/>
      <c r="V113" s="1645"/>
      <c r="W113" s="1649"/>
      <c r="X113" s="1649"/>
      <c r="Y113" s="1649"/>
      <c r="Z113" s="1649"/>
    </row>
    <row r="114" spans="1:26" s="1005" customFormat="1" ht="24">
      <c r="A114" s="1337" t="s">
        <v>1363</v>
      </c>
      <c r="B114" s="352" t="s">
        <v>410</v>
      </c>
      <c r="C114" s="377">
        <f ca="1">IF(C113&lt;=0,0,C113/C104)</f>
        <v>201.66666666666666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2"/>
      <c r="G114" s="902"/>
      <c r="H114" s="384"/>
      <c r="I114" s="9"/>
      <c r="J114" s="1645"/>
      <c r="K114" s="1645"/>
      <c r="L114" s="1645"/>
      <c r="M114" s="1645"/>
      <c r="N114" s="1645"/>
      <c r="O114" s="1645"/>
      <c r="P114" s="1645"/>
      <c r="Q114" s="1645"/>
      <c r="R114" s="1645"/>
      <c r="S114" s="1645"/>
      <c r="T114" s="1645"/>
      <c r="U114" s="1645"/>
      <c r="V114" s="1645"/>
      <c r="W114" s="1649"/>
      <c r="X114" s="1649"/>
      <c r="Y114" s="1649"/>
      <c r="Z114" s="1649"/>
    </row>
    <row r="115" spans="1:26" s="1005" customFormat="1" ht="24.75" thickBot="1">
      <c r="A115" s="1338" t="s">
        <v>1364</v>
      </c>
      <c r="B115" s="357" t="s">
        <v>411</v>
      </c>
      <c r="C115" s="378">
        <f ca="1">ROUND(IF(C113&lt;=0,0,IF(C114&gt;=200%,C113*60%-C104*35%,IF(C114&gt;=100%,C113*50%-C104*15%,IF(C114&gt;=50%,C113*40%-C104*5%,IF(C114&lt;50%,C113*30%,0))))),0)</f>
        <v>3620</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7" customFormat="1" ht="21.75" customHeight="1">
      <c r="K185" s="1652"/>
      <c r="L185" s="1652"/>
      <c r="M185" s="1652"/>
      <c r="N185" s="1652"/>
      <c r="O185" s="1652"/>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91" t="s">
        <v>424</v>
      </c>
      <c r="B1" s="2117"/>
      <c r="C1" s="1710"/>
      <c r="D1" s="1710"/>
      <c r="E1" s="1710"/>
      <c r="F1" s="1710"/>
      <c r="G1" s="1710"/>
      <c r="H1" s="1710"/>
      <c r="I1" s="1710"/>
      <c r="J1" s="1710"/>
      <c r="K1" s="392">
        <f>MATCH(B1,'数据-取费表'!A6:A16,0)+5</f>
        <v>7</v>
      </c>
      <c r="L1" s="237"/>
      <c r="M1" s="237"/>
      <c r="N1" s="237"/>
      <c r="O1" s="237"/>
      <c r="P1" s="237"/>
      <c r="Q1" s="237"/>
      <c r="R1" s="237"/>
      <c r="S1" s="237"/>
      <c r="T1" s="237"/>
      <c r="U1" s="237"/>
      <c r="V1" s="237"/>
      <c r="W1" s="237"/>
      <c r="X1" s="237"/>
      <c r="Y1" s="237"/>
      <c r="Z1" s="237"/>
    </row>
    <row r="2" spans="1:41" s="1652" customFormat="1" ht="18" customHeight="1">
      <c r="A2" s="393" t="s">
        <v>425</v>
      </c>
      <c r="B2" s="394">
        <f ca="1">C27</f>
        <v>0</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41" s="1652" customFormat="1" ht="18" customHeight="1">
      <c r="A3" s="1168" t="s">
        <v>1215</v>
      </c>
      <c r="B3" s="395">
        <f ca="1">ROUND(B2*10000/IF(B1="",'数据-汇总表'!E3,INDIRECT("'数据-取费表'!K"&amp;$K$1)),0)</f>
        <v>0</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41" s="1652" customFormat="1" ht="18" customHeight="1">
      <c r="A4" s="396" t="s">
        <v>426</v>
      </c>
      <c r="B4" s="397">
        <f ca="1">ROUND(B2*10000/IF(B1="",'数据-汇总表'!D3,INDIRECT("'数据-取费表'!R"&amp;$K$1)),0)</f>
        <v>0</v>
      </c>
      <c r="C4" s="1672"/>
      <c r="D4" s="1710"/>
      <c r="E4" s="1710"/>
      <c r="F4" s="1710"/>
      <c r="G4" s="1710"/>
      <c r="H4" s="1710"/>
      <c r="I4" s="1710"/>
      <c r="J4" s="1710"/>
      <c r="K4" s="1710"/>
      <c r="L4" s="237"/>
      <c r="M4" s="237"/>
      <c r="N4" s="237"/>
      <c r="O4" s="237"/>
      <c r="P4" s="237"/>
      <c r="Q4" s="237"/>
      <c r="R4" s="237"/>
      <c r="S4" s="237"/>
      <c r="T4" s="237"/>
      <c r="U4" s="237"/>
      <c r="V4" s="237"/>
      <c r="W4" s="237"/>
      <c r="X4" s="237"/>
      <c r="Y4" s="237"/>
      <c r="Z4" s="237"/>
    </row>
    <row r="5" spans="1:41" s="1652" customFormat="1" ht="18" customHeight="1" thickBot="1">
      <c r="A5" s="399"/>
      <c r="B5" s="400">
        <f ca="1">ROUND(B2/(IF(B1="",'数据-汇总表'!D3,INDIRECT("'数据-取费表'!R"&amp;$K$1))/666.67),0)</f>
        <v>0</v>
      </c>
      <c r="C5" s="401" t="s">
        <v>427</v>
      </c>
      <c r="D5" s="1710"/>
      <c r="E5" s="1710"/>
      <c r="F5" s="1710"/>
      <c r="G5" s="1710"/>
      <c r="H5" s="1710"/>
      <c r="I5" s="1710"/>
      <c r="J5" s="1710"/>
      <c r="K5" s="1710"/>
      <c r="L5" s="237"/>
      <c r="M5" s="237"/>
      <c r="N5" s="237"/>
      <c r="O5" s="237"/>
      <c r="P5" s="237"/>
      <c r="Q5" s="237"/>
      <c r="R5" s="237"/>
      <c r="S5" s="237"/>
      <c r="T5" s="237"/>
      <c r="U5" s="237"/>
      <c r="V5" s="237"/>
      <c r="W5" s="237"/>
      <c r="X5" s="237"/>
      <c r="Y5" s="237"/>
      <c r="Z5" s="237"/>
    </row>
    <row r="6" spans="1:41" s="1717" customFormat="1" ht="16.5" customHeight="1">
      <c r="A6" s="402" t="s">
        <v>1932</v>
      </c>
      <c r="B6" s="403"/>
      <c r="C6" s="1343">
        <f>SUM(C10:K10)</f>
        <v>0</v>
      </c>
      <c r="D6" s="1715"/>
      <c r="E6" s="1715"/>
      <c r="F6" s="1715"/>
      <c r="G6" s="1715"/>
      <c r="H6" s="1715"/>
      <c r="I6" s="1715"/>
      <c r="J6" s="1715"/>
      <c r="K6" s="1716"/>
      <c r="L6" s="2703"/>
      <c r="M6" s="2703"/>
      <c r="N6" s="2703"/>
      <c r="O6" s="2703"/>
      <c r="P6" s="2703"/>
      <c r="Q6" s="2703"/>
      <c r="R6" s="2703"/>
      <c r="S6" s="2703"/>
      <c r="T6" s="2703"/>
      <c r="U6" s="2703"/>
      <c r="V6" s="2703"/>
      <c r="W6" s="2703"/>
      <c r="X6" s="2703"/>
      <c r="Y6" s="2703"/>
      <c r="Z6" s="2703"/>
    </row>
    <row r="7" spans="1:41" s="1719" customFormat="1" ht="15">
      <c r="A7" s="404" t="s">
        <v>428</v>
      </c>
      <c r="B7" s="405" t="s">
        <v>429</v>
      </c>
      <c r="C7" s="2813"/>
      <c r="D7" s="406"/>
      <c r="E7" s="406"/>
      <c r="F7" s="406"/>
      <c r="G7" s="406"/>
      <c r="H7" s="406"/>
      <c r="I7" s="406"/>
      <c r="J7" s="406"/>
      <c r="K7" s="407"/>
      <c r="AA7" s="1718"/>
      <c r="AB7" s="1718"/>
      <c r="AC7" s="1718"/>
      <c r="AD7" s="1718"/>
      <c r="AE7" s="1718"/>
      <c r="AF7" s="1718"/>
      <c r="AG7" s="1718"/>
      <c r="AH7" s="1718"/>
      <c r="AI7" s="1718"/>
      <c r="AJ7" s="1718"/>
      <c r="AK7" s="1718"/>
      <c r="AL7" s="1718"/>
      <c r="AM7" s="1718"/>
      <c r="AN7" s="1718"/>
      <c r="AO7" s="1718"/>
    </row>
    <row r="8" spans="1:41" s="1721" customFormat="1" ht="13.5" customHeight="1">
      <c r="A8" s="1351" t="s">
        <v>1372</v>
      </c>
      <c r="B8" s="408" t="s">
        <v>430</v>
      </c>
      <c r="C8" s="409"/>
      <c r="D8" s="409"/>
      <c r="E8" s="409"/>
      <c r="F8" s="409"/>
      <c r="G8" s="409"/>
      <c r="H8" s="409"/>
      <c r="I8" s="409"/>
      <c r="J8" s="409"/>
      <c r="K8" s="410"/>
      <c r="AA8" s="1720"/>
      <c r="AB8" s="1720"/>
      <c r="AC8" s="1720"/>
      <c r="AD8" s="1720"/>
      <c r="AE8" s="1720"/>
      <c r="AF8" s="1720"/>
      <c r="AG8" s="1720"/>
      <c r="AH8" s="1720"/>
      <c r="AI8" s="1720"/>
      <c r="AJ8" s="1720"/>
      <c r="AK8" s="1720"/>
      <c r="AL8" s="1720"/>
      <c r="AM8" s="1720"/>
      <c r="AN8" s="1720"/>
      <c r="AO8" s="1720"/>
    </row>
    <row r="9" spans="1:41" s="1721" customFormat="1" ht="13.5" customHeight="1">
      <c r="A9" s="1351" t="s">
        <v>1373</v>
      </c>
      <c r="B9" s="408" t="s">
        <v>431</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2" t="s">
        <v>1374</v>
      </c>
      <c r="B10" s="1344" t="s">
        <v>432</v>
      </c>
      <c r="C10" s="1345"/>
      <c r="D10" s="1345"/>
      <c r="E10" s="1345"/>
      <c r="F10" s="1346"/>
      <c r="G10" s="1346"/>
      <c r="H10" s="1346"/>
      <c r="I10" s="1346"/>
      <c r="J10" s="1346"/>
      <c r="K10" s="1347"/>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0" t="s">
        <v>1391</v>
      </c>
      <c r="B11" s="1341"/>
      <c r="C11" s="1341"/>
      <c r="D11" s="1341"/>
      <c r="E11" s="1341"/>
      <c r="F11" s="1341"/>
      <c r="G11" s="1341"/>
      <c r="H11" s="1341"/>
      <c r="I11" s="1341"/>
      <c r="J11" s="1341"/>
      <c r="K11" s="1342"/>
      <c r="L11" s="2703"/>
      <c r="M11" s="2703"/>
      <c r="N11" s="2703"/>
      <c r="O11" s="2703"/>
      <c r="P11" s="2703"/>
      <c r="Q11" s="2703"/>
      <c r="R11" s="2703"/>
      <c r="S11" s="2703"/>
      <c r="T11" s="2703"/>
      <c r="U11" s="2703"/>
      <c r="V11" s="2703"/>
      <c r="W11" s="2703"/>
      <c r="X11" s="2703"/>
      <c r="Y11" s="2703"/>
      <c r="Z11" s="2703"/>
    </row>
    <row r="12" spans="1:41" s="1693" customFormat="1" ht="13.5" customHeight="1">
      <c r="A12" s="404" t="s">
        <v>428</v>
      </c>
      <c r="B12" s="413" t="s">
        <v>429</v>
      </c>
      <c r="C12" s="414" t="s">
        <v>433</v>
      </c>
      <c r="D12" s="415" t="s">
        <v>434</v>
      </c>
      <c r="E12" s="415" t="s">
        <v>435</v>
      </c>
      <c r="F12" s="415" t="s">
        <v>436</v>
      </c>
      <c r="G12" s="413"/>
      <c r="H12" s="416"/>
      <c r="I12" s="416"/>
      <c r="J12" s="416"/>
      <c r="K12" s="417"/>
      <c r="L12" s="2704"/>
      <c r="M12" s="2704"/>
      <c r="N12" s="2704"/>
      <c r="O12" s="2704"/>
      <c r="P12" s="2704"/>
      <c r="Q12" s="2704"/>
      <c r="R12" s="2704"/>
      <c r="S12" s="2704"/>
      <c r="T12" s="2704"/>
      <c r="U12" s="2704"/>
      <c r="V12" s="2704"/>
      <c r="W12" s="2704"/>
      <c r="X12" s="2704"/>
      <c r="Y12" s="2704"/>
      <c r="Z12" s="2704"/>
    </row>
    <row r="13" spans="1:41" s="1722" customFormat="1" ht="13.5" customHeight="1">
      <c r="A13" s="1353" t="s">
        <v>1375</v>
      </c>
      <c r="B13" s="418" t="s">
        <v>437</v>
      </c>
      <c r="C13" s="419">
        <f ca="1">IF(B1="",'数据-取费表'!M16,INDIRECT("'数据-取费表'!M"&amp;$K$1)+INDIRECT("'数据-取费表'!t"&amp;$K$1))</f>
        <v>10150</v>
      </c>
      <c r="D13" s="420"/>
      <c r="E13" s="339"/>
      <c r="F13" s="421"/>
      <c r="G13" s="413"/>
      <c r="H13" s="416"/>
      <c r="I13" s="416"/>
      <c r="J13" s="416"/>
      <c r="K13" s="417"/>
      <c r="L13" s="1723"/>
      <c r="M13" s="1723"/>
      <c r="N13" s="1723"/>
      <c r="O13" s="1723"/>
      <c r="P13" s="1723"/>
      <c r="Q13" s="1723"/>
      <c r="R13" s="1723"/>
      <c r="S13" s="1723"/>
      <c r="T13" s="1723"/>
      <c r="U13" s="1723"/>
      <c r="V13" s="1723"/>
      <c r="W13" s="1723"/>
      <c r="X13" s="1723"/>
      <c r="Y13" s="1723"/>
      <c r="Z13" s="1723"/>
    </row>
    <row r="14" spans="1:41" s="1722" customFormat="1" ht="13.5" customHeight="1">
      <c r="A14" s="1353" t="s">
        <v>1376</v>
      </c>
      <c r="B14" s="418" t="s">
        <v>438</v>
      </c>
      <c r="C14" s="49">
        <f ca="1">ROUND(C13*F14,0)</f>
        <v>508</v>
      </c>
      <c r="D14" s="420"/>
      <c r="E14" s="339"/>
      <c r="F14" s="425">
        <f>'数据-取费表'!B33</f>
        <v>0.05</v>
      </c>
      <c r="G14" s="413" t="s">
        <v>460</v>
      </c>
      <c r="H14" s="416"/>
      <c r="I14" s="416"/>
      <c r="J14" s="416"/>
      <c r="K14" s="417"/>
      <c r="L14" s="1723"/>
      <c r="M14" s="1723"/>
      <c r="N14" s="1723"/>
      <c r="O14" s="1723"/>
      <c r="P14" s="1723"/>
      <c r="Q14" s="1723"/>
      <c r="R14" s="1723"/>
      <c r="S14" s="1723"/>
      <c r="T14" s="1723"/>
      <c r="U14" s="1723"/>
      <c r="V14" s="1723"/>
      <c r="W14" s="1723"/>
      <c r="X14" s="1723"/>
      <c r="Y14" s="1723"/>
      <c r="Z14" s="1723"/>
    </row>
    <row r="15" spans="1:41" s="1722" customFormat="1" ht="13.5" customHeight="1">
      <c r="A15" s="1353" t="s">
        <v>1377</v>
      </c>
      <c r="B15" s="418" t="s">
        <v>440</v>
      </c>
      <c r="C15" s="49">
        <f ca="1">ROUND(IF(B1="",SUMIF('数据-取费表'!C:C,"住宅",'数据-取费表'!M:M)*F15,IF(INDIRECT("'数据-取费表'!c"&amp;$K$1)="住宅",INDIRECT("'数据-取费表'!M"&amp;$K$1)*F15,0)),0)</f>
        <v>0</v>
      </c>
      <c r="D15" s="420"/>
      <c r="E15" s="339"/>
      <c r="F15" s="425">
        <f>'数据-取费表'!B34</f>
        <v>0</v>
      </c>
      <c r="G15" s="413" t="s">
        <v>460</v>
      </c>
      <c r="H15" s="416"/>
      <c r="I15" s="416"/>
      <c r="J15" s="416"/>
      <c r="K15" s="417"/>
      <c r="L15" s="1723"/>
      <c r="M15" s="1723"/>
      <c r="N15" s="1723"/>
      <c r="O15" s="1723"/>
      <c r="P15" s="1723"/>
      <c r="Q15" s="1723"/>
      <c r="R15" s="1723"/>
      <c r="S15" s="1723"/>
      <c r="T15" s="1723"/>
      <c r="U15" s="1723"/>
      <c r="V15" s="1723"/>
      <c r="W15" s="1723"/>
      <c r="X15" s="1723"/>
      <c r="Y15" s="1723"/>
      <c r="Z15" s="1723"/>
    </row>
    <row r="16" spans="1:41" s="1723" customFormat="1" ht="13.5" customHeight="1">
      <c r="A16" s="1353" t="s">
        <v>1378</v>
      </c>
      <c r="B16" s="418" t="s">
        <v>442</v>
      </c>
      <c r="C16" s="49">
        <f ca="1">ROUND(D16*E16/10000,0)</f>
        <v>425</v>
      </c>
      <c r="D16" s="420">
        <f ca="1">IF(B1="",'数据-汇总表'!E3,INDIRECT("'数据-取费表'!K"&amp;$K$1)+INDIRECT("'数据-取费表'!S"&amp;$K$1))</f>
        <v>42462</v>
      </c>
      <c r="E16" s="49">
        <f>'数据-取费表'!B35</f>
        <v>100</v>
      </c>
      <c r="F16" s="422"/>
      <c r="G16" s="413"/>
      <c r="H16" s="416"/>
      <c r="I16" s="416"/>
      <c r="J16" s="416"/>
      <c r="K16" s="417"/>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3" t="s">
        <v>1379</v>
      </c>
      <c r="B17" s="418" t="s">
        <v>443</v>
      </c>
      <c r="C17" s="423">
        <f ca="1">ROUND(C13*F17,0)</f>
        <v>203</v>
      </c>
      <c r="D17" s="424"/>
      <c r="E17" s="423"/>
      <c r="F17" s="425">
        <f>'数据-取费表'!B36</f>
        <v>0.02</v>
      </c>
      <c r="G17" s="413" t="s">
        <v>460</v>
      </c>
      <c r="H17" s="426"/>
      <c r="I17" s="426"/>
      <c r="J17" s="426"/>
      <c r="K17" s="427"/>
      <c r="L17" s="1723"/>
      <c r="M17" s="1723"/>
      <c r="N17" s="1723"/>
      <c r="O17" s="1723"/>
      <c r="P17" s="1723"/>
      <c r="Q17" s="1723"/>
      <c r="R17" s="1723"/>
      <c r="S17" s="1723"/>
      <c r="T17" s="1723"/>
      <c r="U17" s="1723"/>
      <c r="V17" s="1723"/>
      <c r="W17" s="1723"/>
      <c r="X17" s="1723"/>
      <c r="Y17" s="1723"/>
      <c r="Z17" s="1723"/>
    </row>
    <row r="18" spans="1:26" s="1725" customFormat="1" ht="13.5" customHeight="1">
      <c r="A18" s="1354" t="s">
        <v>1380</v>
      </c>
      <c r="B18" s="428" t="s">
        <v>445</v>
      </c>
      <c r="C18" s="429">
        <f ca="1">SUM(C13:C17)</f>
        <v>11286</v>
      </c>
      <c r="D18" s="430"/>
      <c r="E18" s="431"/>
      <c r="F18" s="431"/>
      <c r="G18" s="1127" t="s">
        <v>1781</v>
      </c>
      <c r="H18" s="416"/>
      <c r="I18" s="416"/>
      <c r="J18" s="416"/>
      <c r="K18" s="417"/>
      <c r="L18" s="2706"/>
      <c r="M18" s="2706"/>
      <c r="N18" s="2706"/>
      <c r="O18" s="2706"/>
      <c r="P18" s="2706"/>
      <c r="Q18" s="2706"/>
      <c r="R18" s="2706"/>
      <c r="S18" s="2706"/>
      <c r="T18" s="2706"/>
      <c r="U18" s="2706"/>
      <c r="V18" s="2706"/>
      <c r="W18" s="2706"/>
      <c r="X18" s="2706"/>
      <c r="Y18" s="2706"/>
      <c r="Z18" s="2706"/>
    </row>
    <row r="19" spans="1:26" s="1725" customFormat="1" ht="13.5" customHeight="1">
      <c r="A19" s="1354" t="s">
        <v>1381</v>
      </c>
      <c r="B19" s="428" t="s">
        <v>451</v>
      </c>
      <c r="C19" s="429">
        <f ca="1">ROUND(C18*F19,0)</f>
        <v>226</v>
      </c>
      <c r="D19" s="430"/>
      <c r="E19" s="431"/>
      <c r="F19" s="435">
        <f>'数据-取费表'!B37</f>
        <v>0.02</v>
      </c>
      <c r="G19" s="413" t="s">
        <v>461</v>
      </c>
      <c r="H19" s="416"/>
      <c r="I19" s="416"/>
      <c r="J19" s="416"/>
      <c r="K19" s="417"/>
      <c r="L19" s="2708"/>
      <c r="M19" s="2708"/>
      <c r="N19" s="2708"/>
      <c r="O19" s="2706"/>
      <c r="P19" s="2706"/>
      <c r="Q19" s="2706"/>
      <c r="R19" s="2706"/>
      <c r="S19" s="2706"/>
      <c r="T19" s="2706"/>
      <c r="U19" s="2706"/>
      <c r="V19" s="2706"/>
      <c r="W19" s="2706"/>
      <c r="X19" s="2706"/>
      <c r="Y19" s="2706"/>
      <c r="Z19" s="2706"/>
    </row>
    <row r="20" spans="1:26" s="1727" customFormat="1" ht="13.5" customHeight="1">
      <c r="A20" s="1354" t="s">
        <v>1382</v>
      </c>
      <c r="B20" s="430" t="s">
        <v>452</v>
      </c>
      <c r="C20" s="439">
        <f ca="1">ROUND(IF('数据-取费表'!B22&lt;=1,(C18+C19)*F20*'数据-取费表'!B20/2,(C18+C19)*(POWER((1+F20),'数据-取费表'!B20/2)-1)),0)</f>
        <v>345</v>
      </c>
      <c r="D20" s="431">
        <f ca="1">ROUND(((1+F20)^'数据-取费表'!B20)-1,4)</f>
        <v>6.0900000000000003E-2</v>
      </c>
      <c r="E20" s="431"/>
      <c r="F20" s="440">
        <f ca="1">'数据-取费表'!B40</f>
        <v>0.03</v>
      </c>
      <c r="G20" s="1127" t="str">
        <f>IF('数据-取费表'!B22&lt;=1,"单利计息。","复利计息。")&amp;"建造成本、管理费用产生的利息 / 地价及税费产生的利息。"</f>
        <v>复利计息。建造成本、管理费用产生的利息 / 地价及税费产生的利息。</v>
      </c>
      <c r="H20" s="416"/>
      <c r="I20" s="416"/>
      <c r="J20" s="416"/>
      <c r="K20" s="417"/>
      <c r="L20" s="2714" t="s">
        <v>1798</v>
      </c>
      <c r="M20" s="2715"/>
      <c r="N20" s="2715"/>
      <c r="O20" s="2715"/>
      <c r="P20" s="2715"/>
      <c r="Q20" s="2708"/>
      <c r="R20" s="2708"/>
      <c r="S20" s="2708"/>
      <c r="T20" s="2708"/>
      <c r="U20" s="2708"/>
      <c r="V20" s="2708"/>
      <c r="W20" s="2708"/>
      <c r="X20" s="2708"/>
      <c r="Y20" s="2708"/>
      <c r="Z20" s="2708"/>
    </row>
    <row r="21" spans="1:26" s="1726" customFormat="1" ht="13.5" customHeight="1">
      <c r="A21" s="1354" t="s">
        <v>2283</v>
      </c>
      <c r="B21" s="2314" t="s">
        <v>2105</v>
      </c>
      <c r="C21" s="447">
        <f ca="1">ROUND((C18+C19)*F21,0)</f>
        <v>1151</v>
      </c>
      <c r="D21" s="2785"/>
      <c r="E21" s="431"/>
      <c r="F21" s="448">
        <f ca="1">IF(B1="",'数据-取费表'!Q16,INDIRECT("'数据-取费表'!q"&amp;$K$1))</f>
        <v>0.1</v>
      </c>
      <c r="G21" s="413"/>
      <c r="H21" s="416"/>
      <c r="I21" s="416"/>
      <c r="J21" s="416"/>
      <c r="K21" s="417"/>
      <c r="L21" s="2707"/>
      <c r="M21" s="2707"/>
      <c r="N21" s="2707"/>
      <c r="O21" s="2707"/>
      <c r="P21" s="2707"/>
      <c r="Q21" s="2707"/>
      <c r="R21" s="2707"/>
      <c r="S21" s="2707"/>
      <c r="T21" s="2707"/>
      <c r="U21" s="2707"/>
      <c r="V21" s="2707"/>
      <c r="W21" s="2707"/>
      <c r="X21" s="2707"/>
      <c r="Y21" s="2707"/>
      <c r="Z21" s="2707"/>
    </row>
    <row r="22" spans="1:26" s="1727" customFormat="1" ht="13.5" customHeight="1">
      <c r="A22" s="1354" t="s">
        <v>1386</v>
      </c>
      <c r="B22" s="445" t="s">
        <v>462</v>
      </c>
      <c r="C22" s="450"/>
      <c r="D22" s="450"/>
      <c r="E22" s="451"/>
      <c r="F22" s="2787">
        <f ca="1">IF(B1="",'数据-取费表'!N16,INDIRECT("'数据-取费表'!N"&amp;$K$1))</f>
        <v>0</v>
      </c>
      <c r="G22" s="413"/>
      <c r="H22" s="416"/>
      <c r="I22" s="416"/>
      <c r="J22" s="416"/>
      <c r="K22" s="417"/>
      <c r="L22" s="2708"/>
      <c r="M22" s="2708"/>
      <c r="N22" s="2708"/>
      <c r="O22" s="2708"/>
      <c r="P22" s="2708"/>
      <c r="Q22" s="2708"/>
      <c r="R22" s="2708"/>
      <c r="S22" s="2708"/>
      <c r="T22" s="2708"/>
      <c r="U22" s="2708"/>
      <c r="V22" s="2708"/>
      <c r="W22" s="2708"/>
      <c r="X22" s="2708"/>
      <c r="Y22" s="2708"/>
      <c r="Z22" s="2708"/>
    </row>
    <row r="23" spans="1:26" s="1727" customFormat="1" ht="13.5" customHeight="1" thickBot="1">
      <c r="A23" s="2788" t="s">
        <v>1387</v>
      </c>
      <c r="B23" s="2789" t="s">
        <v>2284</v>
      </c>
      <c r="C23" s="2790">
        <f ca="1">ROUND((C18+C19+C20+C21)*F22,0)</f>
        <v>0</v>
      </c>
      <c r="D23" s="2791"/>
      <c r="E23" s="2792"/>
      <c r="F23" s="452"/>
      <c r="G23" s="405"/>
      <c r="H23" s="2793"/>
      <c r="I23" s="2793"/>
      <c r="J23" s="2793"/>
      <c r="K23" s="2794"/>
      <c r="L23" s="2708"/>
      <c r="M23" s="2708"/>
      <c r="N23" s="2708"/>
      <c r="O23" s="2708"/>
      <c r="P23" s="2708"/>
      <c r="Q23" s="2708"/>
      <c r="R23" s="2708"/>
      <c r="S23" s="2708"/>
      <c r="T23" s="2708"/>
      <c r="U23" s="2708"/>
      <c r="V23" s="2708"/>
      <c r="W23" s="2708"/>
      <c r="X23" s="2708"/>
      <c r="Y23" s="2708"/>
      <c r="Z23" s="2708"/>
    </row>
    <row r="24" spans="1:26" s="1727" customFormat="1" ht="13.5" customHeight="1" thickBot="1">
      <c r="A24" s="3591" t="s">
        <v>1392</v>
      </c>
      <c r="B24" s="3592"/>
      <c r="C24" s="2795">
        <f>ROUND(C6*F24/(1+'数据-取费表'!B42),0)</f>
        <v>0</v>
      </c>
      <c r="D24" s="2796"/>
      <c r="E24" s="2797"/>
      <c r="F24" s="2798">
        <f>'数据-取费表'!B41</f>
        <v>5.5000000000000007E-2</v>
      </c>
      <c r="G24" s="2799"/>
      <c r="H24" s="2799"/>
      <c r="I24" s="2799"/>
      <c r="J24" s="2799"/>
      <c r="K24" s="2800"/>
      <c r="L24" s="2708"/>
      <c r="M24" s="2708"/>
      <c r="N24" s="2708"/>
      <c r="O24" s="2708"/>
      <c r="P24" s="2708"/>
      <c r="Q24" s="2708"/>
      <c r="R24" s="2708"/>
      <c r="S24" s="2708"/>
      <c r="T24" s="2708"/>
      <c r="U24" s="2708"/>
      <c r="V24" s="2708"/>
      <c r="W24" s="2708"/>
      <c r="X24" s="2708"/>
      <c r="Y24" s="2708"/>
      <c r="Z24" s="2708"/>
    </row>
    <row r="25" spans="1:26" s="1727" customFormat="1" ht="13.5" customHeight="1" thickBot="1">
      <c r="A25" s="3591" t="s">
        <v>2281</v>
      </c>
      <c r="B25" s="3592"/>
      <c r="C25" s="2795">
        <f>ROUND(C6*F25,0)</f>
        <v>0</v>
      </c>
      <c r="D25" s="2796"/>
      <c r="E25" s="2797"/>
      <c r="F25" s="2801">
        <f>'数据-取费表'!B38</f>
        <v>0.02</v>
      </c>
      <c r="G25" s="2802"/>
      <c r="H25" s="2799"/>
      <c r="I25" s="2799"/>
      <c r="J25" s="2799"/>
      <c r="K25" s="2800"/>
      <c r="L25" s="2708"/>
      <c r="M25" s="2708"/>
      <c r="N25" s="2708"/>
      <c r="O25" s="2708"/>
      <c r="P25" s="2708"/>
      <c r="Q25" s="2708"/>
      <c r="R25" s="2708"/>
      <c r="S25" s="2708"/>
      <c r="T25" s="2708"/>
      <c r="U25" s="2708"/>
      <c r="V25" s="2708"/>
      <c r="W25" s="2708"/>
      <c r="X25" s="2708"/>
      <c r="Y25" s="2708"/>
      <c r="Z25" s="2708"/>
    </row>
    <row r="26" spans="1:26" s="1732" customFormat="1" ht="13.5" customHeight="1" thickBot="1">
      <c r="A26" s="3591" t="s">
        <v>2282</v>
      </c>
      <c r="B26" s="3592"/>
      <c r="C26" s="2807"/>
      <c r="D26" s="2808"/>
      <c r="E26" s="2808"/>
      <c r="F26" s="2809">
        <f>'数据-取费表'!B48+'数据-取费表'!B49</f>
        <v>3.0499999999999999E-2</v>
      </c>
      <c r="G26" s="2810"/>
      <c r="H26" s="2810"/>
      <c r="I26" s="2810"/>
      <c r="J26" s="2811"/>
      <c r="K26" s="2812"/>
      <c r="L26" s="2713"/>
      <c r="M26" s="2713"/>
      <c r="N26" s="2713"/>
      <c r="O26" s="2713"/>
      <c r="P26" s="2713"/>
      <c r="Q26" s="2713"/>
      <c r="R26" s="2713"/>
      <c r="S26" s="2713"/>
      <c r="T26" s="2713"/>
      <c r="U26" s="2713"/>
      <c r="V26" s="2713"/>
      <c r="W26" s="2713"/>
      <c r="X26" s="2713"/>
      <c r="Y26" s="2713"/>
      <c r="Z26" s="2713"/>
    </row>
    <row r="27" spans="1:26" s="2786" customFormat="1" ht="13.5" customHeight="1" thickBot="1">
      <c r="A27" s="3593" t="s">
        <v>2280</v>
      </c>
      <c r="B27" s="3594"/>
      <c r="C27" s="2803">
        <f ca="1">(C6-C23-C24-C25)/((1+F26)*(1+D20+F21))</f>
        <v>0</v>
      </c>
      <c r="D27" s="2804"/>
      <c r="E27" s="2804"/>
      <c r="F27" s="2804"/>
      <c r="G27" s="2805" t="s">
        <v>2219</v>
      </c>
      <c r="H27" s="2804"/>
      <c r="I27" s="2804"/>
      <c r="J27" s="2804"/>
      <c r="K27" s="2806"/>
    </row>
    <row r="28" spans="1:26" s="1721" customFormat="1">
      <c r="A28" s="2711"/>
      <c r="C28" s="2712"/>
      <c r="E28" s="2711"/>
    </row>
    <row r="29" spans="1:26" s="1721" customFormat="1" ht="12.75" customHeight="1">
      <c r="A29" s="2711"/>
      <c r="C29" s="2712"/>
      <c r="E29" s="2711"/>
    </row>
    <row r="30" spans="1:26" s="1721" customFormat="1">
      <c r="A30" s="2711"/>
      <c r="C30" s="2712"/>
      <c r="E30" s="2711"/>
    </row>
    <row r="31" spans="1:26" s="1721" customFormat="1">
      <c r="A31" s="2711"/>
      <c r="C31" s="2712"/>
      <c r="E31" s="2711"/>
    </row>
    <row r="32" spans="1:26" s="1721" customFormat="1">
      <c r="A32" s="2711"/>
      <c r="C32" s="2712"/>
      <c r="E32" s="2711"/>
    </row>
    <row r="33" spans="1:5" s="1721" customFormat="1">
      <c r="A33" s="2711"/>
      <c r="C33" s="2712"/>
      <c r="E33" s="2711"/>
    </row>
    <row r="34" spans="1:5" s="1721" customFormat="1">
      <c r="A34" s="2711"/>
      <c r="C34" s="2712"/>
      <c r="E34" s="2711"/>
    </row>
    <row r="35" spans="1:5" s="1721" customFormat="1">
      <c r="A35" s="2711"/>
      <c r="C35" s="2712"/>
      <c r="E35" s="2711"/>
    </row>
    <row r="36" spans="1:5" s="1721" customFormat="1">
      <c r="A36" s="2711"/>
      <c r="C36" s="2712"/>
      <c r="E36" s="2711"/>
    </row>
    <row r="37" spans="1:5" s="1721" customFormat="1">
      <c r="A37" s="2711"/>
      <c r="C37" s="2712"/>
      <c r="E37" s="2711"/>
    </row>
    <row r="38" spans="1:5" s="1721" customFormat="1">
      <c r="A38" s="2711"/>
      <c r="C38" s="2712"/>
      <c r="E38" s="2711"/>
    </row>
    <row r="39" spans="1:5" s="1721" customFormat="1">
      <c r="A39" s="2711"/>
      <c r="C39" s="2712"/>
      <c r="E39" s="2711"/>
    </row>
    <row r="40" spans="1:5" s="1721" customFormat="1">
      <c r="A40" s="2711"/>
      <c r="C40" s="2712"/>
      <c r="E40" s="2711"/>
    </row>
    <row r="41" spans="1:5" s="1721" customFormat="1">
      <c r="A41" s="2711"/>
      <c r="C41" s="2712"/>
      <c r="E41" s="2711"/>
    </row>
    <row r="42" spans="1:5" s="1721" customFormat="1">
      <c r="A42" s="2711"/>
      <c r="C42" s="2712"/>
      <c r="E42" s="2711"/>
    </row>
    <row r="43" spans="1:5" s="1721" customFormat="1">
      <c r="A43" s="2711"/>
      <c r="C43" s="2712"/>
      <c r="E43" s="2711"/>
    </row>
    <row r="44" spans="1:5" s="1721" customFormat="1">
      <c r="A44" s="2711"/>
      <c r="C44" s="2712"/>
      <c r="E44" s="2711"/>
    </row>
    <row r="45" spans="1:5" s="1721" customFormat="1">
      <c r="A45" s="2711"/>
      <c r="C45" s="2712"/>
      <c r="E45" s="2711"/>
    </row>
    <row r="46" spans="1:5" s="1721" customFormat="1">
      <c r="A46" s="2711"/>
      <c r="C46" s="2712"/>
      <c r="E46" s="2711"/>
    </row>
    <row r="47" spans="1:5" s="1721" customFormat="1">
      <c r="A47" s="2711"/>
      <c r="C47" s="2712"/>
      <c r="E47" s="2711"/>
    </row>
    <row r="48" spans="1:5"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C5B43-1B69-4EB1-BD45-C7E1BCE9D522}">
  <dimension ref="A1:T31"/>
  <sheetViews>
    <sheetView zoomScaleNormal="100" workbookViewId="0">
      <selection activeCell="D16" sqref="D16"/>
    </sheetView>
  </sheetViews>
  <sheetFormatPr defaultRowHeight="12"/>
  <cols>
    <col min="1" max="1" width="17.75" style="3402" customWidth="1"/>
    <col min="2" max="2" width="6.375" style="3402" bestFit="1" customWidth="1"/>
    <col min="3" max="3" width="11.375" style="3402" bestFit="1" customWidth="1"/>
    <col min="4" max="4" width="8.5" style="3402" bestFit="1" customWidth="1"/>
    <col min="5" max="5" width="10.875" style="3402" customWidth="1"/>
    <col min="6" max="6" width="9.375" style="3402" customWidth="1"/>
    <col min="7" max="8" width="12.375" style="3402" bestFit="1" customWidth="1"/>
    <col min="9" max="9" width="17.75" style="3402" bestFit="1" customWidth="1"/>
    <col min="10" max="10" width="7.75" style="3402" customWidth="1"/>
    <col min="11" max="11" width="11" style="3402" bestFit="1" customWidth="1"/>
    <col min="12" max="12" width="8" style="3402" bestFit="1" customWidth="1"/>
    <col min="13" max="13" width="10.25" style="3402" bestFit="1" customWidth="1"/>
    <col min="14" max="14" width="8" style="3402" bestFit="1" customWidth="1"/>
    <col min="15" max="15" width="9.25" style="3402" customWidth="1"/>
    <col min="16" max="16" width="9.625" style="3402" customWidth="1"/>
    <col min="17" max="17" width="7.75" style="3402" customWidth="1"/>
    <col min="18" max="18" width="9" style="3402" bestFit="1" customWidth="1"/>
    <col min="19" max="19" width="31.5" style="3402" bestFit="1" customWidth="1"/>
    <col min="20" max="20" width="36.625" style="3402" bestFit="1" customWidth="1"/>
    <col min="21" max="16384" width="9" style="3402"/>
  </cols>
  <sheetData>
    <row r="1" spans="1:20">
      <c r="A1" s="3595" t="s">
        <v>3531</v>
      </c>
      <c r="B1" s="3595" t="s">
        <v>3530</v>
      </c>
      <c r="C1" s="3595" t="s">
        <v>3529</v>
      </c>
      <c r="D1" s="3595" t="s">
        <v>3528</v>
      </c>
      <c r="E1" s="3595" t="s">
        <v>3527</v>
      </c>
      <c r="F1" s="3595" t="s">
        <v>3526</v>
      </c>
      <c r="G1" s="3595" t="s">
        <v>3525</v>
      </c>
      <c r="H1" s="3595" t="s">
        <v>3524</v>
      </c>
      <c r="I1" s="3595" t="s">
        <v>3663</v>
      </c>
      <c r="J1" s="3595" t="s">
        <v>3523</v>
      </c>
      <c r="K1" s="3595" t="s">
        <v>1548</v>
      </c>
      <c r="L1" s="3595" t="s">
        <v>3522</v>
      </c>
      <c r="M1" s="3595" t="s">
        <v>3521</v>
      </c>
      <c r="N1" s="3595" t="s">
        <v>3520</v>
      </c>
      <c r="O1" s="3595" t="s">
        <v>3518</v>
      </c>
      <c r="P1" s="3595" t="s">
        <v>3517</v>
      </c>
      <c r="Q1" s="3595" t="s">
        <v>3516</v>
      </c>
      <c r="R1" s="3595" t="s">
        <v>3515</v>
      </c>
      <c r="S1" s="3595" t="s">
        <v>3662</v>
      </c>
      <c r="T1" s="3595" t="s">
        <v>3514</v>
      </c>
    </row>
    <row r="2" spans="1:20">
      <c r="A2" s="3595" t="s">
        <v>3661</v>
      </c>
      <c r="B2" s="3595" t="s">
        <v>3324</v>
      </c>
      <c r="C2" s="3595" t="s">
        <v>3336</v>
      </c>
      <c r="D2" s="3595" t="s">
        <v>3660</v>
      </c>
      <c r="E2" s="3595">
        <v>8421.4</v>
      </c>
      <c r="F2" s="3595">
        <v>12633</v>
      </c>
      <c r="G2" s="3595" t="s">
        <v>3569</v>
      </c>
      <c r="H2" s="3595" t="s">
        <v>2454</v>
      </c>
      <c r="I2" s="3595" t="s">
        <v>3659</v>
      </c>
      <c r="J2" s="3595" t="s">
        <v>3567</v>
      </c>
      <c r="K2" s="3595" t="s">
        <v>3379</v>
      </c>
      <c r="L2" s="3595" t="s">
        <v>3317</v>
      </c>
      <c r="M2" s="3595" t="s">
        <v>3658</v>
      </c>
      <c r="N2" s="3595" t="s">
        <v>3315</v>
      </c>
      <c r="O2" s="3595">
        <v>1150</v>
      </c>
      <c r="P2" s="3595">
        <v>91.04</v>
      </c>
      <c r="Q2" s="3595">
        <v>910</v>
      </c>
      <c r="R2" s="3595">
        <v>0</v>
      </c>
      <c r="S2" s="3595" t="s">
        <v>3580</v>
      </c>
      <c r="T2" s="3595" t="s">
        <v>3657</v>
      </c>
    </row>
    <row r="3" spans="1:20" s="3414" customFormat="1">
      <c r="A3" s="3596" t="s">
        <v>3656</v>
      </c>
      <c r="B3" s="3596" t="s">
        <v>3324</v>
      </c>
      <c r="C3" s="3596" t="s">
        <v>3372</v>
      </c>
      <c r="D3" s="3596" t="s">
        <v>3655</v>
      </c>
      <c r="E3" s="3596">
        <v>5003.41</v>
      </c>
      <c r="F3" s="3596">
        <v>7505</v>
      </c>
      <c r="G3" s="3596" t="s">
        <v>3569</v>
      </c>
      <c r="H3" s="3596" t="s">
        <v>2448</v>
      </c>
      <c r="I3" s="3596" t="s">
        <v>3568</v>
      </c>
      <c r="J3" s="3596" t="s">
        <v>3567</v>
      </c>
      <c r="K3" s="3596" t="s">
        <v>3334</v>
      </c>
      <c r="L3" s="3596" t="s">
        <v>3317</v>
      </c>
      <c r="M3" s="3596" t="s">
        <v>3646</v>
      </c>
      <c r="N3" s="3596" t="s">
        <v>3315</v>
      </c>
      <c r="O3" s="3596">
        <v>2252</v>
      </c>
      <c r="P3" s="3596">
        <v>300.06</v>
      </c>
      <c r="Q3" s="3596">
        <v>3001</v>
      </c>
      <c r="R3" s="3596">
        <v>0</v>
      </c>
      <c r="S3" s="3596" t="s">
        <v>3566</v>
      </c>
      <c r="T3" s="3596" t="s">
        <v>3645</v>
      </c>
    </row>
    <row r="4" spans="1:20">
      <c r="A4" s="3595" t="s">
        <v>3654</v>
      </c>
      <c r="B4" s="3595" t="s">
        <v>3324</v>
      </c>
      <c r="C4" s="3595" t="s">
        <v>3372</v>
      </c>
      <c r="D4" s="3595" t="s">
        <v>3653</v>
      </c>
      <c r="E4" s="3595">
        <v>5885.93</v>
      </c>
      <c r="F4" s="3595">
        <v>8828</v>
      </c>
      <c r="G4" s="3595" t="s">
        <v>3569</v>
      </c>
      <c r="H4" s="3595" t="s">
        <v>2448</v>
      </c>
      <c r="I4" s="3595" t="s">
        <v>3568</v>
      </c>
      <c r="J4" s="3595" t="s">
        <v>3567</v>
      </c>
      <c r="K4" s="3595" t="s">
        <v>3334</v>
      </c>
      <c r="L4" s="3595" t="s">
        <v>3317</v>
      </c>
      <c r="M4" s="3595" t="s">
        <v>3646</v>
      </c>
      <c r="N4" s="3595" t="s">
        <v>3315</v>
      </c>
      <c r="O4" s="3595">
        <v>2649</v>
      </c>
      <c r="P4" s="3595">
        <v>300.04000000000002</v>
      </c>
      <c r="Q4" s="3595">
        <v>3001</v>
      </c>
      <c r="R4" s="3595">
        <v>0</v>
      </c>
      <c r="S4" s="3595" t="s">
        <v>3566</v>
      </c>
      <c r="T4" s="3595" t="s">
        <v>3645</v>
      </c>
    </row>
    <row r="5" spans="1:20">
      <c r="A5" s="3595" t="s">
        <v>3652</v>
      </c>
      <c r="B5" s="3595" t="s">
        <v>3324</v>
      </c>
      <c r="C5" s="3595" t="s">
        <v>3372</v>
      </c>
      <c r="D5" s="3595" t="s">
        <v>3651</v>
      </c>
      <c r="E5" s="3595">
        <v>49213.68</v>
      </c>
      <c r="F5" s="3595">
        <v>73820</v>
      </c>
      <c r="G5" s="3595" t="s">
        <v>3569</v>
      </c>
      <c r="H5" s="3595" t="s">
        <v>2448</v>
      </c>
      <c r="I5" s="3595" t="s">
        <v>3568</v>
      </c>
      <c r="J5" s="3595" t="s">
        <v>3567</v>
      </c>
      <c r="K5" s="3595" t="s">
        <v>3334</v>
      </c>
      <c r="L5" s="3595" t="s">
        <v>3317</v>
      </c>
      <c r="M5" s="3595" t="s">
        <v>3646</v>
      </c>
      <c r="N5" s="3595" t="s">
        <v>3315</v>
      </c>
      <c r="O5" s="3595">
        <v>25838</v>
      </c>
      <c r="P5" s="3595">
        <v>350.01</v>
      </c>
      <c r="Q5" s="3595">
        <v>3500</v>
      </c>
      <c r="R5" s="3595">
        <v>0</v>
      </c>
      <c r="S5" s="3595" t="s">
        <v>3566</v>
      </c>
      <c r="T5" s="3595" t="s">
        <v>3645</v>
      </c>
    </row>
    <row r="6" spans="1:20">
      <c r="A6" s="3595" t="s">
        <v>3650</v>
      </c>
      <c r="B6" s="3595" t="s">
        <v>3324</v>
      </c>
      <c r="C6" s="3595" t="s">
        <v>3372</v>
      </c>
      <c r="D6" s="3595" t="s">
        <v>3649</v>
      </c>
      <c r="E6" s="3595">
        <v>3937.89</v>
      </c>
      <c r="F6" s="3595">
        <v>5906</v>
      </c>
      <c r="G6" s="3595" t="s">
        <v>3569</v>
      </c>
      <c r="H6" s="3595" t="s">
        <v>2448</v>
      </c>
      <c r="I6" s="3595" t="s">
        <v>3568</v>
      </c>
      <c r="J6" s="3595" t="s">
        <v>3567</v>
      </c>
      <c r="K6" s="3595" t="s">
        <v>3334</v>
      </c>
      <c r="L6" s="3595" t="s">
        <v>3317</v>
      </c>
      <c r="M6" s="3595" t="s">
        <v>3646</v>
      </c>
      <c r="N6" s="3595" t="s">
        <v>3315</v>
      </c>
      <c r="O6" s="3595">
        <v>1773</v>
      </c>
      <c r="P6" s="3595">
        <v>300.16000000000003</v>
      </c>
      <c r="Q6" s="3595">
        <v>3002</v>
      </c>
      <c r="R6" s="3595">
        <v>0</v>
      </c>
      <c r="S6" s="3595" t="s">
        <v>3566</v>
      </c>
      <c r="T6" s="3595" t="s">
        <v>3645</v>
      </c>
    </row>
    <row r="7" spans="1:20">
      <c r="A7" s="3595" t="s">
        <v>3648</v>
      </c>
      <c r="B7" s="3595" t="s">
        <v>3324</v>
      </c>
      <c r="C7" s="3595" t="s">
        <v>3372</v>
      </c>
      <c r="D7" s="3595" t="s">
        <v>3647</v>
      </c>
      <c r="E7" s="3595">
        <v>35503.43</v>
      </c>
      <c r="F7" s="3595">
        <v>63906</v>
      </c>
      <c r="G7" s="3595" t="s">
        <v>3569</v>
      </c>
      <c r="H7" s="3595" t="s">
        <v>2448</v>
      </c>
      <c r="I7" s="3595" t="s">
        <v>3568</v>
      </c>
      <c r="J7" s="3595" t="s">
        <v>3567</v>
      </c>
      <c r="K7" s="3595" t="s">
        <v>3399</v>
      </c>
      <c r="L7" s="3595" t="s">
        <v>3317</v>
      </c>
      <c r="M7" s="3595" t="s">
        <v>3646</v>
      </c>
      <c r="N7" s="3595" t="s">
        <v>3315</v>
      </c>
      <c r="O7" s="3595">
        <v>15977</v>
      </c>
      <c r="P7" s="3595">
        <v>300.01</v>
      </c>
      <c r="Q7" s="3595">
        <v>2500</v>
      </c>
      <c r="R7" s="3595">
        <v>0</v>
      </c>
      <c r="S7" s="3595" t="s">
        <v>3566</v>
      </c>
      <c r="T7" s="3595" t="s">
        <v>3645</v>
      </c>
    </row>
    <row r="8" spans="1:20" s="3414" customFormat="1">
      <c r="A8" s="3596" t="s">
        <v>3644</v>
      </c>
      <c r="B8" s="3596" t="s">
        <v>3324</v>
      </c>
      <c r="C8" s="3596" t="s">
        <v>3336</v>
      </c>
      <c r="D8" s="3596" t="s">
        <v>3643</v>
      </c>
      <c r="E8" s="3596">
        <v>44984.82</v>
      </c>
      <c r="F8" s="3596">
        <v>89969</v>
      </c>
      <c r="G8" s="3596" t="s">
        <v>3569</v>
      </c>
      <c r="H8" s="3596" t="s">
        <v>2448</v>
      </c>
      <c r="I8" s="3596" t="s">
        <v>3568</v>
      </c>
      <c r="J8" s="3596" t="s">
        <v>3567</v>
      </c>
      <c r="K8" s="3596" t="s">
        <v>3636</v>
      </c>
      <c r="L8" s="3596" t="s">
        <v>3317</v>
      </c>
      <c r="M8" s="3596" t="s">
        <v>3497</v>
      </c>
      <c r="N8" s="3596" t="s">
        <v>3315</v>
      </c>
      <c r="O8" s="3596">
        <v>25642</v>
      </c>
      <c r="P8" s="3596">
        <v>380.01</v>
      </c>
      <c r="Q8" s="3596">
        <v>2850</v>
      </c>
      <c r="R8" s="3596">
        <v>0</v>
      </c>
      <c r="S8" s="3596" t="s">
        <v>3580</v>
      </c>
      <c r="T8" s="3596" t="s">
        <v>3502</v>
      </c>
    </row>
    <row r="9" spans="1:20" s="3414" customFormat="1">
      <c r="A9" s="3596" t="s">
        <v>3642</v>
      </c>
      <c r="B9" s="3596" t="s">
        <v>3324</v>
      </c>
      <c r="C9" s="3596" t="s">
        <v>3336</v>
      </c>
      <c r="D9" s="3596" t="s">
        <v>3641</v>
      </c>
      <c r="E9" s="3596">
        <v>35687.980000000003</v>
      </c>
      <c r="F9" s="3596">
        <v>71375</v>
      </c>
      <c r="G9" s="3596" t="s">
        <v>3569</v>
      </c>
      <c r="H9" s="3596" t="s">
        <v>2448</v>
      </c>
      <c r="I9" s="3596" t="s">
        <v>3568</v>
      </c>
      <c r="J9" s="3596" t="s">
        <v>3567</v>
      </c>
      <c r="K9" s="3596" t="s">
        <v>3636</v>
      </c>
      <c r="L9" s="3596" t="s">
        <v>3317</v>
      </c>
      <c r="M9" s="3596" t="s">
        <v>3497</v>
      </c>
      <c r="N9" s="3596" t="s">
        <v>3315</v>
      </c>
      <c r="O9" s="3596">
        <v>20878</v>
      </c>
      <c r="P9" s="3596">
        <v>390.01</v>
      </c>
      <c r="Q9" s="3596">
        <v>2925</v>
      </c>
      <c r="R9" s="3596">
        <v>0</v>
      </c>
      <c r="S9" s="3596" t="s">
        <v>3580</v>
      </c>
      <c r="T9" s="3596" t="s">
        <v>3338</v>
      </c>
    </row>
    <row r="10" spans="1:20">
      <c r="A10" s="3595" t="s">
        <v>3640</v>
      </c>
      <c r="B10" s="3595" t="s">
        <v>3324</v>
      </c>
      <c r="C10" s="3595" t="s">
        <v>3336</v>
      </c>
      <c r="D10" s="3595" t="s">
        <v>3639</v>
      </c>
      <c r="E10" s="3595">
        <v>26429.88</v>
      </c>
      <c r="F10" s="3595">
        <v>52859</v>
      </c>
      <c r="G10" s="3595" t="s">
        <v>3569</v>
      </c>
      <c r="H10" s="3595" t="s">
        <v>2448</v>
      </c>
      <c r="I10" s="3595" t="s">
        <v>3568</v>
      </c>
      <c r="J10" s="3595" t="s">
        <v>3567</v>
      </c>
      <c r="K10" s="3595" t="s">
        <v>3636</v>
      </c>
      <c r="L10" s="3595" t="s">
        <v>3317</v>
      </c>
      <c r="M10" s="3595" t="s">
        <v>3497</v>
      </c>
      <c r="N10" s="3595" t="s">
        <v>3315</v>
      </c>
      <c r="O10" s="3595">
        <v>15462</v>
      </c>
      <c r="P10" s="3595">
        <v>390.01</v>
      </c>
      <c r="Q10" s="3595">
        <v>2925</v>
      </c>
      <c r="R10" s="3595">
        <v>0</v>
      </c>
      <c r="S10" s="3595" t="s">
        <v>3580</v>
      </c>
      <c r="T10" s="3595" t="s">
        <v>3338</v>
      </c>
    </row>
    <row r="11" spans="1:20">
      <c r="A11" s="3595" t="s">
        <v>3638</v>
      </c>
      <c r="B11" s="3595" t="s">
        <v>3324</v>
      </c>
      <c r="C11" s="3595" t="s">
        <v>3336</v>
      </c>
      <c r="D11" s="3595" t="s">
        <v>3637</v>
      </c>
      <c r="E11" s="3595">
        <v>47991.21</v>
      </c>
      <c r="F11" s="3595">
        <v>95982</v>
      </c>
      <c r="G11" s="3595" t="s">
        <v>3569</v>
      </c>
      <c r="H11" s="3595" t="s">
        <v>2448</v>
      </c>
      <c r="I11" s="3595" t="s">
        <v>3568</v>
      </c>
      <c r="J11" s="3595" t="s">
        <v>3567</v>
      </c>
      <c r="K11" s="3595" t="s">
        <v>3636</v>
      </c>
      <c r="L11" s="3595" t="s">
        <v>3317</v>
      </c>
      <c r="M11" s="3595" t="s">
        <v>3497</v>
      </c>
      <c r="N11" s="3595" t="s">
        <v>3315</v>
      </c>
      <c r="O11" s="3595">
        <v>27355</v>
      </c>
      <c r="P11" s="3595">
        <v>380</v>
      </c>
      <c r="Q11" s="3595">
        <v>2850</v>
      </c>
      <c r="R11" s="3595">
        <v>0</v>
      </c>
      <c r="S11" s="3595" t="s">
        <v>3580</v>
      </c>
      <c r="T11" s="3595" t="s">
        <v>3632</v>
      </c>
    </row>
    <row r="12" spans="1:20">
      <c r="A12" s="3595" t="s">
        <v>3635</v>
      </c>
      <c r="B12" s="3595" t="s">
        <v>3324</v>
      </c>
      <c r="C12" s="3595" t="s">
        <v>3336</v>
      </c>
      <c r="D12" s="3595" t="s">
        <v>3634</v>
      </c>
      <c r="E12" s="3595">
        <v>32202.81</v>
      </c>
      <c r="F12" s="3595">
        <v>48304</v>
      </c>
      <c r="G12" s="3595" t="s">
        <v>3569</v>
      </c>
      <c r="H12" s="3595" t="s">
        <v>2448</v>
      </c>
      <c r="I12" s="3595" t="s">
        <v>3568</v>
      </c>
      <c r="J12" s="3595" t="s">
        <v>3567</v>
      </c>
      <c r="K12" s="3595" t="s">
        <v>3334</v>
      </c>
      <c r="L12" s="3595" t="s">
        <v>3317</v>
      </c>
      <c r="M12" s="3595" t="s">
        <v>3633</v>
      </c>
      <c r="N12" s="3595" t="s">
        <v>3315</v>
      </c>
      <c r="O12" s="3595">
        <v>18356</v>
      </c>
      <c r="P12" s="3595">
        <v>380.01</v>
      </c>
      <c r="Q12" s="3595">
        <v>3800</v>
      </c>
      <c r="R12" s="3595">
        <v>0</v>
      </c>
      <c r="S12" s="3595" t="s">
        <v>3580</v>
      </c>
      <c r="T12" s="3595" t="s">
        <v>3632</v>
      </c>
    </row>
    <row r="13" spans="1:20">
      <c r="A13" s="3595" t="s">
        <v>3631</v>
      </c>
      <c r="B13" s="3595" t="s">
        <v>3324</v>
      </c>
      <c r="C13" s="3595" t="s">
        <v>3336</v>
      </c>
      <c r="D13" s="3595" t="s">
        <v>3630</v>
      </c>
      <c r="E13" s="3595">
        <v>8378.9</v>
      </c>
      <c r="F13" s="3595">
        <v>8378</v>
      </c>
      <c r="G13" s="3595" t="s">
        <v>3569</v>
      </c>
      <c r="H13" s="3595" t="s">
        <v>2456</v>
      </c>
      <c r="I13" s="3595" t="s">
        <v>3629</v>
      </c>
      <c r="J13" s="3595" t="s">
        <v>3567</v>
      </c>
      <c r="K13" s="3595" t="s">
        <v>3603</v>
      </c>
      <c r="L13" s="3595" t="s">
        <v>3317</v>
      </c>
      <c r="M13" s="3595" t="s">
        <v>3626</v>
      </c>
      <c r="N13" s="3595" t="s">
        <v>3315</v>
      </c>
      <c r="O13" s="3595">
        <v>4525</v>
      </c>
      <c r="P13" s="3595">
        <v>360.03</v>
      </c>
      <c r="Q13" s="3595">
        <v>5401</v>
      </c>
      <c r="R13" s="3595">
        <v>0</v>
      </c>
      <c r="S13" s="3595" t="s">
        <v>3580</v>
      </c>
      <c r="T13" s="3595" t="s">
        <v>3474</v>
      </c>
    </row>
    <row r="14" spans="1:20">
      <c r="A14" s="3595" t="s">
        <v>3628</v>
      </c>
      <c r="B14" s="3595" t="s">
        <v>3324</v>
      </c>
      <c r="C14" s="3595" t="s">
        <v>3336</v>
      </c>
      <c r="D14" s="3595" t="s">
        <v>3627</v>
      </c>
      <c r="E14" s="3595">
        <v>8782.7000000000007</v>
      </c>
      <c r="F14" s="3595">
        <v>13174</v>
      </c>
      <c r="G14" s="3595" t="s">
        <v>3569</v>
      </c>
      <c r="H14" s="3595" t="s">
        <v>2448</v>
      </c>
      <c r="I14" s="3595" t="s">
        <v>3568</v>
      </c>
      <c r="J14" s="3595" t="s">
        <v>3567</v>
      </c>
      <c r="K14" s="3595" t="s">
        <v>3334</v>
      </c>
      <c r="L14" s="3595" t="s">
        <v>3317</v>
      </c>
      <c r="M14" s="3595" t="s">
        <v>3626</v>
      </c>
      <c r="N14" s="3595" t="s">
        <v>3315</v>
      </c>
      <c r="O14" s="3595">
        <v>4743</v>
      </c>
      <c r="P14" s="3595">
        <v>360.03</v>
      </c>
      <c r="Q14" s="3595">
        <v>3600</v>
      </c>
      <c r="R14" s="3595">
        <v>0</v>
      </c>
      <c r="S14" s="3595" t="s">
        <v>3575</v>
      </c>
      <c r="T14" s="3595" t="s">
        <v>3492</v>
      </c>
    </row>
    <row r="15" spans="1:20">
      <c r="A15" s="3595" t="s">
        <v>3625</v>
      </c>
      <c r="B15" s="3595" t="s">
        <v>3324</v>
      </c>
      <c r="C15" s="3595" t="s">
        <v>3372</v>
      </c>
      <c r="D15" s="3595" t="s">
        <v>3624</v>
      </c>
      <c r="E15" s="3595">
        <v>6047.16</v>
      </c>
      <c r="F15" s="3595">
        <v>9070</v>
      </c>
      <c r="G15" s="3595" t="s">
        <v>3569</v>
      </c>
      <c r="H15" s="3595" t="s">
        <v>2448</v>
      </c>
      <c r="I15" s="3595" t="s">
        <v>3568</v>
      </c>
      <c r="J15" s="3595" t="s">
        <v>3567</v>
      </c>
      <c r="K15" s="3595" t="s">
        <v>3334</v>
      </c>
      <c r="L15" s="3595" t="s">
        <v>3317</v>
      </c>
      <c r="M15" s="3595" t="s">
        <v>3470</v>
      </c>
      <c r="N15" s="3595" t="s">
        <v>3315</v>
      </c>
      <c r="O15" s="3595">
        <v>1633</v>
      </c>
      <c r="P15" s="3595">
        <v>180.03</v>
      </c>
      <c r="Q15" s="3595">
        <v>1800</v>
      </c>
      <c r="R15" s="3595">
        <v>0</v>
      </c>
      <c r="S15" s="3595" t="s">
        <v>3566</v>
      </c>
      <c r="T15" s="3595" t="s">
        <v>3391</v>
      </c>
    </row>
    <row r="16" spans="1:20">
      <c r="A16" s="3595" t="s">
        <v>3623</v>
      </c>
      <c r="B16" s="3595" t="s">
        <v>3324</v>
      </c>
      <c r="C16" s="3595" t="s">
        <v>3336</v>
      </c>
      <c r="D16" s="3595" t="s">
        <v>3622</v>
      </c>
      <c r="E16" s="3595">
        <v>879.49</v>
      </c>
      <c r="F16" s="3595">
        <v>879</v>
      </c>
      <c r="G16" s="3595" t="s">
        <v>3569</v>
      </c>
      <c r="H16" s="3595" t="s">
        <v>3569</v>
      </c>
      <c r="I16" s="3595" t="s">
        <v>3621</v>
      </c>
      <c r="J16" s="3595" t="s">
        <v>3567</v>
      </c>
      <c r="K16" s="3595" t="s">
        <v>3620</v>
      </c>
      <c r="L16" s="3595" t="s">
        <v>3317</v>
      </c>
      <c r="M16" s="3595" t="s">
        <v>3619</v>
      </c>
      <c r="N16" s="3595" t="s">
        <v>3315</v>
      </c>
      <c r="O16" s="3595">
        <v>279</v>
      </c>
      <c r="P16" s="3595">
        <v>211.49</v>
      </c>
      <c r="Q16" s="3595">
        <v>3174</v>
      </c>
      <c r="R16" s="3595">
        <v>0</v>
      </c>
      <c r="S16" s="3595" t="s">
        <v>3587</v>
      </c>
      <c r="T16" s="3595" t="s">
        <v>3492</v>
      </c>
    </row>
    <row r="17" spans="1:20">
      <c r="A17" s="3595" t="s">
        <v>3618</v>
      </c>
      <c r="B17" s="3595" t="s">
        <v>3324</v>
      </c>
      <c r="C17" s="3595" t="s">
        <v>3372</v>
      </c>
      <c r="D17" s="3595" t="s">
        <v>3617</v>
      </c>
      <c r="E17" s="3595">
        <v>6735.52</v>
      </c>
      <c r="F17" s="3595">
        <v>8082</v>
      </c>
      <c r="G17" s="3595" t="s">
        <v>3569</v>
      </c>
      <c r="H17" s="3595" t="s">
        <v>3584</v>
      </c>
      <c r="I17" s="3595" t="s">
        <v>3583</v>
      </c>
      <c r="J17" s="3595" t="s">
        <v>3567</v>
      </c>
      <c r="K17" s="3595" t="s">
        <v>3577</v>
      </c>
      <c r="L17" s="3595" t="s">
        <v>3317</v>
      </c>
      <c r="M17" s="3595" t="s">
        <v>3616</v>
      </c>
      <c r="N17" s="3595" t="s">
        <v>3315</v>
      </c>
      <c r="O17" s="3595">
        <v>3537</v>
      </c>
      <c r="P17" s="3595">
        <v>350.08</v>
      </c>
      <c r="Q17" s="3595">
        <v>4376</v>
      </c>
      <c r="R17" s="3595">
        <v>0</v>
      </c>
      <c r="S17" s="3595" t="s">
        <v>3566</v>
      </c>
      <c r="T17" s="3595" t="s">
        <v>3391</v>
      </c>
    </row>
    <row r="18" spans="1:20">
      <c r="A18" s="3595" t="s">
        <v>3615</v>
      </c>
      <c r="B18" s="3595" t="s">
        <v>3324</v>
      </c>
      <c r="C18" s="3595" t="s">
        <v>3372</v>
      </c>
      <c r="D18" s="3595" t="s">
        <v>3614</v>
      </c>
      <c r="E18" s="3595">
        <v>11851.5</v>
      </c>
      <c r="F18" s="3595">
        <v>14221</v>
      </c>
      <c r="G18" s="3595" t="s">
        <v>3569</v>
      </c>
      <c r="H18" s="3595" t="s">
        <v>3584</v>
      </c>
      <c r="I18" s="3595" t="s">
        <v>3583</v>
      </c>
      <c r="J18" s="3595" t="s">
        <v>3567</v>
      </c>
      <c r="K18" s="3595" t="s">
        <v>3577</v>
      </c>
      <c r="L18" s="3595" t="s">
        <v>3317</v>
      </c>
      <c r="M18" s="3595" t="s">
        <v>3438</v>
      </c>
      <c r="N18" s="3595" t="s">
        <v>3315</v>
      </c>
      <c r="O18" s="3595">
        <v>5334</v>
      </c>
      <c r="P18" s="3595">
        <v>300.05</v>
      </c>
      <c r="Q18" s="3595">
        <v>3751</v>
      </c>
      <c r="R18" s="3595">
        <v>0</v>
      </c>
      <c r="S18" s="3595" t="s">
        <v>3566</v>
      </c>
      <c r="T18" s="3595" t="s">
        <v>3391</v>
      </c>
    </row>
    <row r="19" spans="1:20">
      <c r="A19" s="3595" t="s">
        <v>3613</v>
      </c>
      <c r="B19" s="3595" t="s">
        <v>3324</v>
      </c>
      <c r="C19" s="3595" t="s">
        <v>3372</v>
      </c>
      <c r="D19" s="3595" t="s">
        <v>3612</v>
      </c>
      <c r="E19" s="3595">
        <v>7025.8</v>
      </c>
      <c r="F19" s="3595">
        <v>10538</v>
      </c>
      <c r="G19" s="3595" t="s">
        <v>3569</v>
      </c>
      <c r="H19" s="3595" t="s">
        <v>3584</v>
      </c>
      <c r="I19" s="3595" t="s">
        <v>3583</v>
      </c>
      <c r="J19" s="3595" t="s">
        <v>3567</v>
      </c>
      <c r="K19" s="3595" t="s">
        <v>3334</v>
      </c>
      <c r="L19" s="3595" t="s">
        <v>3317</v>
      </c>
      <c r="M19" s="3595" t="s">
        <v>3609</v>
      </c>
      <c r="N19" s="3595" t="s">
        <v>3315</v>
      </c>
      <c r="O19" s="3595">
        <v>3162</v>
      </c>
      <c r="P19" s="3595">
        <v>300.04000000000002</v>
      </c>
      <c r="Q19" s="3595">
        <v>3001</v>
      </c>
      <c r="R19" s="3595">
        <v>0</v>
      </c>
      <c r="S19" s="3595" t="s">
        <v>3566</v>
      </c>
      <c r="T19" s="3595" t="s">
        <v>3391</v>
      </c>
    </row>
    <row r="20" spans="1:20">
      <c r="A20" s="3595" t="s">
        <v>3611</v>
      </c>
      <c r="B20" s="3595" t="s">
        <v>3324</v>
      </c>
      <c r="C20" s="3595" t="s">
        <v>3372</v>
      </c>
      <c r="D20" s="3595" t="s">
        <v>3610</v>
      </c>
      <c r="E20" s="3595">
        <v>7074.6</v>
      </c>
      <c r="F20" s="3595">
        <v>10611</v>
      </c>
      <c r="G20" s="3595" t="s">
        <v>3569</v>
      </c>
      <c r="H20" s="3595" t="s">
        <v>3584</v>
      </c>
      <c r="I20" s="3595" t="s">
        <v>3583</v>
      </c>
      <c r="J20" s="3595" t="s">
        <v>3567</v>
      </c>
      <c r="K20" s="3595" t="s">
        <v>3334</v>
      </c>
      <c r="L20" s="3595" t="s">
        <v>3317</v>
      </c>
      <c r="M20" s="3595" t="s">
        <v>3609</v>
      </c>
      <c r="N20" s="3595" t="s">
        <v>3315</v>
      </c>
      <c r="O20" s="3595">
        <v>3184</v>
      </c>
      <c r="P20" s="3595">
        <v>300.04000000000002</v>
      </c>
      <c r="Q20" s="3595">
        <v>3001</v>
      </c>
      <c r="R20" s="3595">
        <v>0</v>
      </c>
      <c r="S20" s="3595" t="s">
        <v>3566</v>
      </c>
      <c r="T20" s="3595" t="s">
        <v>3391</v>
      </c>
    </row>
    <row r="21" spans="1:20">
      <c r="A21" s="3595" t="s">
        <v>3608</v>
      </c>
      <c r="B21" s="3595" t="s">
        <v>3324</v>
      </c>
      <c r="C21" s="3595" t="s">
        <v>3372</v>
      </c>
      <c r="D21" s="3595" t="s">
        <v>3607</v>
      </c>
      <c r="E21" s="3595">
        <v>13801.98</v>
      </c>
      <c r="F21" s="3595">
        <v>24841</v>
      </c>
      <c r="G21" s="3595" t="s">
        <v>3569</v>
      </c>
      <c r="H21" s="3595" t="s">
        <v>3584</v>
      </c>
      <c r="I21" s="3595" t="s">
        <v>3583</v>
      </c>
      <c r="J21" s="3595" t="s">
        <v>3567</v>
      </c>
      <c r="K21" s="3595" t="s">
        <v>3349</v>
      </c>
      <c r="L21" s="3595" t="s">
        <v>3317</v>
      </c>
      <c r="M21" s="3595" t="s">
        <v>3606</v>
      </c>
      <c r="N21" s="3595" t="s">
        <v>3315</v>
      </c>
      <c r="O21" s="3595">
        <v>7247</v>
      </c>
      <c r="P21" s="3595">
        <v>350.05</v>
      </c>
      <c r="Q21" s="3595">
        <v>2917</v>
      </c>
      <c r="R21" s="3595">
        <v>0</v>
      </c>
      <c r="S21" s="3595" t="s">
        <v>3566</v>
      </c>
      <c r="T21" s="3595" t="s">
        <v>3391</v>
      </c>
    </row>
    <row r="22" spans="1:20">
      <c r="A22" s="3595" t="s">
        <v>3605</v>
      </c>
      <c r="B22" s="3595" t="s">
        <v>3324</v>
      </c>
      <c r="C22" s="3595" t="s">
        <v>3336</v>
      </c>
      <c r="D22" s="3595" t="s">
        <v>3604</v>
      </c>
      <c r="E22" s="3595">
        <v>28681.77</v>
      </c>
      <c r="F22" s="3595">
        <v>28681</v>
      </c>
      <c r="G22" s="3595" t="s">
        <v>3569</v>
      </c>
      <c r="H22" s="3595" t="s">
        <v>3584</v>
      </c>
      <c r="I22" s="3595" t="s">
        <v>3583</v>
      </c>
      <c r="J22" s="3595" t="s">
        <v>3567</v>
      </c>
      <c r="K22" s="3595" t="s">
        <v>3603</v>
      </c>
      <c r="L22" s="3595" t="s">
        <v>3317</v>
      </c>
      <c r="M22" s="3595" t="s">
        <v>3594</v>
      </c>
      <c r="N22" s="3595" t="s">
        <v>3315</v>
      </c>
      <c r="O22" s="3595">
        <v>12907</v>
      </c>
      <c r="P22" s="3595">
        <v>300</v>
      </c>
      <c r="Q22" s="3595">
        <v>4500</v>
      </c>
      <c r="R22" s="3595">
        <v>0</v>
      </c>
      <c r="S22" s="3595" t="s">
        <v>3572</v>
      </c>
      <c r="T22" s="3595" t="s">
        <v>3338</v>
      </c>
    </row>
    <row r="23" spans="1:20">
      <c r="A23" s="3595" t="s">
        <v>3602</v>
      </c>
      <c r="B23" s="3595" t="s">
        <v>3324</v>
      </c>
      <c r="C23" s="3595" t="s">
        <v>3336</v>
      </c>
      <c r="D23" s="3595" t="s">
        <v>3601</v>
      </c>
      <c r="E23" s="3595">
        <v>4183.01</v>
      </c>
      <c r="F23" s="3595">
        <v>2509</v>
      </c>
      <c r="G23" s="3595" t="s">
        <v>3569</v>
      </c>
      <c r="H23" s="3595" t="s">
        <v>2448</v>
      </c>
      <c r="I23" s="3595" t="s">
        <v>3568</v>
      </c>
      <c r="J23" s="3595" t="s">
        <v>3567</v>
      </c>
      <c r="K23" s="3595" t="s">
        <v>3600</v>
      </c>
      <c r="L23" s="3595" t="s">
        <v>3317</v>
      </c>
      <c r="M23" s="3595" t="s">
        <v>3594</v>
      </c>
      <c r="N23" s="3595" t="s">
        <v>3315</v>
      </c>
      <c r="O23" s="3595">
        <v>2197</v>
      </c>
      <c r="P23" s="3595">
        <v>350.15</v>
      </c>
      <c r="Q23" s="3595">
        <v>8756</v>
      </c>
      <c r="R23" s="3595">
        <v>0</v>
      </c>
      <c r="S23" s="3595" t="s">
        <v>3587</v>
      </c>
      <c r="T23" s="3595" t="s">
        <v>3367</v>
      </c>
    </row>
    <row r="24" spans="1:20">
      <c r="A24" s="3595" t="s">
        <v>3599</v>
      </c>
      <c r="B24" s="3595" t="s">
        <v>3324</v>
      </c>
      <c r="C24" s="3595" t="s">
        <v>3336</v>
      </c>
      <c r="D24" s="3595" t="s">
        <v>3598</v>
      </c>
      <c r="E24" s="3595">
        <v>6170.39</v>
      </c>
      <c r="F24" s="3595">
        <v>8021</v>
      </c>
      <c r="G24" s="3595" t="s">
        <v>3569</v>
      </c>
      <c r="H24" s="3595" t="s">
        <v>3584</v>
      </c>
      <c r="I24" s="3595" t="s">
        <v>3583</v>
      </c>
      <c r="J24" s="3595" t="s">
        <v>3567</v>
      </c>
      <c r="K24" s="3595" t="s">
        <v>3597</v>
      </c>
      <c r="L24" s="3595" t="s">
        <v>3317</v>
      </c>
      <c r="M24" s="3595" t="s">
        <v>3594</v>
      </c>
      <c r="N24" s="3595" t="s">
        <v>3315</v>
      </c>
      <c r="O24" s="3595">
        <v>3703</v>
      </c>
      <c r="P24" s="3595">
        <v>400.08</v>
      </c>
      <c r="Q24" s="3595">
        <v>4617</v>
      </c>
      <c r="R24" s="3595">
        <v>0</v>
      </c>
      <c r="S24" s="3595" t="s">
        <v>3575</v>
      </c>
      <c r="T24" s="3595" t="s">
        <v>3414</v>
      </c>
    </row>
    <row r="25" spans="1:20">
      <c r="A25" s="3595" t="s">
        <v>3596</v>
      </c>
      <c r="B25" s="3595" t="s">
        <v>3324</v>
      </c>
      <c r="C25" s="3595" t="s">
        <v>3336</v>
      </c>
      <c r="D25" s="3595" t="s">
        <v>3595</v>
      </c>
      <c r="E25" s="3595">
        <v>6239.74</v>
      </c>
      <c r="F25" s="3595">
        <v>9359</v>
      </c>
      <c r="G25" s="3595" t="s">
        <v>3569</v>
      </c>
      <c r="H25" s="3595" t="s">
        <v>2448</v>
      </c>
      <c r="I25" s="3595" t="s">
        <v>3568</v>
      </c>
      <c r="J25" s="3595" t="s">
        <v>3567</v>
      </c>
      <c r="K25" s="3595" t="s">
        <v>3334</v>
      </c>
      <c r="L25" s="3595" t="s">
        <v>3317</v>
      </c>
      <c r="M25" s="3595" t="s">
        <v>3594</v>
      </c>
      <c r="N25" s="3595" t="s">
        <v>3315</v>
      </c>
      <c r="O25" s="3595">
        <v>2808</v>
      </c>
      <c r="P25" s="3595">
        <v>300.01</v>
      </c>
      <c r="Q25" s="3595">
        <v>3000</v>
      </c>
      <c r="R25" s="3595">
        <v>0</v>
      </c>
      <c r="S25" s="3595" t="s">
        <v>3587</v>
      </c>
      <c r="T25" s="3595" t="s">
        <v>3414</v>
      </c>
    </row>
    <row r="26" spans="1:20">
      <c r="A26" s="3595" t="s">
        <v>3593</v>
      </c>
      <c r="B26" s="3595" t="s">
        <v>3324</v>
      </c>
      <c r="C26" s="3595" t="s">
        <v>3372</v>
      </c>
      <c r="D26" s="3595" t="s">
        <v>3592</v>
      </c>
      <c r="E26" s="3595">
        <v>3248.89</v>
      </c>
      <c r="F26" s="3595">
        <v>4873</v>
      </c>
      <c r="G26" s="3595" t="s">
        <v>3569</v>
      </c>
      <c r="H26" s="3595" t="s">
        <v>2448</v>
      </c>
      <c r="I26" s="3595" t="s">
        <v>3568</v>
      </c>
      <c r="J26" s="3595" t="s">
        <v>3567</v>
      </c>
      <c r="K26" s="3595" t="s">
        <v>3334</v>
      </c>
      <c r="L26" s="3595" t="s">
        <v>3317</v>
      </c>
      <c r="M26" s="3595" t="s">
        <v>3411</v>
      </c>
      <c r="N26" s="3595" t="s">
        <v>3315</v>
      </c>
      <c r="O26" s="3595">
        <v>1706</v>
      </c>
      <c r="P26" s="3595">
        <v>350.07</v>
      </c>
      <c r="Q26" s="3595">
        <v>3501</v>
      </c>
      <c r="R26" s="3595">
        <v>0</v>
      </c>
      <c r="S26" s="3595" t="s">
        <v>3566</v>
      </c>
      <c r="T26" s="3595" t="s">
        <v>3338</v>
      </c>
    </row>
    <row r="27" spans="1:20">
      <c r="A27" s="3595" t="s">
        <v>3591</v>
      </c>
      <c r="B27" s="3595" t="s">
        <v>3324</v>
      </c>
      <c r="C27" s="3595" t="s">
        <v>3336</v>
      </c>
      <c r="D27" s="3595" t="s">
        <v>3590</v>
      </c>
      <c r="E27" s="3595">
        <v>45338.14</v>
      </c>
      <c r="F27" s="3595">
        <v>45338</v>
      </c>
      <c r="G27" s="3595" t="s">
        <v>3569</v>
      </c>
      <c r="H27" s="3595" t="s">
        <v>3584</v>
      </c>
      <c r="I27" s="3595" t="s">
        <v>3583</v>
      </c>
      <c r="J27" s="3595" t="s">
        <v>3567</v>
      </c>
      <c r="K27" s="3595" t="s">
        <v>3589</v>
      </c>
      <c r="L27" s="3595" t="s">
        <v>3317</v>
      </c>
      <c r="M27" s="3595" t="s">
        <v>3588</v>
      </c>
      <c r="N27" s="3595" t="s">
        <v>3315</v>
      </c>
      <c r="O27" s="3595">
        <v>23803</v>
      </c>
      <c r="P27" s="3595">
        <v>350.01</v>
      </c>
      <c r="Q27" s="3595">
        <v>5250</v>
      </c>
      <c r="R27" s="3595">
        <v>0</v>
      </c>
      <c r="S27" s="3595" t="s">
        <v>3587</v>
      </c>
      <c r="T27" s="3595" t="s">
        <v>3367</v>
      </c>
    </row>
    <row r="28" spans="1:20">
      <c r="A28" s="3595" t="s">
        <v>3586</v>
      </c>
      <c r="B28" s="3595" t="s">
        <v>3324</v>
      </c>
      <c r="C28" s="3595" t="s">
        <v>3336</v>
      </c>
      <c r="D28" s="3595" t="s">
        <v>3585</v>
      </c>
      <c r="E28" s="3595">
        <v>4095.45</v>
      </c>
      <c r="F28" s="3595">
        <v>2047.73</v>
      </c>
      <c r="G28" s="3595" t="s">
        <v>3569</v>
      </c>
      <c r="H28" s="3595" t="s">
        <v>3584</v>
      </c>
      <c r="I28" s="3595" t="s">
        <v>3583</v>
      </c>
      <c r="J28" s="3595" t="s">
        <v>3567</v>
      </c>
      <c r="K28" s="3595" t="s">
        <v>3582</v>
      </c>
      <c r="L28" s="3595" t="s">
        <v>3317</v>
      </c>
      <c r="M28" s="3595" t="s">
        <v>3581</v>
      </c>
      <c r="N28" s="3595" t="s">
        <v>3315</v>
      </c>
      <c r="O28" s="3595">
        <v>1229</v>
      </c>
      <c r="P28" s="3595">
        <v>200.06</v>
      </c>
      <c r="Q28" s="3595">
        <v>6002</v>
      </c>
      <c r="R28" s="3595">
        <v>0</v>
      </c>
      <c r="S28" s="3595" t="s">
        <v>3580</v>
      </c>
      <c r="T28" s="3595" t="s">
        <v>3367</v>
      </c>
    </row>
    <row r="29" spans="1:20">
      <c r="A29" s="3595" t="s">
        <v>3579</v>
      </c>
      <c r="B29" s="3595" t="s">
        <v>3324</v>
      </c>
      <c r="C29" s="3595" t="s">
        <v>3336</v>
      </c>
      <c r="D29" s="3595" t="s">
        <v>3578</v>
      </c>
      <c r="E29" s="3595">
        <v>30394.3</v>
      </c>
      <c r="F29" s="3595">
        <v>36473.160000000003</v>
      </c>
      <c r="G29" s="3595" t="s">
        <v>3569</v>
      </c>
      <c r="H29" s="3595" t="s">
        <v>2448</v>
      </c>
      <c r="I29" s="3595" t="s">
        <v>3568</v>
      </c>
      <c r="J29" s="3595" t="s">
        <v>3567</v>
      </c>
      <c r="K29" s="3595" t="s">
        <v>3577</v>
      </c>
      <c r="L29" s="3595" t="s">
        <v>3317</v>
      </c>
      <c r="M29" s="3595" t="s">
        <v>3576</v>
      </c>
      <c r="N29" s="3595" t="s">
        <v>3315</v>
      </c>
      <c r="O29" s="3595">
        <v>15958</v>
      </c>
      <c r="P29" s="3595">
        <v>350.02</v>
      </c>
      <c r="Q29" s="3595">
        <v>4375</v>
      </c>
      <c r="R29" s="3595">
        <v>0</v>
      </c>
      <c r="S29" s="3595" t="s">
        <v>3575</v>
      </c>
      <c r="T29" s="3595" t="s">
        <v>3338</v>
      </c>
    </row>
    <row r="30" spans="1:20">
      <c r="A30" s="3595" t="s">
        <v>3574</v>
      </c>
      <c r="B30" s="3595" t="s">
        <v>3324</v>
      </c>
      <c r="C30" s="3595" t="s">
        <v>3372</v>
      </c>
      <c r="D30" s="3595" t="s">
        <v>3573</v>
      </c>
      <c r="E30" s="3595">
        <v>2027.4</v>
      </c>
      <c r="F30" s="3595">
        <v>4054.8</v>
      </c>
      <c r="G30" s="3595" t="s">
        <v>3569</v>
      </c>
      <c r="H30" s="3595" t="s">
        <v>2448</v>
      </c>
      <c r="I30" s="3595" t="s">
        <v>3568</v>
      </c>
      <c r="J30" s="3595" t="s">
        <v>3567</v>
      </c>
      <c r="K30" s="3595" t="s">
        <v>3379</v>
      </c>
      <c r="L30" s="3595" t="s">
        <v>3317</v>
      </c>
      <c r="M30" s="3595" t="s">
        <v>3370</v>
      </c>
      <c r="N30" s="3595" t="s">
        <v>3315</v>
      </c>
      <c r="O30" s="3595">
        <v>1111</v>
      </c>
      <c r="P30" s="3595">
        <v>365.33</v>
      </c>
      <c r="Q30" s="3595">
        <v>2740</v>
      </c>
      <c r="R30" s="3595">
        <v>0</v>
      </c>
      <c r="S30" s="3595" t="s">
        <v>3572</v>
      </c>
      <c r="T30" s="3595" t="s">
        <v>3347</v>
      </c>
    </row>
    <row r="31" spans="1:20">
      <c r="A31" s="3595" t="s">
        <v>3571</v>
      </c>
      <c r="B31" s="3595" t="s">
        <v>3324</v>
      </c>
      <c r="C31" s="3595" t="s">
        <v>3372</v>
      </c>
      <c r="D31" s="3595" t="s">
        <v>3570</v>
      </c>
      <c r="E31" s="3595">
        <v>12509.8</v>
      </c>
      <c r="F31" s="3595">
        <v>22517.64</v>
      </c>
      <c r="G31" s="3595" t="s">
        <v>3569</v>
      </c>
      <c r="H31" s="3595" t="s">
        <v>2448</v>
      </c>
      <c r="I31" s="3595" t="s">
        <v>3568</v>
      </c>
      <c r="J31" s="3595" t="s">
        <v>3567</v>
      </c>
      <c r="K31" s="3595" t="s">
        <v>3349</v>
      </c>
      <c r="L31" s="3595" t="s">
        <v>3317</v>
      </c>
      <c r="M31" s="3595" t="s">
        <v>3370</v>
      </c>
      <c r="N31" s="3595" t="s">
        <v>3315</v>
      </c>
      <c r="O31" s="3595">
        <v>6850</v>
      </c>
      <c r="P31" s="3595">
        <v>365.05</v>
      </c>
      <c r="Q31" s="3595">
        <v>3042</v>
      </c>
      <c r="R31" s="3595">
        <v>0</v>
      </c>
      <c r="S31" s="3595" t="s">
        <v>3566</v>
      </c>
      <c r="T31" s="3595" t="s">
        <v>3347</v>
      </c>
    </row>
  </sheetData>
  <mergeCells count="620">
    <mergeCell ref="G1"/>
    <mergeCell ref="H1"/>
    <mergeCell ref="I1"/>
    <mergeCell ref="A1"/>
    <mergeCell ref="B1"/>
    <mergeCell ref="C1"/>
    <mergeCell ref="D1"/>
    <mergeCell ref="E1"/>
    <mergeCell ref="F1"/>
    <mergeCell ref="J1"/>
    <mergeCell ref="K1"/>
    <mergeCell ref="L1"/>
    <mergeCell ref="M1"/>
    <mergeCell ref="N1"/>
    <mergeCell ref="T1"/>
    <mergeCell ref="O1"/>
    <mergeCell ref="P1"/>
    <mergeCell ref="Q1"/>
    <mergeCell ref="R1"/>
    <mergeCell ref="S1"/>
    <mergeCell ref="L2"/>
    <mergeCell ref="M2"/>
    <mergeCell ref="N2"/>
    <mergeCell ref="T2"/>
    <mergeCell ref="O2"/>
    <mergeCell ref="P2"/>
    <mergeCell ref="Q2"/>
    <mergeCell ref="R2"/>
    <mergeCell ref="S2"/>
    <mergeCell ref="F2"/>
    <mergeCell ref="G2"/>
    <mergeCell ref="H2"/>
    <mergeCell ref="I2"/>
    <mergeCell ref="J2"/>
    <mergeCell ref="K2"/>
    <mergeCell ref="G3"/>
    <mergeCell ref="H3"/>
    <mergeCell ref="I3"/>
    <mergeCell ref="F3"/>
    <mergeCell ref="J3"/>
    <mergeCell ref="K3"/>
    <mergeCell ref="A2"/>
    <mergeCell ref="B2"/>
    <mergeCell ref="C2"/>
    <mergeCell ref="D2"/>
    <mergeCell ref="E2"/>
    <mergeCell ref="A3"/>
    <mergeCell ref="B3"/>
    <mergeCell ref="C3"/>
    <mergeCell ref="D3"/>
    <mergeCell ref="E3"/>
    <mergeCell ref="L3"/>
    <mergeCell ref="M3"/>
    <mergeCell ref="N3"/>
    <mergeCell ref="T3"/>
    <mergeCell ref="O3"/>
    <mergeCell ref="P3"/>
    <mergeCell ref="Q3"/>
    <mergeCell ref="L4"/>
    <mergeCell ref="M4"/>
    <mergeCell ref="N4"/>
    <mergeCell ref="T4"/>
    <mergeCell ref="O4"/>
    <mergeCell ref="P4"/>
    <mergeCell ref="Q4"/>
    <mergeCell ref="R4"/>
    <mergeCell ref="S4"/>
    <mergeCell ref="R3"/>
    <mergeCell ref="S3"/>
    <mergeCell ref="F4"/>
    <mergeCell ref="G4"/>
    <mergeCell ref="H4"/>
    <mergeCell ref="I4"/>
    <mergeCell ref="J4"/>
    <mergeCell ref="K4"/>
    <mergeCell ref="G5"/>
    <mergeCell ref="H5"/>
    <mergeCell ref="I5"/>
    <mergeCell ref="F5"/>
    <mergeCell ref="J5"/>
    <mergeCell ref="K5"/>
    <mergeCell ref="A4"/>
    <mergeCell ref="B4"/>
    <mergeCell ref="C4"/>
    <mergeCell ref="D4"/>
    <mergeCell ref="E4"/>
    <mergeCell ref="A5"/>
    <mergeCell ref="B5"/>
    <mergeCell ref="C5"/>
    <mergeCell ref="D5"/>
    <mergeCell ref="E5"/>
    <mergeCell ref="L5"/>
    <mergeCell ref="M5"/>
    <mergeCell ref="N5"/>
    <mergeCell ref="T5"/>
    <mergeCell ref="O5"/>
    <mergeCell ref="P5"/>
    <mergeCell ref="Q5"/>
    <mergeCell ref="L6"/>
    <mergeCell ref="M6"/>
    <mergeCell ref="N6"/>
    <mergeCell ref="T6"/>
    <mergeCell ref="O6"/>
    <mergeCell ref="P6"/>
    <mergeCell ref="Q6"/>
    <mergeCell ref="R6"/>
    <mergeCell ref="S6"/>
    <mergeCell ref="R5"/>
    <mergeCell ref="S5"/>
    <mergeCell ref="F6"/>
    <mergeCell ref="G6"/>
    <mergeCell ref="H6"/>
    <mergeCell ref="I6"/>
    <mergeCell ref="J6"/>
    <mergeCell ref="K6"/>
    <mergeCell ref="G7"/>
    <mergeCell ref="H7"/>
    <mergeCell ref="I7"/>
    <mergeCell ref="F7"/>
    <mergeCell ref="J7"/>
    <mergeCell ref="K7"/>
    <mergeCell ref="A6"/>
    <mergeCell ref="B6"/>
    <mergeCell ref="C6"/>
    <mergeCell ref="D6"/>
    <mergeCell ref="E6"/>
    <mergeCell ref="A7"/>
    <mergeCell ref="B7"/>
    <mergeCell ref="C7"/>
    <mergeCell ref="D7"/>
    <mergeCell ref="E7"/>
    <mergeCell ref="L7"/>
    <mergeCell ref="M7"/>
    <mergeCell ref="N7"/>
    <mergeCell ref="T7"/>
    <mergeCell ref="O7"/>
    <mergeCell ref="P7"/>
    <mergeCell ref="Q7"/>
    <mergeCell ref="L8"/>
    <mergeCell ref="M8"/>
    <mergeCell ref="N8"/>
    <mergeCell ref="T8"/>
    <mergeCell ref="O8"/>
    <mergeCell ref="P8"/>
    <mergeCell ref="Q8"/>
    <mergeCell ref="R8"/>
    <mergeCell ref="S8"/>
    <mergeCell ref="R7"/>
    <mergeCell ref="S7"/>
    <mergeCell ref="F8"/>
    <mergeCell ref="G8"/>
    <mergeCell ref="H8"/>
    <mergeCell ref="I8"/>
    <mergeCell ref="J8"/>
    <mergeCell ref="K8"/>
    <mergeCell ref="G9"/>
    <mergeCell ref="H9"/>
    <mergeCell ref="I9"/>
    <mergeCell ref="F9"/>
    <mergeCell ref="J9"/>
    <mergeCell ref="K9"/>
    <mergeCell ref="A8"/>
    <mergeCell ref="B8"/>
    <mergeCell ref="C8"/>
    <mergeCell ref="D8"/>
    <mergeCell ref="E8"/>
    <mergeCell ref="A9"/>
    <mergeCell ref="B9"/>
    <mergeCell ref="C9"/>
    <mergeCell ref="D9"/>
    <mergeCell ref="E9"/>
    <mergeCell ref="L9"/>
    <mergeCell ref="M9"/>
    <mergeCell ref="N9"/>
    <mergeCell ref="T9"/>
    <mergeCell ref="O9"/>
    <mergeCell ref="P9"/>
    <mergeCell ref="Q9"/>
    <mergeCell ref="L10"/>
    <mergeCell ref="M10"/>
    <mergeCell ref="N10"/>
    <mergeCell ref="T10"/>
    <mergeCell ref="O10"/>
    <mergeCell ref="P10"/>
    <mergeCell ref="Q10"/>
    <mergeCell ref="R10"/>
    <mergeCell ref="S10"/>
    <mergeCell ref="R9"/>
    <mergeCell ref="S9"/>
    <mergeCell ref="F10"/>
    <mergeCell ref="G10"/>
    <mergeCell ref="H10"/>
    <mergeCell ref="I10"/>
    <mergeCell ref="J10"/>
    <mergeCell ref="K10"/>
    <mergeCell ref="G11"/>
    <mergeCell ref="H11"/>
    <mergeCell ref="I11"/>
    <mergeCell ref="F11"/>
    <mergeCell ref="J11"/>
    <mergeCell ref="K11"/>
    <mergeCell ref="A10"/>
    <mergeCell ref="B10"/>
    <mergeCell ref="C10"/>
    <mergeCell ref="D10"/>
    <mergeCell ref="E10"/>
    <mergeCell ref="A11"/>
    <mergeCell ref="B11"/>
    <mergeCell ref="C11"/>
    <mergeCell ref="D11"/>
    <mergeCell ref="E11"/>
    <mergeCell ref="L11"/>
    <mergeCell ref="M11"/>
    <mergeCell ref="N11"/>
    <mergeCell ref="T11"/>
    <mergeCell ref="O11"/>
    <mergeCell ref="P11"/>
    <mergeCell ref="Q11"/>
    <mergeCell ref="L12"/>
    <mergeCell ref="M12"/>
    <mergeCell ref="N12"/>
    <mergeCell ref="T12"/>
    <mergeCell ref="O12"/>
    <mergeCell ref="P12"/>
    <mergeCell ref="Q12"/>
    <mergeCell ref="R12"/>
    <mergeCell ref="S12"/>
    <mergeCell ref="R11"/>
    <mergeCell ref="S11"/>
    <mergeCell ref="F12"/>
    <mergeCell ref="G12"/>
    <mergeCell ref="H12"/>
    <mergeCell ref="I12"/>
    <mergeCell ref="J12"/>
    <mergeCell ref="K12"/>
    <mergeCell ref="G13"/>
    <mergeCell ref="H13"/>
    <mergeCell ref="I13"/>
    <mergeCell ref="F13"/>
    <mergeCell ref="J13"/>
    <mergeCell ref="K13"/>
    <mergeCell ref="A12"/>
    <mergeCell ref="B12"/>
    <mergeCell ref="C12"/>
    <mergeCell ref="D12"/>
    <mergeCell ref="E12"/>
    <mergeCell ref="A13"/>
    <mergeCell ref="B13"/>
    <mergeCell ref="C13"/>
    <mergeCell ref="D13"/>
    <mergeCell ref="E13"/>
    <mergeCell ref="L13"/>
    <mergeCell ref="M13"/>
    <mergeCell ref="N13"/>
    <mergeCell ref="T13"/>
    <mergeCell ref="O13"/>
    <mergeCell ref="P13"/>
    <mergeCell ref="Q13"/>
    <mergeCell ref="L14"/>
    <mergeCell ref="M14"/>
    <mergeCell ref="N14"/>
    <mergeCell ref="T14"/>
    <mergeCell ref="O14"/>
    <mergeCell ref="P14"/>
    <mergeCell ref="Q14"/>
    <mergeCell ref="R14"/>
    <mergeCell ref="S14"/>
    <mergeCell ref="R13"/>
    <mergeCell ref="S13"/>
    <mergeCell ref="F14"/>
    <mergeCell ref="G14"/>
    <mergeCell ref="H14"/>
    <mergeCell ref="I14"/>
    <mergeCell ref="J14"/>
    <mergeCell ref="K14"/>
    <mergeCell ref="G15"/>
    <mergeCell ref="H15"/>
    <mergeCell ref="I15"/>
    <mergeCell ref="F15"/>
    <mergeCell ref="J15"/>
    <mergeCell ref="K15"/>
    <mergeCell ref="A14"/>
    <mergeCell ref="B14"/>
    <mergeCell ref="C14"/>
    <mergeCell ref="D14"/>
    <mergeCell ref="E14"/>
    <mergeCell ref="A15"/>
    <mergeCell ref="B15"/>
    <mergeCell ref="C15"/>
    <mergeCell ref="D15"/>
    <mergeCell ref="E15"/>
    <mergeCell ref="L15"/>
    <mergeCell ref="M15"/>
    <mergeCell ref="N15"/>
    <mergeCell ref="T15"/>
    <mergeCell ref="O15"/>
    <mergeCell ref="P15"/>
    <mergeCell ref="Q15"/>
    <mergeCell ref="L16"/>
    <mergeCell ref="M16"/>
    <mergeCell ref="N16"/>
    <mergeCell ref="T16"/>
    <mergeCell ref="O16"/>
    <mergeCell ref="P16"/>
    <mergeCell ref="Q16"/>
    <mergeCell ref="R16"/>
    <mergeCell ref="S16"/>
    <mergeCell ref="R15"/>
    <mergeCell ref="S15"/>
    <mergeCell ref="F16"/>
    <mergeCell ref="G16"/>
    <mergeCell ref="H16"/>
    <mergeCell ref="I16"/>
    <mergeCell ref="J16"/>
    <mergeCell ref="K16"/>
    <mergeCell ref="G17"/>
    <mergeCell ref="H17"/>
    <mergeCell ref="I17"/>
    <mergeCell ref="F17"/>
    <mergeCell ref="J17"/>
    <mergeCell ref="K17"/>
    <mergeCell ref="A16"/>
    <mergeCell ref="B16"/>
    <mergeCell ref="C16"/>
    <mergeCell ref="D16"/>
    <mergeCell ref="E16"/>
    <mergeCell ref="A17"/>
    <mergeCell ref="B17"/>
    <mergeCell ref="C17"/>
    <mergeCell ref="D17"/>
    <mergeCell ref="E17"/>
    <mergeCell ref="L17"/>
    <mergeCell ref="M17"/>
    <mergeCell ref="N17"/>
    <mergeCell ref="T17"/>
    <mergeCell ref="O17"/>
    <mergeCell ref="P17"/>
    <mergeCell ref="Q17"/>
    <mergeCell ref="L18"/>
    <mergeCell ref="M18"/>
    <mergeCell ref="N18"/>
    <mergeCell ref="T18"/>
    <mergeCell ref="O18"/>
    <mergeCell ref="P18"/>
    <mergeCell ref="Q18"/>
    <mergeCell ref="R18"/>
    <mergeCell ref="S18"/>
    <mergeCell ref="R17"/>
    <mergeCell ref="S17"/>
    <mergeCell ref="F18"/>
    <mergeCell ref="G18"/>
    <mergeCell ref="H18"/>
    <mergeCell ref="I18"/>
    <mergeCell ref="J18"/>
    <mergeCell ref="K18"/>
    <mergeCell ref="G19"/>
    <mergeCell ref="H19"/>
    <mergeCell ref="I19"/>
    <mergeCell ref="F19"/>
    <mergeCell ref="J19"/>
    <mergeCell ref="K19"/>
    <mergeCell ref="A18"/>
    <mergeCell ref="B18"/>
    <mergeCell ref="C18"/>
    <mergeCell ref="D18"/>
    <mergeCell ref="E18"/>
    <mergeCell ref="A19"/>
    <mergeCell ref="B19"/>
    <mergeCell ref="C19"/>
    <mergeCell ref="D19"/>
    <mergeCell ref="E19"/>
    <mergeCell ref="L19"/>
    <mergeCell ref="M19"/>
    <mergeCell ref="N19"/>
    <mergeCell ref="T19"/>
    <mergeCell ref="O19"/>
    <mergeCell ref="P19"/>
    <mergeCell ref="Q19"/>
    <mergeCell ref="L20"/>
    <mergeCell ref="M20"/>
    <mergeCell ref="N20"/>
    <mergeCell ref="T20"/>
    <mergeCell ref="O20"/>
    <mergeCell ref="P20"/>
    <mergeCell ref="Q20"/>
    <mergeCell ref="R20"/>
    <mergeCell ref="S20"/>
    <mergeCell ref="R19"/>
    <mergeCell ref="S19"/>
    <mergeCell ref="F20"/>
    <mergeCell ref="G20"/>
    <mergeCell ref="H20"/>
    <mergeCell ref="I20"/>
    <mergeCell ref="J20"/>
    <mergeCell ref="K20"/>
    <mergeCell ref="G21"/>
    <mergeCell ref="H21"/>
    <mergeCell ref="I21"/>
    <mergeCell ref="F21"/>
    <mergeCell ref="J21"/>
    <mergeCell ref="K21"/>
    <mergeCell ref="A20"/>
    <mergeCell ref="B20"/>
    <mergeCell ref="C20"/>
    <mergeCell ref="D20"/>
    <mergeCell ref="E20"/>
    <mergeCell ref="A21"/>
    <mergeCell ref="B21"/>
    <mergeCell ref="C21"/>
    <mergeCell ref="D21"/>
    <mergeCell ref="E21"/>
    <mergeCell ref="L21"/>
    <mergeCell ref="M21"/>
    <mergeCell ref="N21"/>
    <mergeCell ref="T21"/>
    <mergeCell ref="O21"/>
    <mergeCell ref="P21"/>
    <mergeCell ref="Q21"/>
    <mergeCell ref="L22"/>
    <mergeCell ref="M22"/>
    <mergeCell ref="N22"/>
    <mergeCell ref="T22"/>
    <mergeCell ref="O22"/>
    <mergeCell ref="P22"/>
    <mergeCell ref="Q22"/>
    <mergeCell ref="R22"/>
    <mergeCell ref="S22"/>
    <mergeCell ref="R21"/>
    <mergeCell ref="S21"/>
    <mergeCell ref="F22"/>
    <mergeCell ref="G22"/>
    <mergeCell ref="H22"/>
    <mergeCell ref="I22"/>
    <mergeCell ref="J22"/>
    <mergeCell ref="K22"/>
    <mergeCell ref="G23"/>
    <mergeCell ref="H23"/>
    <mergeCell ref="I23"/>
    <mergeCell ref="F23"/>
    <mergeCell ref="J23"/>
    <mergeCell ref="K23"/>
    <mergeCell ref="A22"/>
    <mergeCell ref="B22"/>
    <mergeCell ref="C22"/>
    <mergeCell ref="D22"/>
    <mergeCell ref="E22"/>
    <mergeCell ref="A23"/>
    <mergeCell ref="B23"/>
    <mergeCell ref="C23"/>
    <mergeCell ref="D23"/>
    <mergeCell ref="E23"/>
    <mergeCell ref="L23"/>
    <mergeCell ref="M23"/>
    <mergeCell ref="N23"/>
    <mergeCell ref="T23"/>
    <mergeCell ref="O23"/>
    <mergeCell ref="P23"/>
    <mergeCell ref="Q23"/>
    <mergeCell ref="L24"/>
    <mergeCell ref="M24"/>
    <mergeCell ref="N24"/>
    <mergeCell ref="T24"/>
    <mergeCell ref="O24"/>
    <mergeCell ref="P24"/>
    <mergeCell ref="Q24"/>
    <mergeCell ref="R24"/>
    <mergeCell ref="S24"/>
    <mergeCell ref="R23"/>
    <mergeCell ref="S23"/>
    <mergeCell ref="F24"/>
    <mergeCell ref="G24"/>
    <mergeCell ref="H24"/>
    <mergeCell ref="I24"/>
    <mergeCell ref="J24"/>
    <mergeCell ref="K24"/>
    <mergeCell ref="G25"/>
    <mergeCell ref="H25"/>
    <mergeCell ref="I25"/>
    <mergeCell ref="F25"/>
    <mergeCell ref="J25"/>
    <mergeCell ref="K25"/>
    <mergeCell ref="A24"/>
    <mergeCell ref="B24"/>
    <mergeCell ref="C24"/>
    <mergeCell ref="D24"/>
    <mergeCell ref="E24"/>
    <mergeCell ref="A25"/>
    <mergeCell ref="B25"/>
    <mergeCell ref="C25"/>
    <mergeCell ref="D25"/>
    <mergeCell ref="E25"/>
    <mergeCell ref="L25"/>
    <mergeCell ref="M25"/>
    <mergeCell ref="N25"/>
    <mergeCell ref="T25"/>
    <mergeCell ref="O25"/>
    <mergeCell ref="P25"/>
    <mergeCell ref="Q25"/>
    <mergeCell ref="L26"/>
    <mergeCell ref="M26"/>
    <mergeCell ref="N26"/>
    <mergeCell ref="T26"/>
    <mergeCell ref="O26"/>
    <mergeCell ref="P26"/>
    <mergeCell ref="Q26"/>
    <mergeCell ref="R26"/>
    <mergeCell ref="S26"/>
    <mergeCell ref="R25"/>
    <mergeCell ref="S25"/>
    <mergeCell ref="F26"/>
    <mergeCell ref="G26"/>
    <mergeCell ref="H26"/>
    <mergeCell ref="I26"/>
    <mergeCell ref="J26"/>
    <mergeCell ref="K26"/>
    <mergeCell ref="G27"/>
    <mergeCell ref="H27"/>
    <mergeCell ref="I27"/>
    <mergeCell ref="F27"/>
    <mergeCell ref="J27"/>
    <mergeCell ref="K27"/>
    <mergeCell ref="A26"/>
    <mergeCell ref="B26"/>
    <mergeCell ref="C26"/>
    <mergeCell ref="D26"/>
    <mergeCell ref="E26"/>
    <mergeCell ref="A27"/>
    <mergeCell ref="B27"/>
    <mergeCell ref="C27"/>
    <mergeCell ref="D27"/>
    <mergeCell ref="E27"/>
    <mergeCell ref="L27"/>
    <mergeCell ref="M27"/>
    <mergeCell ref="N27"/>
    <mergeCell ref="T27"/>
    <mergeCell ref="O27"/>
    <mergeCell ref="P27"/>
    <mergeCell ref="Q27"/>
    <mergeCell ref="L28"/>
    <mergeCell ref="M28"/>
    <mergeCell ref="N28"/>
    <mergeCell ref="T28"/>
    <mergeCell ref="O28"/>
    <mergeCell ref="P28"/>
    <mergeCell ref="Q28"/>
    <mergeCell ref="R28"/>
    <mergeCell ref="S28"/>
    <mergeCell ref="R27"/>
    <mergeCell ref="S27"/>
    <mergeCell ref="F28"/>
    <mergeCell ref="G28"/>
    <mergeCell ref="H28"/>
    <mergeCell ref="I28"/>
    <mergeCell ref="J28"/>
    <mergeCell ref="K28"/>
    <mergeCell ref="G29"/>
    <mergeCell ref="H29"/>
    <mergeCell ref="I29"/>
    <mergeCell ref="F29"/>
    <mergeCell ref="J29"/>
    <mergeCell ref="K29"/>
    <mergeCell ref="A28"/>
    <mergeCell ref="B28"/>
    <mergeCell ref="C28"/>
    <mergeCell ref="D28"/>
    <mergeCell ref="E28"/>
    <mergeCell ref="A29"/>
    <mergeCell ref="B29"/>
    <mergeCell ref="C29"/>
    <mergeCell ref="D29"/>
    <mergeCell ref="E29"/>
    <mergeCell ref="N29"/>
    <mergeCell ref="T29"/>
    <mergeCell ref="O29"/>
    <mergeCell ref="P29"/>
    <mergeCell ref="Q29"/>
    <mergeCell ref="L30"/>
    <mergeCell ref="M30"/>
    <mergeCell ref="N30"/>
    <mergeCell ref="T30"/>
    <mergeCell ref="O30"/>
    <mergeCell ref="P30"/>
    <mergeCell ref="Q30"/>
    <mergeCell ref="R30"/>
    <mergeCell ref="S30"/>
    <mergeCell ref="R29"/>
    <mergeCell ref="S29"/>
    <mergeCell ref="H30"/>
    <mergeCell ref="I30"/>
    <mergeCell ref="J30"/>
    <mergeCell ref="K30"/>
    <mergeCell ref="G31"/>
    <mergeCell ref="H31"/>
    <mergeCell ref="I31"/>
    <mergeCell ref="L29"/>
    <mergeCell ref="M29"/>
    <mergeCell ref="A30"/>
    <mergeCell ref="B30"/>
    <mergeCell ref="C30"/>
    <mergeCell ref="D30"/>
    <mergeCell ref="E30"/>
    <mergeCell ref="T31"/>
    <mergeCell ref="O31"/>
    <mergeCell ref="P31"/>
    <mergeCell ref="Q31"/>
    <mergeCell ref="A31"/>
    <mergeCell ref="B31"/>
    <mergeCell ref="C31"/>
    <mergeCell ref="D31"/>
    <mergeCell ref="E31"/>
    <mergeCell ref="F31"/>
    <mergeCell ref="R31"/>
    <mergeCell ref="S31"/>
    <mergeCell ref="J31"/>
    <mergeCell ref="K31"/>
    <mergeCell ref="L31"/>
    <mergeCell ref="M31"/>
    <mergeCell ref="N31"/>
    <mergeCell ref="F30"/>
    <mergeCell ref="G30"/>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2" customWidth="1"/>
    <col min="2" max="2" width="10.75" style="1372" customWidth="1"/>
    <col min="3" max="4" width="11.625" style="1372" customWidth="1"/>
    <col min="5" max="5" width="6.625" style="1372" customWidth="1"/>
    <col min="6" max="16384" width="9" style="1372"/>
  </cols>
  <sheetData>
    <row r="36" spans="1:9">
      <c r="A36" s="1371" t="s">
        <v>1423</v>
      </c>
      <c r="B36" s="1371" t="s">
        <v>1424</v>
      </c>
    </row>
    <row r="37" spans="1:9" ht="28.5" customHeight="1">
      <c r="A37" s="1371"/>
      <c r="B37" s="3421" t="str">
        <f>项目基本情况!B1</f>
        <v>出让国有建设用地使用权抵押价格预评估</v>
      </c>
      <c r="C37" s="3421"/>
      <c r="D37" s="3421"/>
      <c r="E37" s="3421"/>
      <c r="F37" s="3421"/>
      <c r="G37" s="3421"/>
      <c r="H37" s="3421"/>
      <c r="I37" s="3421"/>
    </row>
    <row r="38" spans="1:9">
      <c r="A38" s="1373"/>
      <c r="B38" s="1373"/>
    </row>
    <row r="39" spans="1:9">
      <c r="A39" s="1371" t="s">
        <v>1423</v>
      </c>
      <c r="B39" s="1371" t="s">
        <v>1562</v>
      </c>
    </row>
    <row r="40" spans="1:9">
      <c r="A40" s="1371"/>
      <c r="B40" s="1371">
        <f>项目基本情况!B5</f>
        <v>0</v>
      </c>
    </row>
    <row r="41" spans="1:9">
      <c r="A41" s="1371"/>
      <c r="B41" s="1371"/>
    </row>
    <row r="42" spans="1:9">
      <c r="A42" s="1371" t="s">
        <v>1423</v>
      </c>
      <c r="B42" s="1371" t="s">
        <v>1563</v>
      </c>
    </row>
    <row r="43" spans="1:9">
      <c r="A43" s="1371"/>
      <c r="B43" s="1371" t="s">
        <v>1425</v>
      </c>
    </row>
    <row r="44" spans="1:9">
      <c r="A44" s="1371"/>
      <c r="B44" s="1371"/>
    </row>
    <row r="45" spans="1:9">
      <c r="A45" s="1371" t="s">
        <v>1423</v>
      </c>
      <c r="B45" s="1371" t="s">
        <v>1561</v>
      </c>
    </row>
    <row r="46" spans="1:9" s="1371" customFormat="1" ht="12.75">
      <c r="B46" s="1371" t="str">
        <f>项目基本情况!K4</f>
        <v>土地估价师、土地估价师</v>
      </c>
    </row>
    <row r="47" spans="1:9">
      <c r="A47" s="1371"/>
      <c r="B47" s="1371"/>
    </row>
    <row r="48" spans="1:9">
      <c r="A48" s="1371" t="s">
        <v>1423</v>
      </c>
      <c r="B48" s="1371" t="s">
        <v>1564</v>
      </c>
    </row>
    <row r="49" spans="2:2">
      <c r="B49" s="137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70" zoomScaleNormal="95" zoomScaleSheetLayoutView="70" workbookViewId="0">
      <selection activeCell="N57" sqref="N57"/>
    </sheetView>
  </sheetViews>
  <sheetFormatPr defaultColWidth="9" defaultRowHeight="14.25"/>
  <cols>
    <col min="1" max="1" width="15.625" style="1129" customWidth="1"/>
    <col min="2" max="2" width="15.75" style="1129" customWidth="1"/>
    <col min="3" max="3" width="15.25" style="1129" customWidth="1"/>
    <col min="4" max="4" width="12.25" style="1129" customWidth="1"/>
    <col min="5" max="5" width="16.125" style="1129" customWidth="1"/>
    <col min="6" max="6" width="12.25" style="1129" customWidth="1"/>
    <col min="7" max="7" width="15.625" style="1129" customWidth="1"/>
    <col min="8" max="8" width="12.25" style="1129" customWidth="1"/>
    <col min="9" max="9" width="15.62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463</v>
      </c>
      <c r="B1" s="454"/>
      <c r="C1" s="455" t="s">
        <v>464</v>
      </c>
      <c r="D1" s="456" t="s">
        <v>465</v>
      </c>
      <c r="E1" s="457"/>
      <c r="F1" s="398"/>
      <c r="G1" s="457"/>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425</v>
      </c>
      <c r="B2" s="459">
        <f>F67</f>
        <v>8966</v>
      </c>
      <c r="C2" s="2725"/>
      <c r="D2" s="2725"/>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8" t="s">
        <v>1215</v>
      </c>
      <c r="B3" s="461">
        <f>ROUND(B2*10000/'数据-汇总表'!E3,0)</f>
        <v>2112</v>
      </c>
      <c r="C3" s="2726"/>
      <c r="D3" s="2730"/>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2718"/>
      <c r="AC3" s="1672"/>
    </row>
    <row r="4" spans="1:29" s="1128" customFormat="1" ht="28.5" customHeight="1">
      <c r="A4" s="462" t="s">
        <v>467</v>
      </c>
      <c r="B4" s="397">
        <f>IF(B48="单位面积地价",C50,ROUND(B2*10000/'数据-汇总表'!D3,0))</f>
        <v>5279</v>
      </c>
      <c r="C4" s="2726"/>
      <c r="D4" s="2730"/>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9"/>
      <c r="B5" s="400">
        <f>ROUND(B2/('数据-汇总表'!D3/666.67),0)</f>
        <v>352</v>
      </c>
      <c r="C5" s="401" t="s">
        <v>427</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1738"/>
      <c r="AC5" s="1672"/>
    </row>
    <row r="6" spans="1:29" ht="20.25">
      <c r="A6" s="463" t="s">
        <v>468</v>
      </c>
      <c r="B6" s="464"/>
      <c r="C6" s="3604" t="s">
        <v>469</v>
      </c>
      <c r="D6" s="3605"/>
      <c r="E6" s="3604" t="s">
        <v>470</v>
      </c>
      <c r="F6" s="3605"/>
      <c r="G6" s="3604" t="s">
        <v>471</v>
      </c>
      <c r="H6" s="3605"/>
      <c r="I6" s="3604" t="s">
        <v>472</v>
      </c>
      <c r="J6" s="3605"/>
      <c r="K6" s="465" t="s">
        <v>473</v>
      </c>
      <c r="L6" s="1739"/>
      <c r="M6" s="1738"/>
      <c r="N6" s="1738"/>
      <c r="O6" s="1740"/>
      <c r="P6" s="3606" t="s">
        <v>474</v>
      </c>
      <c r="Q6" s="3607"/>
      <c r="R6" s="3612" t="s">
        <v>470</v>
      </c>
      <c r="S6" s="3613"/>
      <c r="T6" s="3612" t="s">
        <v>471</v>
      </c>
      <c r="U6" s="3613"/>
      <c r="V6" s="3599" t="s">
        <v>472</v>
      </c>
      <c r="W6" s="3599"/>
      <c r="X6" s="1300"/>
      <c r="Y6" s="3612" t="s">
        <v>474</v>
      </c>
      <c r="Z6" s="3613"/>
      <c r="AA6" s="3601" t="s">
        <v>470</v>
      </c>
      <c r="AB6" s="3602" t="s">
        <v>471</v>
      </c>
      <c r="AC6" s="3601" t="s">
        <v>472</v>
      </c>
    </row>
    <row r="7" spans="1:29" ht="20.25">
      <c r="A7" s="466"/>
      <c r="B7" s="467"/>
      <c r="C7" s="3620" t="s">
        <v>2180</v>
      </c>
      <c r="D7" s="3621"/>
      <c r="E7" s="3620" t="str">
        <f>土地案例!A3</f>
        <v>城南经济新区蚕桑支路北侧、正通新路西侧</v>
      </c>
      <c r="F7" s="3621"/>
      <c r="G7" s="3620" t="str">
        <f>土地案例!A8</f>
        <v>东部新城海潮东路北侧、绿杨路东侧</v>
      </c>
      <c r="H7" s="3621"/>
      <c r="I7" s="3620" t="str">
        <f>土地案例!A9</f>
        <v>东部新城规划道路西侧、健民路北侧</v>
      </c>
      <c r="J7" s="3621"/>
      <c r="K7" s="465"/>
      <c r="L7" s="1739"/>
      <c r="M7" s="1738"/>
      <c r="N7" s="1738"/>
      <c r="O7" s="1740"/>
      <c r="P7" s="3608"/>
      <c r="Q7" s="3609"/>
      <c r="R7" s="3614"/>
      <c r="S7" s="3615"/>
      <c r="T7" s="3614"/>
      <c r="U7" s="3615"/>
      <c r="V7" s="3599"/>
      <c r="W7" s="3599"/>
      <c r="X7" s="1300"/>
      <c r="Y7" s="3614"/>
      <c r="Z7" s="3615"/>
      <c r="AA7" s="3602"/>
      <c r="AB7" s="3602"/>
      <c r="AC7" s="3602"/>
    </row>
    <row r="8" spans="1:29" ht="21" thickBot="1">
      <c r="A8" s="466"/>
      <c r="B8" s="467"/>
      <c r="C8" s="3622" t="s">
        <v>2184</v>
      </c>
      <c r="D8" s="3623"/>
      <c r="E8" s="3622" t="s">
        <v>2184</v>
      </c>
      <c r="F8" s="3623"/>
      <c r="G8" s="3618" t="s">
        <v>2184</v>
      </c>
      <c r="H8" s="3619"/>
      <c r="I8" s="3618" t="s">
        <v>2184</v>
      </c>
      <c r="J8" s="3619"/>
      <c r="K8" s="465" t="s">
        <v>475</v>
      </c>
      <c r="L8" s="1739"/>
      <c r="M8" s="1738"/>
      <c r="N8" s="1738"/>
      <c r="O8" s="1740"/>
      <c r="P8" s="3610"/>
      <c r="Q8" s="3611"/>
      <c r="R8" s="3614"/>
      <c r="S8" s="3615"/>
      <c r="T8" s="3616"/>
      <c r="U8" s="3617"/>
      <c r="V8" s="3599"/>
      <c r="W8" s="3599"/>
      <c r="X8" s="1300"/>
      <c r="Y8" s="3616"/>
      <c r="Z8" s="3617"/>
      <c r="AA8" s="3603"/>
      <c r="AB8" s="3603"/>
      <c r="AC8" s="3603"/>
    </row>
    <row r="9" spans="1:29" s="1057" customFormat="1" ht="21" thickBot="1">
      <c r="A9" s="2207"/>
      <c r="B9" s="2214" t="s">
        <v>476</v>
      </c>
      <c r="C9" s="2206">
        <f>'数据-取费表'!B2</f>
        <v>45817</v>
      </c>
      <c r="D9" s="471">
        <v>100</v>
      </c>
      <c r="E9" s="472" t="str">
        <f>土地案例!M3</f>
        <v>2025-02-10</v>
      </c>
      <c r="F9" s="473">
        <f>SUMIF(71:71,YEAR(E9)&amp;"-"&amp;INT((MONTH(E9)+2)/3),72:72)</f>
        <v>100.5</v>
      </c>
      <c r="G9" s="474" t="str">
        <f>土地案例!M8</f>
        <v>2025-01-08</v>
      </c>
      <c r="H9" s="471">
        <f>SUMIF(71:71,YEAR(G9)&amp;"-"&amp;INT((MONTH(G9)+2)/3),72:72)</f>
        <v>100.5</v>
      </c>
      <c r="I9" s="474" t="str">
        <f>土地案例!M9</f>
        <v>2025-01-08</v>
      </c>
      <c r="J9" s="471">
        <f>SUMIF(71:71,YEAR(I9)&amp;"-"&amp;INT((MONTH(I9)+2)/3),72:72)</f>
        <v>100.5</v>
      </c>
      <c r="K9" s="88"/>
      <c r="L9" s="1741"/>
      <c r="M9" s="1738"/>
      <c r="N9" s="1738"/>
      <c r="O9" s="1638"/>
      <c r="P9" s="3628" t="s">
        <v>477</v>
      </c>
      <c r="Q9" s="3630"/>
      <c r="R9" s="1301" t="s">
        <v>5</v>
      </c>
      <c r="S9" s="1302">
        <f t="shared" ref="S9:S17" si="0">F9</f>
        <v>100.5</v>
      </c>
      <c r="T9" s="1301" t="s">
        <v>5</v>
      </c>
      <c r="U9" s="1302">
        <f t="shared" ref="U9:U17" si="1">H9</f>
        <v>100.5</v>
      </c>
      <c r="V9" s="1301" t="s">
        <v>5</v>
      </c>
      <c r="W9" s="1302">
        <f t="shared" ref="W9:W17" si="2">J9</f>
        <v>100.5</v>
      </c>
      <c r="X9" s="1303"/>
      <c r="Y9" s="3628" t="s">
        <v>477</v>
      </c>
      <c r="Z9" s="3629"/>
      <c r="AA9" s="994">
        <f>D9/F9</f>
        <v>0.99502487562189057</v>
      </c>
      <c r="AB9" s="994">
        <f>D9/H9</f>
        <v>0.99502487562189057</v>
      </c>
      <c r="AC9" s="994">
        <f>D9/J9</f>
        <v>0.99502487562189057</v>
      </c>
    </row>
    <row r="10" spans="1:29" s="1057" customFormat="1" ht="21" thickBot="1">
      <c r="A10" s="2208"/>
      <c r="B10" s="2215" t="s">
        <v>478</v>
      </c>
      <c r="C10" s="790" t="s">
        <v>479</v>
      </c>
      <c r="D10" s="471">
        <v>100</v>
      </c>
      <c r="E10" s="475" t="s">
        <v>3532</v>
      </c>
      <c r="F10" s="473">
        <f>SUMIF(74:74,E10,75:75)-SUMIF(74:74,C10,75:75)+100</f>
        <v>100</v>
      </c>
      <c r="G10" s="475" t="s">
        <v>3532</v>
      </c>
      <c r="H10" s="471">
        <f>SUMIF(74:74,G10,75:75)-SUMIF(74:74,C10,75:75)+100</f>
        <v>100</v>
      </c>
      <c r="I10" s="475" t="s">
        <v>3532</v>
      </c>
      <c r="J10" s="471">
        <f>SUMIF(74:74,I10,75:75)-SUMIF(74:74,C10,75:75)+100</f>
        <v>100</v>
      </c>
      <c r="K10" s="88"/>
      <c r="L10" s="1741"/>
      <c r="M10" s="1738"/>
      <c r="N10" s="1738"/>
      <c r="O10" s="1638"/>
      <c r="P10" s="3628" t="s">
        <v>480</v>
      </c>
      <c r="Q10" s="3629"/>
      <c r="R10" s="1301" t="s">
        <v>5</v>
      </c>
      <c r="S10" s="1302">
        <f t="shared" si="0"/>
        <v>100</v>
      </c>
      <c r="T10" s="1301" t="s">
        <v>5</v>
      </c>
      <c r="U10" s="1302">
        <f t="shared" si="1"/>
        <v>100</v>
      </c>
      <c r="V10" s="1301" t="s">
        <v>5</v>
      </c>
      <c r="W10" s="1302">
        <f t="shared" si="2"/>
        <v>100</v>
      </c>
      <c r="X10" s="1303"/>
      <c r="Y10" s="3628" t="s">
        <v>480</v>
      </c>
      <c r="Z10" s="3629"/>
      <c r="AA10" s="994">
        <f t="shared" ref="AA10:AA47" si="3">D10/F10</f>
        <v>1</v>
      </c>
      <c r="AB10" s="994">
        <f t="shared" ref="AB10:AB47" si="4">D10/H10</f>
        <v>1</v>
      </c>
      <c r="AC10" s="994">
        <f t="shared" ref="AC10:AC47" si="5">D10/J10</f>
        <v>1</v>
      </c>
    </row>
    <row r="11" spans="1:29" s="1057" customFormat="1" ht="20.25">
      <c r="A11" s="2209"/>
      <c r="B11" s="2216" t="s">
        <v>2036</v>
      </c>
      <c r="C11" s="2203" t="s">
        <v>2726</v>
      </c>
      <c r="D11" s="154">
        <v>100</v>
      </c>
      <c r="E11" s="476" t="s">
        <v>2726</v>
      </c>
      <c r="F11" s="154">
        <f>SUMIF(76:76,E11,77:77)-SUMIF(76:76,C11,77:77)+100</f>
        <v>100</v>
      </c>
      <c r="G11" s="476" t="s">
        <v>2726</v>
      </c>
      <c r="H11" s="154">
        <f>SUMIF(76:76,G11,77:77)-SUMIF(76:76,C11,77:77)+100</f>
        <v>100</v>
      </c>
      <c r="I11" s="476" t="s">
        <v>2726</v>
      </c>
      <c r="J11" s="154">
        <f>SUMIF(76:76,I11,77:77)-SUMIF(76:76,C11,77:77)+100</f>
        <v>100</v>
      </c>
      <c r="K11" s="88"/>
      <c r="L11" s="1741"/>
      <c r="M11" s="1738"/>
      <c r="N11" s="1738"/>
      <c r="O11" s="1742"/>
      <c r="P11" s="3598" t="s">
        <v>482</v>
      </c>
      <c r="Q11" s="817" t="str">
        <f t="shared" ref="Q11:Q17" si="6">B11</f>
        <v>用途</v>
      </c>
      <c r="R11" s="1301" t="s">
        <v>5</v>
      </c>
      <c r="S11" s="1302">
        <f t="shared" si="0"/>
        <v>100</v>
      </c>
      <c r="T11" s="1301" t="s">
        <v>5</v>
      </c>
      <c r="U11" s="1302">
        <f t="shared" si="1"/>
        <v>100</v>
      </c>
      <c r="V11" s="1301" t="s">
        <v>5</v>
      </c>
      <c r="W11" s="1302">
        <f t="shared" si="2"/>
        <v>100</v>
      </c>
      <c r="X11" s="1303"/>
      <c r="Y11" s="3540" t="s">
        <v>483</v>
      </c>
      <c r="Z11" s="994" t="str">
        <f t="shared" ref="Z11:Z17" si="7">Q11</f>
        <v>用途</v>
      </c>
      <c r="AA11" s="994">
        <f t="shared" si="3"/>
        <v>1</v>
      </c>
      <c r="AB11" s="994">
        <f t="shared" si="4"/>
        <v>1</v>
      </c>
      <c r="AC11" s="994">
        <f t="shared" si="5"/>
        <v>1</v>
      </c>
    </row>
    <row r="12" spans="1:29" s="1130" customFormat="1" ht="27">
      <c r="A12" s="2210"/>
      <c r="B12" s="2215" t="s">
        <v>2037</v>
      </c>
      <c r="C12" s="832">
        <f>项目基本情况!D19</f>
        <v>28.32</v>
      </c>
      <c r="D12" s="235">
        <v>100</v>
      </c>
      <c r="E12" s="479" t="s">
        <v>3678</v>
      </c>
      <c r="F12" s="235">
        <f>ROUND(100/'数据-取费表'!G16,0)</f>
        <v>115</v>
      </c>
      <c r="G12" s="480" t="s">
        <v>3678</v>
      </c>
      <c r="H12" s="235">
        <f>ROUND(100/'数据-取费表'!G16,0)</f>
        <v>115</v>
      </c>
      <c r="I12" s="480" t="s">
        <v>3678</v>
      </c>
      <c r="J12" s="235">
        <f>ROUND(100/'数据-取费表'!G16,0)</f>
        <v>115</v>
      </c>
      <c r="K12" s="481"/>
      <c r="L12" s="1743"/>
      <c r="M12" s="1738"/>
      <c r="N12" s="1738"/>
      <c r="O12" s="1744"/>
      <c r="P12" s="3598"/>
      <c r="Q12" s="817" t="str">
        <f t="shared" si="6"/>
        <v>土地使用年限（年）</v>
      </c>
      <c r="R12" s="1301" t="s">
        <v>5</v>
      </c>
      <c r="S12" s="1302">
        <f t="shared" si="0"/>
        <v>115</v>
      </c>
      <c r="T12" s="1301" t="s">
        <v>5</v>
      </c>
      <c r="U12" s="1302">
        <f t="shared" si="1"/>
        <v>115</v>
      </c>
      <c r="V12" s="1301" t="s">
        <v>5</v>
      </c>
      <c r="W12" s="1302">
        <f t="shared" si="2"/>
        <v>115</v>
      </c>
      <c r="X12" s="1303"/>
      <c r="Y12" s="3540"/>
      <c r="Z12" s="994" t="str">
        <f t="shared" si="7"/>
        <v>土地使用年限（年）</v>
      </c>
      <c r="AA12" s="994">
        <f t="shared" si="3"/>
        <v>0.86956521739130432</v>
      </c>
      <c r="AB12" s="994">
        <f t="shared" si="4"/>
        <v>0.86956521739130432</v>
      </c>
      <c r="AC12" s="994">
        <f t="shared" si="5"/>
        <v>0.86956521739130432</v>
      </c>
    </row>
    <row r="13" spans="1:29" ht="20.25">
      <c r="A13" s="2211"/>
      <c r="B13" s="2215" t="s">
        <v>2038</v>
      </c>
      <c r="C13" s="484">
        <f>'数据-汇总表'!I6</f>
        <v>2.5</v>
      </c>
      <c r="D13" s="235">
        <v>100</v>
      </c>
      <c r="E13" s="483">
        <v>1.5</v>
      </c>
      <c r="F13" s="235">
        <f>LOOKUP(E13,81:81,82:82)-LOOKUP(C13,81:81,82:82)+100</f>
        <v>102</v>
      </c>
      <c r="G13" s="484">
        <v>2</v>
      </c>
      <c r="H13" s="235">
        <f>LOOKUP(G13,81:81,82:82)-LOOKUP(C13,81:81,82:82)+100</f>
        <v>100</v>
      </c>
      <c r="I13" s="483">
        <v>2</v>
      </c>
      <c r="J13" s="235">
        <f>LOOKUP(I13,81:81,82:82)-LOOKUP(C13,81:81,82:82)+100</f>
        <v>100</v>
      </c>
      <c r="K13" s="485">
        <v>2</v>
      </c>
      <c r="L13" s="1745"/>
      <c r="M13" s="1738"/>
      <c r="N13" s="1738"/>
      <c r="O13" s="1746"/>
      <c r="P13" s="3598"/>
      <c r="Q13" s="817" t="str">
        <f t="shared" si="6"/>
        <v>容积率</v>
      </c>
      <c r="R13" s="1301" t="s">
        <v>5</v>
      </c>
      <c r="S13" s="1302">
        <f t="shared" si="0"/>
        <v>102</v>
      </c>
      <c r="T13" s="1301" t="s">
        <v>5</v>
      </c>
      <c r="U13" s="1302">
        <f t="shared" si="1"/>
        <v>100</v>
      </c>
      <c r="V13" s="1301" t="s">
        <v>5</v>
      </c>
      <c r="W13" s="1302">
        <f t="shared" si="2"/>
        <v>100</v>
      </c>
      <c r="X13" s="1303"/>
      <c r="Y13" s="3540"/>
      <c r="Z13" s="994" t="str">
        <f t="shared" si="7"/>
        <v>容积率</v>
      </c>
      <c r="AA13" s="994">
        <f t="shared" si="3"/>
        <v>0.98039215686274506</v>
      </c>
      <c r="AB13" s="994">
        <f t="shared" si="4"/>
        <v>1</v>
      </c>
      <c r="AC13" s="994">
        <f t="shared" si="5"/>
        <v>1</v>
      </c>
    </row>
    <row r="14" spans="1:29" s="1057" customFormat="1" ht="20.25" hidden="1">
      <c r="A14" s="2208"/>
      <c r="B14" s="2217" t="s">
        <v>2039</v>
      </c>
      <c r="C14" s="2204"/>
      <c r="D14" s="488">
        <v>100</v>
      </c>
      <c r="E14" s="1163"/>
      <c r="F14" s="235">
        <f>SUMIF(83:83,E14,84:84)-SUMIF(83:83,C14,84:84)+100</f>
        <v>100</v>
      </c>
      <c r="G14" s="480"/>
      <c r="H14" s="235">
        <f>SUMIF(83:83,G14,84:84)-SUMIF(83:83,C14,84:84)+100</f>
        <v>100</v>
      </c>
      <c r="I14" s="479"/>
      <c r="J14" s="235">
        <f>SUMIF(83:83,I14,84:84)-SUMIF(83:83,C14,84:84)+100</f>
        <v>100</v>
      </c>
      <c r="K14" s="481"/>
      <c r="L14" s="1741"/>
      <c r="M14" s="1738"/>
      <c r="N14" s="1738"/>
      <c r="O14" s="1742"/>
      <c r="P14" s="3598"/>
      <c r="Q14" s="817" t="str">
        <f t="shared" si="6"/>
        <v>配建</v>
      </c>
      <c r="R14" s="1301" t="s">
        <v>5</v>
      </c>
      <c r="S14" s="1302">
        <f t="shared" si="0"/>
        <v>100</v>
      </c>
      <c r="T14" s="1301" t="s">
        <v>5</v>
      </c>
      <c r="U14" s="1302">
        <f t="shared" si="1"/>
        <v>100</v>
      </c>
      <c r="V14" s="1301" t="s">
        <v>5</v>
      </c>
      <c r="W14" s="1302">
        <f t="shared" si="2"/>
        <v>100</v>
      </c>
      <c r="X14" s="1303"/>
      <c r="Y14" s="3540"/>
      <c r="Z14" s="994" t="str">
        <f t="shared" si="7"/>
        <v>配建</v>
      </c>
      <c r="AA14" s="994">
        <f>D14/F14</f>
        <v>1</v>
      </c>
      <c r="AB14" s="994">
        <f>D14/H14</f>
        <v>1</v>
      </c>
      <c r="AC14" s="994">
        <f>D14/J14</f>
        <v>1</v>
      </c>
    </row>
    <row r="15" spans="1:29" ht="20.25" hidden="1">
      <c r="A15" s="2212"/>
      <c r="B15" s="2218">
        <v>111</v>
      </c>
      <c r="C15" s="834"/>
      <c r="D15" s="490">
        <v>100</v>
      </c>
      <c r="E15" s="491"/>
      <c r="F15" s="235">
        <f>SUMIF(85:85,E15,86:86)-SUMIF(85:85,C15,86:86)+100</f>
        <v>100</v>
      </c>
      <c r="G15" s="492"/>
      <c r="H15" s="490">
        <f>SUMIF(85:85,G15,86:86)-SUMIF(85:85,C15,86:86)+100</f>
        <v>100</v>
      </c>
      <c r="I15" s="492"/>
      <c r="J15" s="490">
        <f>SUMIF(85:85,I15,86:86)-SUMIF(85:85,C15,86:86)+100</f>
        <v>100</v>
      </c>
      <c r="K15" s="481"/>
      <c r="L15" s="1747"/>
      <c r="M15" s="1738"/>
      <c r="N15" s="1738"/>
      <c r="O15" s="1746"/>
      <c r="P15" s="3598"/>
      <c r="Q15" s="817">
        <f t="shared" si="6"/>
        <v>111</v>
      </c>
      <c r="R15" s="1301" t="s">
        <v>5</v>
      </c>
      <c r="S15" s="1302">
        <f t="shared" si="0"/>
        <v>100</v>
      </c>
      <c r="T15" s="1301" t="s">
        <v>5</v>
      </c>
      <c r="U15" s="1302">
        <f t="shared" si="1"/>
        <v>100</v>
      </c>
      <c r="V15" s="1301" t="s">
        <v>5</v>
      </c>
      <c r="W15" s="1302">
        <f t="shared" si="2"/>
        <v>100</v>
      </c>
      <c r="X15" s="1303"/>
      <c r="Y15" s="3540"/>
      <c r="Z15" s="994">
        <f t="shared" si="7"/>
        <v>111</v>
      </c>
      <c r="AA15" s="994">
        <f>D15/F15</f>
        <v>1</v>
      </c>
      <c r="AB15" s="994">
        <f>D15/H15</f>
        <v>1</v>
      </c>
      <c r="AC15" s="994">
        <f>D15/J15</f>
        <v>1</v>
      </c>
    </row>
    <row r="16" spans="1:29" ht="21" hidden="1" thickBot="1">
      <c r="A16" s="2213"/>
      <c r="B16" s="2219">
        <v>111</v>
      </c>
      <c r="C16" s="837"/>
      <c r="D16" s="496">
        <v>100</v>
      </c>
      <c r="E16" s="491"/>
      <c r="F16" s="496">
        <f>SUMIF(87:87,E16,88:88)-SUMIF(87:87,C16,88:88)+100</f>
        <v>100</v>
      </c>
      <c r="G16" s="492"/>
      <c r="H16" s="496">
        <f>SUMIF(87:87,G16,88:88)-SUMIF(87:87,C16,88:88)+100</f>
        <v>100</v>
      </c>
      <c r="I16" s="492"/>
      <c r="J16" s="496">
        <f>SUMIF(87:87,I16,88:88)-SUMIF(87:87,C16,88:88)+100</f>
        <v>100</v>
      </c>
      <c r="K16" s="481"/>
      <c r="L16" s="1747"/>
      <c r="M16" s="1738"/>
      <c r="N16" s="1738"/>
      <c r="O16" s="1746"/>
      <c r="P16" s="3598"/>
      <c r="Q16" s="817">
        <f t="shared" si="6"/>
        <v>111</v>
      </c>
      <c r="R16" s="1301" t="s">
        <v>5</v>
      </c>
      <c r="S16" s="1302">
        <f t="shared" si="0"/>
        <v>100</v>
      </c>
      <c r="T16" s="1301" t="s">
        <v>5</v>
      </c>
      <c r="U16" s="1302">
        <f t="shared" si="1"/>
        <v>100</v>
      </c>
      <c r="V16" s="1301" t="s">
        <v>5</v>
      </c>
      <c r="W16" s="1302">
        <f t="shared" si="2"/>
        <v>100</v>
      </c>
      <c r="X16" s="1303"/>
      <c r="Y16" s="3540"/>
      <c r="Z16" s="994">
        <f t="shared" si="7"/>
        <v>111</v>
      </c>
      <c r="AA16" s="994">
        <f>D16/F16</f>
        <v>1</v>
      </c>
      <c r="AB16" s="994">
        <f>D16/H16</f>
        <v>1</v>
      </c>
      <c r="AC16" s="994">
        <f>D16/J16</f>
        <v>1</v>
      </c>
    </row>
    <row r="17" spans="1:29" ht="20.25" hidden="1">
      <c r="A17" s="2205" t="s">
        <v>2034</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7"/>
      <c r="M17" s="1738"/>
      <c r="N17" s="1738"/>
      <c r="O17" s="1746"/>
      <c r="P17" s="3631" t="s">
        <v>487</v>
      </c>
      <c r="Q17" s="1304" t="str">
        <f t="shared" si="6"/>
        <v>居住社区成熟度</v>
      </c>
      <c r="R17" s="1305" t="s">
        <v>5</v>
      </c>
      <c r="S17" s="1306">
        <f t="shared" si="0"/>
        <v>100</v>
      </c>
      <c r="T17" s="1305" t="s">
        <v>5</v>
      </c>
      <c r="U17" s="1306">
        <f t="shared" si="1"/>
        <v>100</v>
      </c>
      <c r="V17" s="1305" t="s">
        <v>5</v>
      </c>
      <c r="W17" s="1306">
        <f t="shared" si="2"/>
        <v>100</v>
      </c>
      <c r="X17" s="1300"/>
      <c r="Y17" s="3631" t="s">
        <v>487</v>
      </c>
      <c r="Z17" s="1307" t="str">
        <f t="shared" si="7"/>
        <v>居住社区成熟度</v>
      </c>
      <c r="AA17" s="1307">
        <f t="shared" si="3"/>
        <v>1</v>
      </c>
      <c r="AB17" s="1307">
        <f t="shared" si="4"/>
        <v>1</v>
      </c>
      <c r="AC17" s="1307">
        <f t="shared" si="5"/>
        <v>1</v>
      </c>
    </row>
    <row r="18" spans="1:29" ht="20.25" hidden="1">
      <c r="A18" s="482"/>
      <c r="B18" s="503"/>
      <c r="C18" s="504"/>
      <c r="D18" s="507"/>
      <c r="E18" s="508"/>
      <c r="F18" s="505"/>
      <c r="G18" s="508"/>
      <c r="H18" s="509"/>
      <c r="I18" s="508"/>
      <c r="J18" s="505"/>
      <c r="K18" s="481"/>
      <c r="L18" s="1747"/>
      <c r="M18" s="1738"/>
      <c r="N18" s="1738"/>
      <c r="O18" s="1746"/>
      <c r="P18" s="3632"/>
      <c r="Q18" s="1304"/>
      <c r="R18" s="1305"/>
      <c r="S18" s="1306"/>
      <c r="T18" s="1305"/>
      <c r="U18" s="1306"/>
      <c r="V18" s="1305"/>
      <c r="W18" s="1306"/>
      <c r="X18" s="1300"/>
      <c r="Y18" s="3632"/>
      <c r="Z18" s="1307"/>
      <c r="AA18" s="1307">
        <v>1</v>
      </c>
      <c r="AB18" s="1307">
        <v>1</v>
      </c>
      <c r="AC18" s="1307">
        <v>1</v>
      </c>
    </row>
    <row r="19" spans="1:29" ht="20.25">
      <c r="A19" s="482"/>
      <c r="B19" s="510" t="s">
        <v>488</v>
      </c>
      <c r="C19" s="511">
        <f>估价对象房地状况!C16</f>
        <v>0</v>
      </c>
      <c r="D19" s="513">
        <v>100</v>
      </c>
      <c r="E19" s="514"/>
      <c r="F19" s="509">
        <f>SUMIF(91:91,E20,92:92)-SUMIF(91:91,C20,92:92)+100</f>
        <v>102</v>
      </c>
      <c r="G19" s="512"/>
      <c r="H19" s="515">
        <f>SUMIF(91:91,G20,92:92)-SUMIF(91:91,C20,92:92)+100</f>
        <v>102</v>
      </c>
      <c r="I19" s="514"/>
      <c r="J19" s="515">
        <f>SUMIF(91:91,I20,92:92)-SUMIF(91:91,C20,92:92)+100</f>
        <v>102</v>
      </c>
      <c r="K19" s="485">
        <v>2</v>
      </c>
      <c r="L19" s="1747"/>
      <c r="M19" s="1738"/>
      <c r="N19" s="1738"/>
      <c r="O19" s="1746"/>
      <c r="P19" s="3632"/>
      <c r="Q19" s="1304" t="str">
        <f>B19</f>
        <v>商业繁华度</v>
      </c>
      <c r="R19" s="1305" t="s">
        <v>5</v>
      </c>
      <c r="S19" s="1306">
        <f>F19</f>
        <v>102</v>
      </c>
      <c r="T19" s="1305" t="s">
        <v>5</v>
      </c>
      <c r="U19" s="1306">
        <f>H19</f>
        <v>102</v>
      </c>
      <c r="V19" s="1305" t="s">
        <v>5</v>
      </c>
      <c r="W19" s="1306">
        <f>J19</f>
        <v>102</v>
      </c>
      <c r="X19" s="1300"/>
      <c r="Y19" s="3632"/>
      <c r="Z19" s="1307" t="str">
        <f>Q19</f>
        <v>商业繁华度</v>
      </c>
      <c r="AA19" s="1307">
        <f t="shared" si="3"/>
        <v>0.98039215686274506</v>
      </c>
      <c r="AB19" s="1307">
        <f t="shared" si="4"/>
        <v>0.98039215686274506</v>
      </c>
      <c r="AC19" s="1307">
        <f t="shared" si="5"/>
        <v>0.98039215686274506</v>
      </c>
    </row>
    <row r="20" spans="1:29" ht="20.25">
      <c r="A20" s="482"/>
      <c r="B20" s="516"/>
      <c r="C20" s="517" t="s">
        <v>3533</v>
      </c>
      <c r="D20" s="513"/>
      <c r="E20" s="519" t="s">
        <v>3665</v>
      </c>
      <c r="F20" s="509"/>
      <c r="G20" s="519" t="s">
        <v>3665</v>
      </c>
      <c r="H20" s="505"/>
      <c r="I20" s="519" t="s">
        <v>3665</v>
      </c>
      <c r="J20" s="505"/>
      <c r="K20" s="481"/>
      <c r="L20" s="1747"/>
      <c r="M20" s="1738"/>
      <c r="N20" s="1738"/>
      <c r="O20" s="1746"/>
      <c r="P20" s="3632"/>
      <c r="Q20" s="1304"/>
      <c r="R20" s="1305"/>
      <c r="S20" s="1306"/>
      <c r="T20" s="1305"/>
      <c r="U20" s="1306"/>
      <c r="V20" s="1305"/>
      <c r="W20" s="1306"/>
      <c r="X20" s="1300"/>
      <c r="Y20" s="3632"/>
      <c r="Z20" s="1307"/>
      <c r="AA20" s="1307">
        <v>1</v>
      </c>
      <c r="AB20" s="1307">
        <v>1</v>
      </c>
      <c r="AC20" s="1307">
        <v>1</v>
      </c>
    </row>
    <row r="21" spans="1:29" ht="20.25">
      <c r="A21" s="482"/>
      <c r="B21" s="510" t="s">
        <v>489</v>
      </c>
      <c r="C21" s="511">
        <f>估价对象房地状况!C17</f>
        <v>0</v>
      </c>
      <c r="D21" s="521">
        <v>100</v>
      </c>
      <c r="E21" s="522"/>
      <c r="F21" s="515">
        <f>SUMIF(93:93,E22,94:94)-SUMIF(93:93,C22,94:94)+100</f>
        <v>102</v>
      </c>
      <c r="G21" s="520"/>
      <c r="H21" s="509">
        <f>SUMIF(93:93,G22,94:94)-SUMIF(93:93,C22,94:94)+100</f>
        <v>102</v>
      </c>
      <c r="I21" s="522"/>
      <c r="J21" s="509">
        <f>SUMIF(93:93,I22,94:94)-SUMIF(93:93,C22,94:94)+100</f>
        <v>102</v>
      </c>
      <c r="K21" s="485">
        <v>2</v>
      </c>
      <c r="L21" s="1747"/>
      <c r="M21" s="1738"/>
      <c r="N21" s="1738"/>
      <c r="O21" s="1746"/>
      <c r="P21" s="3632"/>
      <c r="Q21" s="1304" t="str">
        <f>B21</f>
        <v>办公集聚程度</v>
      </c>
      <c r="R21" s="1305" t="s">
        <v>5</v>
      </c>
      <c r="S21" s="1306">
        <f>F21</f>
        <v>102</v>
      </c>
      <c r="T21" s="1305" t="s">
        <v>5</v>
      </c>
      <c r="U21" s="1306">
        <f>H21</f>
        <v>102</v>
      </c>
      <c r="V21" s="1305" t="s">
        <v>5</v>
      </c>
      <c r="W21" s="1306">
        <f>J21</f>
        <v>102</v>
      </c>
      <c r="X21" s="1300"/>
      <c r="Y21" s="3632"/>
      <c r="Z21" s="1307" t="str">
        <f>Q21</f>
        <v>办公集聚程度</v>
      </c>
      <c r="AA21" s="1307">
        <f t="shared" si="3"/>
        <v>0.98039215686274506</v>
      </c>
      <c r="AB21" s="1307">
        <f t="shared" si="4"/>
        <v>0.98039215686274506</v>
      </c>
      <c r="AC21" s="1307">
        <f t="shared" si="5"/>
        <v>0.98039215686274506</v>
      </c>
    </row>
    <row r="22" spans="1:29" ht="20.25">
      <c r="A22" s="482"/>
      <c r="B22" s="516"/>
      <c r="C22" s="504" t="s">
        <v>3533</v>
      </c>
      <c r="D22" s="507"/>
      <c r="E22" s="519" t="s">
        <v>3665</v>
      </c>
      <c r="F22" s="505"/>
      <c r="G22" s="519" t="s">
        <v>3665</v>
      </c>
      <c r="H22" s="505"/>
      <c r="I22" s="519" t="s">
        <v>3665</v>
      </c>
      <c r="J22" s="505"/>
      <c r="K22" s="481"/>
      <c r="L22" s="1747"/>
      <c r="M22" s="1738"/>
      <c r="N22" s="1738"/>
      <c r="O22" s="1746"/>
      <c r="P22" s="3632"/>
      <c r="Q22" s="1304"/>
      <c r="R22" s="1305"/>
      <c r="S22" s="1306"/>
      <c r="T22" s="1305"/>
      <c r="U22" s="1306"/>
      <c r="V22" s="1305"/>
      <c r="W22" s="1306"/>
      <c r="X22" s="1300"/>
      <c r="Y22" s="3632"/>
      <c r="Z22" s="1307"/>
      <c r="AA22" s="1307">
        <v>1</v>
      </c>
      <c r="AB22" s="1307">
        <v>1</v>
      </c>
      <c r="AC22" s="1307">
        <v>1</v>
      </c>
    </row>
    <row r="23" spans="1:29" ht="20.25">
      <c r="A23" s="482"/>
      <c r="B23" s="510" t="s">
        <v>490</v>
      </c>
      <c r="C23" s="523">
        <f>估价对象房地状况!C18</f>
        <v>0</v>
      </c>
      <c r="D23" s="513">
        <v>100</v>
      </c>
      <c r="E23" s="514"/>
      <c r="F23" s="515">
        <f>SUMIF(95:95,E24,96:96)-SUMIF(95:95,C24,96:96)+100</f>
        <v>102</v>
      </c>
      <c r="G23" s="512"/>
      <c r="H23" s="509">
        <f>SUMIF(95:95,G24,96:96)-SUMIF(95:95,C24,96:96)+100</f>
        <v>102</v>
      </c>
      <c r="I23" s="514"/>
      <c r="J23" s="509">
        <f>SUMIF(95:95,I24,96:96)-SUMIF(95:95,C24,96:96)+100</f>
        <v>102</v>
      </c>
      <c r="K23" s="485">
        <v>2</v>
      </c>
      <c r="L23" s="1747"/>
      <c r="M23" s="1738"/>
      <c r="N23" s="1738"/>
      <c r="O23" s="1746"/>
      <c r="P23" s="3632"/>
      <c r="Q23" s="1304" t="str">
        <f>B23</f>
        <v>交通便捷度</v>
      </c>
      <c r="R23" s="1305" t="s">
        <v>5</v>
      </c>
      <c r="S23" s="1306">
        <f>F23</f>
        <v>102</v>
      </c>
      <c r="T23" s="1305" t="s">
        <v>5</v>
      </c>
      <c r="U23" s="1306">
        <f>H23</f>
        <v>102</v>
      </c>
      <c r="V23" s="1305" t="s">
        <v>5</v>
      </c>
      <c r="W23" s="1306">
        <f>J23</f>
        <v>102</v>
      </c>
      <c r="X23" s="1300"/>
      <c r="Y23" s="3632"/>
      <c r="Z23" s="1307" t="str">
        <f>Q23</f>
        <v>交通便捷度</v>
      </c>
      <c r="AA23" s="1307">
        <f t="shared" si="3"/>
        <v>0.98039215686274506</v>
      </c>
      <c r="AB23" s="1307">
        <f t="shared" si="4"/>
        <v>0.98039215686274506</v>
      </c>
      <c r="AC23" s="1307">
        <f t="shared" si="5"/>
        <v>0.98039215686274506</v>
      </c>
    </row>
    <row r="24" spans="1:29" ht="20.25">
      <c r="A24" s="482"/>
      <c r="B24" s="528"/>
      <c r="C24" s="504" t="s">
        <v>3533</v>
      </c>
      <c r="D24" s="507"/>
      <c r="E24" s="519" t="s">
        <v>3665</v>
      </c>
      <c r="F24" s="505"/>
      <c r="G24" s="519" t="s">
        <v>3665</v>
      </c>
      <c r="H24" s="505"/>
      <c r="I24" s="519" t="s">
        <v>3665</v>
      </c>
      <c r="J24" s="505"/>
      <c r="K24" s="481"/>
      <c r="L24" s="1747"/>
      <c r="M24" s="1738"/>
      <c r="N24" s="1738"/>
      <c r="O24" s="1746"/>
      <c r="P24" s="3632"/>
      <c r="Q24" s="1304"/>
      <c r="R24" s="1305"/>
      <c r="S24" s="1306"/>
      <c r="T24" s="1305"/>
      <c r="U24" s="1306"/>
      <c r="V24" s="1305"/>
      <c r="W24" s="1306"/>
      <c r="X24" s="1300"/>
      <c r="Y24" s="3632"/>
      <c r="Z24" s="1307"/>
      <c r="AA24" s="1307">
        <v>1</v>
      </c>
      <c r="AB24" s="1307">
        <v>1</v>
      </c>
      <c r="AC24" s="1307">
        <v>1</v>
      </c>
    </row>
    <row r="25" spans="1:29" ht="27">
      <c r="A25" s="466"/>
      <c r="B25" s="239" t="s">
        <v>491</v>
      </c>
      <c r="C25" s="523">
        <f>估价对象房地状况!C19</f>
        <v>0</v>
      </c>
      <c r="D25" s="513">
        <v>100</v>
      </c>
      <c r="E25" s="514"/>
      <c r="F25" s="515">
        <f>SUMIF(97:97,E26,98:98)-SUMIF(97:97,C26,98:98)+100</f>
        <v>102</v>
      </c>
      <c r="G25" s="512"/>
      <c r="H25" s="509">
        <f>SUMIF(97:97,G26,98:98)-SUMIF(97:97,C26,98:98)+100</f>
        <v>102</v>
      </c>
      <c r="I25" s="514"/>
      <c r="J25" s="509">
        <f>SUMIF(97:97,I26,98:98)-SUMIF(97:97,C26,98:98)+100</f>
        <v>102</v>
      </c>
      <c r="K25" s="485">
        <v>2</v>
      </c>
      <c r="L25" s="1747"/>
      <c r="M25" s="1738"/>
      <c r="N25" s="1738"/>
      <c r="O25" s="1746"/>
      <c r="P25" s="3632"/>
      <c r="Q25" s="1304" t="str">
        <f t="shared" ref="Q25:Q39" si="8">B25</f>
        <v>区域土地利用方向</v>
      </c>
      <c r="R25" s="1305" t="s">
        <v>5</v>
      </c>
      <c r="S25" s="1306">
        <f>F25</f>
        <v>102</v>
      </c>
      <c r="T25" s="1305" t="s">
        <v>5</v>
      </c>
      <c r="U25" s="1306">
        <f>H25</f>
        <v>102</v>
      </c>
      <c r="V25" s="1305" t="s">
        <v>5</v>
      </c>
      <c r="W25" s="1306">
        <f>J25</f>
        <v>102</v>
      </c>
      <c r="X25" s="1300"/>
      <c r="Y25" s="3632"/>
      <c r="Z25" s="1307" t="str">
        <f>Q25</f>
        <v>区域土地利用方向</v>
      </c>
      <c r="AA25" s="1307">
        <f t="shared" si="3"/>
        <v>0.98039215686274506</v>
      </c>
      <c r="AB25" s="1307">
        <f t="shared" si="4"/>
        <v>0.98039215686274506</v>
      </c>
      <c r="AC25" s="1307">
        <f t="shared" si="5"/>
        <v>0.98039215686274506</v>
      </c>
    </row>
    <row r="26" spans="1:29" ht="20.25">
      <c r="A26" s="466"/>
      <c r="B26" s="916"/>
      <c r="C26" s="504" t="s">
        <v>3533</v>
      </c>
      <c r="D26" s="507"/>
      <c r="E26" s="519" t="s">
        <v>3665</v>
      </c>
      <c r="F26" s="505"/>
      <c r="G26" s="519" t="s">
        <v>3665</v>
      </c>
      <c r="H26" s="505"/>
      <c r="I26" s="519" t="s">
        <v>3665</v>
      </c>
      <c r="J26" s="505"/>
      <c r="K26" s="481"/>
      <c r="L26" s="1747"/>
      <c r="M26" s="1738"/>
      <c r="N26" s="1738"/>
      <c r="O26" s="1746"/>
      <c r="P26" s="3632"/>
      <c r="Q26" s="1304"/>
      <c r="R26" s="1305"/>
      <c r="S26" s="1306"/>
      <c r="T26" s="1305"/>
      <c r="U26" s="1306"/>
      <c r="V26" s="1305"/>
      <c r="W26" s="1306"/>
      <c r="X26" s="1300"/>
      <c r="Y26" s="3632"/>
      <c r="Z26" s="1307"/>
      <c r="AA26" s="1307"/>
      <c r="AB26" s="1307"/>
      <c r="AC26" s="1307"/>
    </row>
    <row r="27" spans="1:29" ht="27">
      <c r="A27" s="466"/>
      <c r="B27" s="528" t="s">
        <v>492</v>
      </c>
      <c r="C27" s="511">
        <f>估价对象房地状况!C20</f>
        <v>0</v>
      </c>
      <c r="D27" s="513">
        <v>100</v>
      </c>
      <c r="E27" s="514"/>
      <c r="F27" s="509">
        <f>SUMIF(99:99,E28,100:100)-SUMIF(99:99,C28,100:100)+100</f>
        <v>102</v>
      </c>
      <c r="G27" s="512"/>
      <c r="H27" s="509">
        <f>SUMIF(99:99,G28,100:100)-SUMIF(99:99,C28,100:100)+100</f>
        <v>104</v>
      </c>
      <c r="I27" s="514"/>
      <c r="J27" s="509">
        <f>SUMIF(99:99,I28,100:100)-SUMIF(99:99,C28,100:100)+100</f>
        <v>104</v>
      </c>
      <c r="K27" s="485">
        <v>2</v>
      </c>
      <c r="L27" s="1747"/>
      <c r="M27" s="1738"/>
      <c r="N27" s="1738"/>
      <c r="O27" s="1746"/>
      <c r="P27" s="3632"/>
      <c r="Q27" s="1304" t="str">
        <f t="shared" si="8"/>
        <v>自然及人文环境状况</v>
      </c>
      <c r="R27" s="1305" t="s">
        <v>5</v>
      </c>
      <c r="S27" s="1306">
        <f>F27</f>
        <v>102</v>
      </c>
      <c r="T27" s="1305" t="s">
        <v>5</v>
      </c>
      <c r="U27" s="1306">
        <f>H27</f>
        <v>104</v>
      </c>
      <c r="V27" s="1305" t="s">
        <v>5</v>
      </c>
      <c r="W27" s="1306">
        <f>J27</f>
        <v>104</v>
      </c>
      <c r="X27" s="1300"/>
      <c r="Y27" s="3632"/>
      <c r="Z27" s="1307" t="str">
        <f>Q27</f>
        <v>自然及人文环境状况</v>
      </c>
      <c r="AA27" s="1307">
        <f t="shared" si="3"/>
        <v>0.98039215686274506</v>
      </c>
      <c r="AB27" s="1307">
        <f t="shared" si="4"/>
        <v>0.96153846153846156</v>
      </c>
      <c r="AC27" s="1307">
        <f t="shared" si="5"/>
        <v>0.96153846153846156</v>
      </c>
    </row>
    <row r="28" spans="1:29" ht="20.25">
      <c r="A28" s="466"/>
      <c r="B28" s="516"/>
      <c r="C28" s="504" t="s">
        <v>3533</v>
      </c>
      <c r="D28" s="507"/>
      <c r="E28" s="519" t="s">
        <v>3665</v>
      </c>
      <c r="F28" s="505"/>
      <c r="G28" s="519" t="s">
        <v>3535</v>
      </c>
      <c r="H28" s="505"/>
      <c r="I28" s="519" t="s">
        <v>3535</v>
      </c>
      <c r="J28" s="505"/>
      <c r="K28" s="481"/>
      <c r="L28" s="1747"/>
      <c r="M28" s="1738"/>
      <c r="N28" s="1738"/>
      <c r="O28" s="1746"/>
      <c r="P28" s="3632"/>
      <c r="Q28" s="1304"/>
      <c r="R28" s="1305"/>
      <c r="S28" s="1306"/>
      <c r="T28" s="1305"/>
      <c r="U28" s="1306"/>
      <c r="V28" s="1305"/>
      <c r="W28" s="1306"/>
      <c r="X28" s="1300"/>
      <c r="Y28" s="3632"/>
      <c r="Z28" s="1307"/>
      <c r="AA28" s="1307">
        <v>1</v>
      </c>
      <c r="AB28" s="1307">
        <v>1</v>
      </c>
      <c r="AC28" s="1307">
        <v>1</v>
      </c>
    </row>
    <row r="29" spans="1:29" s="1057" customFormat="1" ht="20.25">
      <c r="A29" s="527"/>
      <c r="B29" s="2048" t="s">
        <v>1829</v>
      </c>
      <c r="C29" s="523">
        <f>估价对象房地状况!C21</f>
        <v>0</v>
      </c>
      <c r="D29" s="513">
        <v>100</v>
      </c>
      <c r="E29" s="514"/>
      <c r="F29" s="509">
        <f>SUMIF(101:101,E30,102:102)-SUMIF(101:101,C30,102:102)+100</f>
        <v>102</v>
      </c>
      <c r="G29" s="512"/>
      <c r="H29" s="509">
        <f>SUMIF(101:101,G30,102:102)-SUMIF(101:101,C30,102:102)+100</f>
        <v>104</v>
      </c>
      <c r="I29" s="514"/>
      <c r="J29" s="509">
        <f>SUMIF(101:101,I30,102:102)-SUMIF(101:101,C30,102:102)+100</f>
        <v>104</v>
      </c>
      <c r="K29" s="485">
        <v>2</v>
      </c>
      <c r="L29" s="1741"/>
      <c r="M29" s="1738"/>
      <c r="N29" s="1738"/>
      <c r="O29" s="1742"/>
      <c r="P29" s="3632"/>
      <c r="Q29" s="817" t="str">
        <f t="shared" si="8"/>
        <v>公共配套设施</v>
      </c>
      <c r="R29" s="1301" t="s">
        <v>5</v>
      </c>
      <c r="S29" s="1302">
        <f>F29</f>
        <v>102</v>
      </c>
      <c r="T29" s="1301" t="s">
        <v>5</v>
      </c>
      <c r="U29" s="1302">
        <f>H29</f>
        <v>104</v>
      </c>
      <c r="V29" s="1301" t="s">
        <v>5</v>
      </c>
      <c r="W29" s="1302">
        <f>J29</f>
        <v>104</v>
      </c>
      <c r="X29" s="1303"/>
      <c r="Y29" s="3632"/>
      <c r="Z29" s="994" t="str">
        <f>Q29</f>
        <v>公共配套设施</v>
      </c>
      <c r="AA29" s="1307">
        <f>D29/F29</f>
        <v>0.98039215686274506</v>
      </c>
      <c r="AB29" s="1307">
        <f>D29/H29</f>
        <v>0.96153846153846156</v>
      </c>
      <c r="AC29" s="1307">
        <f>D29/J29</f>
        <v>0.96153846153846156</v>
      </c>
    </row>
    <row r="30" spans="1:29" s="1057" customFormat="1" ht="20.25">
      <c r="A30" s="527"/>
      <c r="B30" s="516"/>
      <c r="C30" s="529" t="s">
        <v>3533</v>
      </c>
      <c r="D30" s="507"/>
      <c r="E30" s="519" t="s">
        <v>3665</v>
      </c>
      <c r="F30" s="505"/>
      <c r="G30" s="519" t="s">
        <v>3535</v>
      </c>
      <c r="H30" s="505"/>
      <c r="I30" s="519" t="s">
        <v>3535</v>
      </c>
      <c r="J30" s="505"/>
      <c r="K30" s="481"/>
      <c r="L30" s="1741"/>
      <c r="M30" s="1738"/>
      <c r="N30" s="1738"/>
      <c r="O30" s="1742"/>
      <c r="P30" s="3632"/>
      <c r="Q30" s="817"/>
      <c r="R30" s="1301"/>
      <c r="S30" s="1302"/>
      <c r="T30" s="1301"/>
      <c r="U30" s="1302"/>
      <c r="V30" s="1301"/>
      <c r="W30" s="1302"/>
      <c r="X30" s="1303"/>
      <c r="Y30" s="3632"/>
      <c r="Z30" s="994"/>
      <c r="AA30" s="1307">
        <v>1</v>
      </c>
      <c r="AB30" s="1307">
        <v>1</v>
      </c>
      <c r="AC30" s="1307">
        <v>1</v>
      </c>
    </row>
    <row r="31" spans="1:29" s="1057" customFormat="1" ht="20.25">
      <c r="A31" s="527"/>
      <c r="B31" s="2048" t="s">
        <v>1830</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1"/>
      <c r="M31" s="1738"/>
      <c r="N31" s="1738"/>
      <c r="O31" s="1742"/>
      <c r="P31" s="3632"/>
      <c r="Q31" s="817" t="str">
        <f>B31</f>
        <v>基础设施水平</v>
      </c>
      <c r="R31" s="1301" t="s">
        <v>5</v>
      </c>
      <c r="S31" s="1302">
        <f>F31</f>
        <v>100</v>
      </c>
      <c r="T31" s="1301" t="s">
        <v>5</v>
      </c>
      <c r="U31" s="1302">
        <f>H31</f>
        <v>100</v>
      </c>
      <c r="V31" s="1301" t="s">
        <v>5</v>
      </c>
      <c r="W31" s="1302">
        <f>J31</f>
        <v>100</v>
      </c>
      <c r="X31" s="1303"/>
      <c r="Y31" s="3632"/>
      <c r="Z31" s="994" t="str">
        <f>Q31</f>
        <v>基础设施水平</v>
      </c>
      <c r="AA31" s="1307">
        <f>D31/F31</f>
        <v>1</v>
      </c>
      <c r="AB31" s="1307">
        <f>D31/H31</f>
        <v>1</v>
      </c>
      <c r="AC31" s="1307">
        <f>D31/J31</f>
        <v>1</v>
      </c>
    </row>
    <row r="32" spans="1:29" s="1057" customFormat="1" ht="21" thickBot="1">
      <c r="A32" s="527"/>
      <c r="B32" s="516"/>
      <c r="C32" s="529" t="s">
        <v>3534</v>
      </c>
      <c r="D32" s="507"/>
      <c r="E32" s="529" t="s">
        <v>3534</v>
      </c>
      <c r="F32" s="505"/>
      <c r="G32" s="529" t="s">
        <v>3534</v>
      </c>
      <c r="H32" s="505"/>
      <c r="I32" s="529" t="s">
        <v>3534</v>
      </c>
      <c r="J32" s="505"/>
      <c r="K32" s="481"/>
      <c r="L32" s="1741"/>
      <c r="M32" s="1738"/>
      <c r="N32" s="1738"/>
      <c r="O32" s="1742"/>
      <c r="P32" s="3632"/>
      <c r="Q32" s="817"/>
      <c r="R32" s="1301"/>
      <c r="S32" s="1302"/>
      <c r="T32" s="1301"/>
      <c r="U32" s="1302"/>
      <c r="V32" s="1301"/>
      <c r="W32" s="1302"/>
      <c r="X32" s="1303"/>
      <c r="Y32" s="3632"/>
      <c r="Z32" s="994"/>
      <c r="AA32" s="1307">
        <v>1</v>
      </c>
      <c r="AB32" s="1307">
        <v>1</v>
      </c>
      <c r="AC32" s="1307">
        <v>1</v>
      </c>
    </row>
    <row r="33" spans="1:29" ht="20.25" hidden="1">
      <c r="A33" s="482"/>
      <c r="B33" s="516" t="s">
        <v>494</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7"/>
      <c r="M33" s="1738"/>
      <c r="N33" s="1738"/>
      <c r="O33" s="1746"/>
      <c r="P33" s="3632"/>
      <c r="Q33" s="1304" t="str">
        <f t="shared" si="8"/>
        <v>临街状况</v>
      </c>
      <c r="R33" s="1305" t="s">
        <v>5</v>
      </c>
      <c r="S33" s="1306">
        <f t="shared" ref="S33:S47" si="9">F33</f>
        <v>100</v>
      </c>
      <c r="T33" s="1305" t="s">
        <v>5</v>
      </c>
      <c r="U33" s="1306">
        <f t="shared" ref="U33:U47" si="10">H33</f>
        <v>100</v>
      </c>
      <c r="V33" s="1305" t="s">
        <v>5</v>
      </c>
      <c r="W33" s="1306">
        <f t="shared" ref="W33:W47" si="11">J33</f>
        <v>100</v>
      </c>
      <c r="X33" s="1300"/>
      <c r="Y33" s="3632"/>
      <c r="Z33" s="1307" t="str">
        <f t="shared" ref="Z33:Z47" si="12">Q33</f>
        <v>临街状况</v>
      </c>
      <c r="AA33" s="1307">
        <f t="shared" si="3"/>
        <v>1</v>
      </c>
      <c r="AB33" s="1307">
        <f t="shared" si="4"/>
        <v>1</v>
      </c>
      <c r="AC33" s="1307">
        <f t="shared" si="5"/>
        <v>1</v>
      </c>
    </row>
    <row r="34" spans="1:29" ht="27" hidden="1">
      <c r="A34" s="482"/>
      <c r="B34" s="528" t="s">
        <v>495</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7"/>
      <c r="M34" s="1738"/>
      <c r="N34" s="1738"/>
      <c r="O34" s="1746"/>
      <c r="P34" s="3632"/>
      <c r="Q34" s="1304" t="str">
        <f t="shared" si="8"/>
        <v>毗邻道路的类型与等级</v>
      </c>
      <c r="R34" s="1305" t="s">
        <v>5</v>
      </c>
      <c r="S34" s="1306">
        <f t="shared" si="9"/>
        <v>100</v>
      </c>
      <c r="T34" s="1305" t="s">
        <v>5</v>
      </c>
      <c r="U34" s="1306">
        <f t="shared" si="10"/>
        <v>100</v>
      </c>
      <c r="V34" s="1305" t="s">
        <v>5</v>
      </c>
      <c r="W34" s="1306">
        <f t="shared" si="11"/>
        <v>100</v>
      </c>
      <c r="X34" s="1300"/>
      <c r="Y34" s="3632"/>
      <c r="Z34" s="1307" t="str">
        <f t="shared" si="12"/>
        <v>毗邻道路的类型与等级</v>
      </c>
      <c r="AA34" s="1307">
        <f t="shared" si="3"/>
        <v>1</v>
      </c>
      <c r="AB34" s="1307">
        <f t="shared" si="4"/>
        <v>1</v>
      </c>
      <c r="AC34" s="1307">
        <f t="shared" si="5"/>
        <v>1</v>
      </c>
    </row>
    <row r="35" spans="1:29" ht="20.25" hidden="1">
      <c r="A35" s="482"/>
      <c r="B35" s="516"/>
      <c r="C35" s="504"/>
      <c r="D35" s="507"/>
      <c r="E35" s="526"/>
      <c r="F35" s="505"/>
      <c r="G35" s="504"/>
      <c r="H35" s="505"/>
      <c r="I35" s="526"/>
      <c r="J35" s="505"/>
      <c r="K35" s="531"/>
      <c r="L35" s="1747"/>
      <c r="M35" s="1738"/>
      <c r="N35" s="1738"/>
      <c r="O35" s="1746"/>
      <c r="P35" s="3632"/>
      <c r="Q35" s="1304"/>
      <c r="R35" s="1305"/>
      <c r="S35" s="1306"/>
      <c r="T35" s="1305"/>
      <c r="U35" s="1306"/>
      <c r="V35" s="1305"/>
      <c r="W35" s="1306"/>
      <c r="X35" s="1300"/>
      <c r="Y35" s="3632"/>
      <c r="Z35" s="1307"/>
      <c r="AA35" s="1307">
        <v>1</v>
      </c>
      <c r="AB35" s="1307">
        <v>1</v>
      </c>
      <c r="AC35" s="1307">
        <v>1</v>
      </c>
    </row>
    <row r="36" spans="1:29" ht="20.25" hidden="1">
      <c r="A36" s="482"/>
      <c r="B36" s="235" t="s">
        <v>496</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7"/>
      <c r="M36" s="1738"/>
      <c r="N36" s="1738"/>
      <c r="O36" s="1746"/>
      <c r="P36" s="3632"/>
      <c r="Q36" s="1304" t="str">
        <f t="shared" si="8"/>
        <v>土地级别</v>
      </c>
      <c r="R36" s="1305" t="s">
        <v>5</v>
      </c>
      <c r="S36" s="1306">
        <f t="shared" si="9"/>
        <v>100</v>
      </c>
      <c r="T36" s="1305" t="s">
        <v>5</v>
      </c>
      <c r="U36" s="1306">
        <f t="shared" si="10"/>
        <v>100</v>
      </c>
      <c r="V36" s="1305" t="s">
        <v>5</v>
      </c>
      <c r="W36" s="1306">
        <f t="shared" si="11"/>
        <v>100</v>
      </c>
      <c r="X36" s="1300"/>
      <c r="Y36" s="3632"/>
      <c r="Z36" s="1307" t="str">
        <f t="shared" si="12"/>
        <v>土地级别</v>
      </c>
      <c r="AA36" s="1307">
        <f t="shared" si="3"/>
        <v>1</v>
      </c>
      <c r="AB36" s="1307">
        <f t="shared" si="4"/>
        <v>1</v>
      </c>
      <c r="AC36" s="1307">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7"/>
      <c r="M37" s="1738"/>
      <c r="N37" s="1738"/>
      <c r="O37" s="1746"/>
      <c r="P37" s="3632"/>
      <c r="Q37" s="1304">
        <f t="shared" si="8"/>
        <v>111</v>
      </c>
      <c r="R37" s="1305" t="s">
        <v>5</v>
      </c>
      <c r="S37" s="1306">
        <f t="shared" si="9"/>
        <v>100</v>
      </c>
      <c r="T37" s="1305" t="s">
        <v>5</v>
      </c>
      <c r="U37" s="1306">
        <f t="shared" si="10"/>
        <v>100</v>
      </c>
      <c r="V37" s="1305" t="s">
        <v>5</v>
      </c>
      <c r="W37" s="1306">
        <f t="shared" si="11"/>
        <v>100</v>
      </c>
      <c r="X37" s="1300"/>
      <c r="Y37" s="3632"/>
      <c r="Z37" s="1307">
        <f t="shared" si="12"/>
        <v>111</v>
      </c>
      <c r="AA37" s="1307">
        <f t="shared" si="3"/>
        <v>1</v>
      </c>
      <c r="AB37" s="1307">
        <f t="shared" si="4"/>
        <v>1</v>
      </c>
      <c r="AC37" s="1307">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7"/>
      <c r="M38" s="1738"/>
      <c r="N38" s="1738"/>
      <c r="O38" s="1746"/>
      <c r="P38" s="3633" t="s">
        <v>497</v>
      </c>
      <c r="Q38" s="1304">
        <f t="shared" si="8"/>
        <v>111</v>
      </c>
      <c r="R38" s="1305" t="s">
        <v>5</v>
      </c>
      <c r="S38" s="1306">
        <f t="shared" si="9"/>
        <v>100</v>
      </c>
      <c r="T38" s="1305" t="s">
        <v>5</v>
      </c>
      <c r="U38" s="1306">
        <f t="shared" si="10"/>
        <v>100</v>
      </c>
      <c r="V38" s="1305" t="s">
        <v>5</v>
      </c>
      <c r="W38" s="1306">
        <f t="shared" si="11"/>
        <v>100</v>
      </c>
      <c r="X38" s="1300"/>
      <c r="Y38" s="3634" t="s">
        <v>497</v>
      </c>
      <c r="Z38" s="1307">
        <f t="shared" si="12"/>
        <v>111</v>
      </c>
      <c r="AA38" s="1307">
        <f t="shared" si="3"/>
        <v>1</v>
      </c>
      <c r="AB38" s="1307">
        <f t="shared" si="4"/>
        <v>1</v>
      </c>
      <c r="AC38" s="1307">
        <f t="shared" si="5"/>
        <v>1</v>
      </c>
    </row>
    <row r="39" spans="1:29" s="1131"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5"/>
      <c r="M39" s="1738"/>
      <c r="N39" s="1738"/>
      <c r="O39" s="1748"/>
      <c r="P39" s="3634"/>
      <c r="Q39" s="1304">
        <f t="shared" si="8"/>
        <v>111</v>
      </c>
      <c r="R39" s="1308" t="s">
        <v>5</v>
      </c>
      <c r="S39" s="1309">
        <f t="shared" si="9"/>
        <v>100</v>
      </c>
      <c r="T39" s="1308" t="s">
        <v>5</v>
      </c>
      <c r="U39" s="1309">
        <f t="shared" si="10"/>
        <v>100</v>
      </c>
      <c r="V39" s="1308" t="s">
        <v>5</v>
      </c>
      <c r="W39" s="1309">
        <f t="shared" si="11"/>
        <v>100</v>
      </c>
      <c r="X39" s="1310"/>
      <c r="Y39" s="3634"/>
      <c r="Z39" s="1311">
        <f t="shared" si="12"/>
        <v>111</v>
      </c>
      <c r="AA39" s="1307">
        <f t="shared" si="3"/>
        <v>1</v>
      </c>
      <c r="AB39" s="1307">
        <f t="shared" si="4"/>
        <v>1</v>
      </c>
      <c r="AC39" s="1307">
        <f t="shared" si="5"/>
        <v>1</v>
      </c>
    </row>
    <row r="40" spans="1:29" ht="20.25">
      <c r="A40" s="2202" t="s">
        <v>2035</v>
      </c>
      <c r="B40" s="544" t="s">
        <v>499</v>
      </c>
      <c r="C40" s="545">
        <f>'数据-汇总表'!D3</f>
        <v>16985.07</v>
      </c>
      <c r="D40" s="546">
        <v>100</v>
      </c>
      <c r="E40" s="545">
        <f>土地案例!E3</f>
        <v>5003.41</v>
      </c>
      <c r="F40" s="546">
        <f>LOOKUP(E40,118:118,119:119)-LOOKUP(C40,118:118,119:119)+100</f>
        <v>100</v>
      </c>
      <c r="G40" s="545">
        <f>土地案例!E8</f>
        <v>44984.82</v>
      </c>
      <c r="H40" s="546">
        <f>LOOKUP(G40,118:118,119:119)-LOOKUP(C40,118:118,119:119)+100</f>
        <v>101</v>
      </c>
      <c r="I40" s="547">
        <f>土地案例!E9</f>
        <v>35687.980000000003</v>
      </c>
      <c r="J40" s="546">
        <f>LOOKUP(I40,118:118,119:119)-LOOKUP(C40,118:118,119:119)+100</f>
        <v>101</v>
      </c>
      <c r="K40" s="531"/>
      <c r="L40" s="1747"/>
      <c r="M40" s="1738"/>
      <c r="N40" s="1738"/>
      <c r="O40" s="1746"/>
      <c r="P40" s="3634"/>
      <c r="Q40" s="1304" t="str">
        <f>B40</f>
        <v>宗地面积</v>
      </c>
      <c r="R40" s="1305" t="s">
        <v>5</v>
      </c>
      <c r="S40" s="1306">
        <f t="shared" si="9"/>
        <v>100</v>
      </c>
      <c r="T40" s="1305" t="s">
        <v>5</v>
      </c>
      <c r="U40" s="1306">
        <f t="shared" si="10"/>
        <v>101</v>
      </c>
      <c r="V40" s="1305" t="s">
        <v>5</v>
      </c>
      <c r="W40" s="1306">
        <f t="shared" si="11"/>
        <v>101</v>
      </c>
      <c r="X40" s="1300"/>
      <c r="Y40" s="3634"/>
      <c r="Z40" s="1307" t="str">
        <f t="shared" si="12"/>
        <v>宗地面积</v>
      </c>
      <c r="AA40" s="1307">
        <f t="shared" si="3"/>
        <v>1</v>
      </c>
      <c r="AB40" s="1307">
        <f t="shared" si="4"/>
        <v>0.99009900990099009</v>
      </c>
      <c r="AC40" s="1307">
        <f t="shared" si="5"/>
        <v>0.99009900990099009</v>
      </c>
    </row>
    <row r="41" spans="1:29" ht="20.25">
      <c r="A41" s="543"/>
      <c r="B41" s="477" t="s">
        <v>500</v>
      </c>
      <c r="C41" s="548" t="s">
        <v>3541</v>
      </c>
      <c r="D41" s="490">
        <v>100</v>
      </c>
      <c r="E41" s="548" t="s">
        <v>3541</v>
      </c>
      <c r="F41" s="490">
        <f>SUMIF(120:120,E41,121:121)-SUMIF(120:120,C41,121:121)+100</f>
        <v>100</v>
      </c>
      <c r="G41" s="548" t="s">
        <v>3541</v>
      </c>
      <c r="H41" s="490">
        <f>SUMIF(120:120,G41,121:121)-SUMIF(120:120,C41,121:121)+100</f>
        <v>100</v>
      </c>
      <c r="I41" s="548" t="s">
        <v>3541</v>
      </c>
      <c r="J41" s="490">
        <f>SUMIF(120:120,I41,121:121)-SUMIF(120:120,C41,121:121)+100</f>
        <v>100</v>
      </c>
      <c r="K41" s="533">
        <v>1</v>
      </c>
      <c r="L41" s="1747"/>
      <c r="M41" s="1738"/>
      <c r="N41" s="1738"/>
      <c r="O41" s="1746"/>
      <c r="P41" s="3634"/>
      <c r="Q41" s="1304" t="str">
        <f t="shared" ref="Q41:Q47" si="13">B41</f>
        <v>宗地形状</v>
      </c>
      <c r="R41" s="1305" t="s">
        <v>5</v>
      </c>
      <c r="S41" s="1306">
        <f t="shared" si="9"/>
        <v>100</v>
      </c>
      <c r="T41" s="1305" t="s">
        <v>5</v>
      </c>
      <c r="U41" s="1306">
        <f t="shared" si="10"/>
        <v>100</v>
      </c>
      <c r="V41" s="1305" t="s">
        <v>5</v>
      </c>
      <c r="W41" s="1306">
        <f t="shared" si="11"/>
        <v>100</v>
      </c>
      <c r="X41" s="1300"/>
      <c r="Y41" s="3634"/>
      <c r="Z41" s="1307" t="str">
        <f t="shared" si="12"/>
        <v>宗地形状</v>
      </c>
      <c r="AA41" s="1307">
        <f t="shared" si="3"/>
        <v>1</v>
      </c>
      <c r="AB41" s="1307">
        <f t="shared" si="4"/>
        <v>1</v>
      </c>
      <c r="AC41" s="1307">
        <f t="shared" si="5"/>
        <v>1</v>
      </c>
    </row>
    <row r="42" spans="1:29" ht="20.25">
      <c r="A42" s="543"/>
      <c r="B42" s="477" t="s">
        <v>501</v>
      </c>
      <c r="C42" s="548" t="s">
        <v>3542</v>
      </c>
      <c r="D42" s="490">
        <v>100</v>
      </c>
      <c r="E42" s="548" t="s">
        <v>3542</v>
      </c>
      <c r="F42" s="490">
        <f>SUMIF(122:122,E42,123:123)-SUMIF(122:122,C42,123:123)+100</f>
        <v>100</v>
      </c>
      <c r="G42" s="548" t="s">
        <v>3542</v>
      </c>
      <c r="H42" s="490">
        <f>SUMIF(122:122,G42,123:123)-SUMIF(122:122,C42,123:123)+100</f>
        <v>100</v>
      </c>
      <c r="I42" s="548" t="s">
        <v>3542</v>
      </c>
      <c r="J42" s="490">
        <f>SUMIF(122:122,I42,123:123)-SUMIF(122:122,C42,123:123)+100</f>
        <v>100</v>
      </c>
      <c r="K42" s="533">
        <v>1</v>
      </c>
      <c r="L42" s="1747"/>
      <c r="M42" s="1738"/>
      <c r="N42" s="1738"/>
      <c r="O42" s="1746"/>
      <c r="P42" s="3634"/>
      <c r="Q42" s="1304" t="str">
        <f t="shared" si="13"/>
        <v>临街宽度及深度</v>
      </c>
      <c r="R42" s="1305" t="s">
        <v>5</v>
      </c>
      <c r="S42" s="1306">
        <f t="shared" si="9"/>
        <v>100</v>
      </c>
      <c r="T42" s="1305" t="s">
        <v>5</v>
      </c>
      <c r="U42" s="1306">
        <f t="shared" si="10"/>
        <v>100</v>
      </c>
      <c r="V42" s="1305" t="s">
        <v>5</v>
      </c>
      <c r="W42" s="1306">
        <f t="shared" si="11"/>
        <v>100</v>
      </c>
      <c r="X42" s="1300"/>
      <c r="Y42" s="3634"/>
      <c r="Z42" s="1307" t="str">
        <f t="shared" si="12"/>
        <v>临街宽度及深度</v>
      </c>
      <c r="AA42" s="1307">
        <f t="shared" si="3"/>
        <v>1</v>
      </c>
      <c r="AB42" s="1307">
        <f t="shared" si="4"/>
        <v>1</v>
      </c>
      <c r="AC42" s="1307">
        <f t="shared" si="5"/>
        <v>1</v>
      </c>
    </row>
    <row r="43" spans="1:29" s="1057" customFormat="1" ht="20.25">
      <c r="A43" s="549"/>
      <c r="B43" s="1552" t="s">
        <v>1774</v>
      </c>
      <c r="C43" s="550" t="s">
        <v>3676</v>
      </c>
      <c r="D43" s="235">
        <v>100</v>
      </c>
      <c r="E43" s="550" t="s">
        <v>3674</v>
      </c>
      <c r="F43" s="490">
        <f>SUMIF(124:124,E43,125:125)-SUMIF(124:124,C43,125:125)+100</f>
        <v>102</v>
      </c>
      <c r="G43" s="550" t="s">
        <v>3674</v>
      </c>
      <c r="H43" s="490">
        <f>SUMIF(124:124,G43,125:125)-SUMIF(124:124,C43,125:125)+100</f>
        <v>102</v>
      </c>
      <c r="I43" s="550" t="s">
        <v>3674</v>
      </c>
      <c r="J43" s="490">
        <f>SUMIF(124:124,I43,125:125)-SUMIF(124:124,C43,125:125)+100</f>
        <v>102</v>
      </c>
      <c r="K43" s="533">
        <v>1</v>
      </c>
      <c r="L43" s="1741"/>
      <c r="M43" s="1738"/>
      <c r="N43" s="1738"/>
      <c r="O43" s="1742"/>
      <c r="P43" s="3634"/>
      <c r="Q43" s="1304" t="str">
        <f t="shared" si="13"/>
        <v>宗地开发程度</v>
      </c>
      <c r="R43" s="1301" t="s">
        <v>5</v>
      </c>
      <c r="S43" s="1302">
        <f t="shared" si="9"/>
        <v>102</v>
      </c>
      <c r="T43" s="1301" t="s">
        <v>5</v>
      </c>
      <c r="U43" s="1302">
        <f t="shared" si="10"/>
        <v>102</v>
      </c>
      <c r="V43" s="1301" t="s">
        <v>5</v>
      </c>
      <c r="W43" s="1302">
        <f t="shared" si="11"/>
        <v>102</v>
      </c>
      <c r="X43" s="1303"/>
      <c r="Y43" s="3634"/>
      <c r="Z43" s="994" t="str">
        <f t="shared" si="12"/>
        <v>宗地开发程度</v>
      </c>
      <c r="AA43" s="994">
        <f t="shared" si="3"/>
        <v>0.98039215686274506</v>
      </c>
      <c r="AB43" s="994">
        <f t="shared" si="4"/>
        <v>0.98039215686274506</v>
      </c>
      <c r="AC43" s="994">
        <f t="shared" si="5"/>
        <v>0.98039215686274506</v>
      </c>
    </row>
    <row r="44" spans="1:29" ht="21" thickBot="1">
      <c r="A44" s="543"/>
      <c r="B44" s="477" t="s">
        <v>502</v>
      </c>
      <c r="C44" s="548" t="s">
        <v>3535</v>
      </c>
      <c r="D44" s="490">
        <v>100</v>
      </c>
      <c r="E44" s="548" t="s">
        <v>3535</v>
      </c>
      <c r="F44" s="490">
        <f>SUMIF(126:126,E44,127:127)-SUMIF(126:126,C44,127:127)+100</f>
        <v>100</v>
      </c>
      <c r="G44" s="548" t="s">
        <v>3535</v>
      </c>
      <c r="H44" s="490">
        <f>SUMIF(126:126,G44,127:127)-SUMIF(126:126,C44,127:127)+100</f>
        <v>100</v>
      </c>
      <c r="I44" s="548" t="s">
        <v>3535</v>
      </c>
      <c r="J44" s="490">
        <f>SUMIF(126:126,I44,127:127)-SUMIF(126:126,C44,127:127)+100</f>
        <v>100</v>
      </c>
      <c r="K44" s="533">
        <v>1</v>
      </c>
      <c r="L44" s="1747"/>
      <c r="M44" s="1738"/>
      <c r="N44" s="1738"/>
      <c r="O44" s="1746"/>
      <c r="P44" s="3634" t="s">
        <v>497</v>
      </c>
      <c r="Q44" s="1304" t="str">
        <f t="shared" si="13"/>
        <v>工程地质条件</v>
      </c>
      <c r="R44" s="1305" t="s">
        <v>5</v>
      </c>
      <c r="S44" s="1306">
        <f t="shared" si="9"/>
        <v>100</v>
      </c>
      <c r="T44" s="1305" t="s">
        <v>5</v>
      </c>
      <c r="U44" s="1306">
        <f t="shared" si="10"/>
        <v>100</v>
      </c>
      <c r="V44" s="1305" t="s">
        <v>5</v>
      </c>
      <c r="W44" s="1306">
        <f t="shared" si="11"/>
        <v>100</v>
      </c>
      <c r="X44" s="1300"/>
      <c r="Y44" s="3634" t="s">
        <v>497</v>
      </c>
      <c r="Z44" s="1307" t="str">
        <f t="shared" si="12"/>
        <v>工程地质条件</v>
      </c>
      <c r="AA44" s="1307">
        <f t="shared" si="3"/>
        <v>1</v>
      </c>
      <c r="AB44" s="1307">
        <f t="shared" si="4"/>
        <v>1</v>
      </c>
      <c r="AC44" s="1307">
        <f t="shared" si="5"/>
        <v>1</v>
      </c>
    </row>
    <row r="45" spans="1:29" ht="20.25" hidden="1">
      <c r="A45" s="543"/>
      <c r="B45" s="3408"/>
      <c r="C45" s="3409"/>
      <c r="D45" s="490">
        <v>100</v>
      </c>
      <c r="E45" s="3409"/>
      <c r="F45" s="490">
        <f>SUMIF(128:128,E45,129:129)-SUMIF(128:128,C45,129:129)+100</f>
        <v>100</v>
      </c>
      <c r="G45" s="3409"/>
      <c r="H45" s="490">
        <f>SUMIF(128:128,G45,129:129)-SUMIF(128:128,C45,129:129)+100</f>
        <v>100</v>
      </c>
      <c r="I45" s="3410"/>
      <c r="J45" s="490">
        <f>SUMIF(128:128,I45,129:129)-SUMIF(128:128,C45,129:129)+100</f>
        <v>100</v>
      </c>
      <c r="K45" s="531"/>
      <c r="L45" s="1747"/>
      <c r="M45" s="1738"/>
      <c r="N45" s="1738"/>
      <c r="O45" s="1746"/>
      <c r="P45" s="3634"/>
      <c r="Q45" s="1304">
        <f t="shared" si="13"/>
        <v>0</v>
      </c>
      <c r="R45" s="1305" t="s">
        <v>5</v>
      </c>
      <c r="S45" s="1306">
        <f t="shared" si="9"/>
        <v>100</v>
      </c>
      <c r="T45" s="1305" t="s">
        <v>5</v>
      </c>
      <c r="U45" s="1306">
        <f t="shared" si="10"/>
        <v>100</v>
      </c>
      <c r="V45" s="1305" t="s">
        <v>5</v>
      </c>
      <c r="W45" s="1306">
        <f t="shared" si="11"/>
        <v>100</v>
      </c>
      <c r="X45" s="1300"/>
      <c r="Y45" s="3634"/>
      <c r="Z45" s="1307">
        <f t="shared" si="12"/>
        <v>0</v>
      </c>
      <c r="AA45" s="1307">
        <f t="shared" si="3"/>
        <v>1</v>
      </c>
      <c r="AB45" s="1307">
        <f t="shared" si="4"/>
        <v>1</v>
      </c>
      <c r="AC45" s="1307">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7"/>
      <c r="M46" s="1738"/>
      <c r="N46" s="1738"/>
      <c r="O46" s="1746"/>
      <c r="P46" s="3634"/>
      <c r="Q46" s="1304">
        <f t="shared" si="13"/>
        <v>111</v>
      </c>
      <c r="R46" s="1305" t="s">
        <v>5</v>
      </c>
      <c r="S46" s="1306">
        <f t="shared" si="9"/>
        <v>100</v>
      </c>
      <c r="T46" s="1305" t="s">
        <v>5</v>
      </c>
      <c r="U46" s="1306">
        <f t="shared" si="10"/>
        <v>100</v>
      </c>
      <c r="V46" s="1305" t="s">
        <v>5</v>
      </c>
      <c r="W46" s="1306">
        <f t="shared" si="11"/>
        <v>100</v>
      </c>
      <c r="X46" s="1300"/>
      <c r="Y46" s="3634"/>
      <c r="Z46" s="1307">
        <f t="shared" si="12"/>
        <v>111</v>
      </c>
      <c r="AA46" s="1307">
        <f t="shared" si="3"/>
        <v>1</v>
      </c>
      <c r="AB46" s="1307">
        <f t="shared" si="4"/>
        <v>1</v>
      </c>
      <c r="AC46" s="1307">
        <f t="shared" si="5"/>
        <v>1</v>
      </c>
    </row>
    <row r="47" spans="1:29" s="1131"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5"/>
      <c r="M47" s="1738"/>
      <c r="N47" s="1738"/>
      <c r="O47" s="1748"/>
      <c r="P47" s="3634"/>
      <c r="Q47" s="1304">
        <f t="shared" si="13"/>
        <v>111</v>
      </c>
      <c r="R47" s="1308" t="s">
        <v>5</v>
      </c>
      <c r="S47" s="1309">
        <f t="shared" si="9"/>
        <v>100</v>
      </c>
      <c r="T47" s="1308" t="s">
        <v>5</v>
      </c>
      <c r="U47" s="1309">
        <f t="shared" si="10"/>
        <v>100</v>
      </c>
      <c r="V47" s="1308" t="s">
        <v>5</v>
      </c>
      <c r="W47" s="1309">
        <f t="shared" si="11"/>
        <v>100</v>
      </c>
      <c r="X47" s="1310"/>
      <c r="Y47" s="3634"/>
      <c r="Z47" s="1311">
        <f t="shared" si="12"/>
        <v>111</v>
      </c>
      <c r="AA47" s="1307">
        <f t="shared" si="3"/>
        <v>1</v>
      </c>
      <c r="AB47" s="1307">
        <f t="shared" si="4"/>
        <v>1</v>
      </c>
      <c r="AC47" s="1307">
        <f t="shared" si="5"/>
        <v>1</v>
      </c>
    </row>
    <row r="48" spans="1:29" ht="20.25">
      <c r="A48" s="556" t="s">
        <v>503</v>
      </c>
      <c r="B48" s="557" t="s">
        <v>3666</v>
      </c>
      <c r="C48" s="558" t="s">
        <v>0</v>
      </c>
      <c r="D48" s="559"/>
      <c r="E48" s="560">
        <f>土地案例!Q3</f>
        <v>3001</v>
      </c>
      <c r="F48" s="561"/>
      <c r="G48" s="562">
        <f>土地案例!Q8</f>
        <v>2850</v>
      </c>
      <c r="H48" s="563"/>
      <c r="I48" s="560">
        <f>土地案例!Q9</f>
        <v>2925</v>
      </c>
      <c r="J48" s="563"/>
      <c r="K48" s="1132"/>
      <c r="L48" s="1749"/>
      <c r="M48" s="1738"/>
      <c r="N48" s="1738"/>
      <c r="O48" s="1740"/>
      <c r="P48" s="3598" t="str">
        <f>A48</f>
        <v>成交单价</v>
      </c>
      <c r="Q48" s="3598"/>
      <c r="R48" s="3599">
        <f>E48</f>
        <v>3001</v>
      </c>
      <c r="S48" s="3599"/>
      <c r="T48" s="3599">
        <f>G48</f>
        <v>2850</v>
      </c>
      <c r="U48" s="3599"/>
      <c r="V48" s="3599">
        <f>I48</f>
        <v>2925</v>
      </c>
      <c r="W48" s="3599"/>
      <c r="X48" s="799"/>
      <c r="Y48" s="1312"/>
      <c r="Z48" s="799"/>
      <c r="AA48" s="799"/>
      <c r="AB48" s="799"/>
      <c r="AC48" s="799"/>
    </row>
    <row r="49" spans="1:29" ht="21" thickBot="1">
      <c r="A49" s="564" t="s">
        <v>1973</v>
      </c>
      <c r="B49" s="565"/>
      <c r="C49" s="566">
        <f>R50</f>
        <v>2120</v>
      </c>
      <c r="D49" s="2548" t="s">
        <v>2249</v>
      </c>
      <c r="E49" s="566">
        <f>R49</f>
        <v>2216</v>
      </c>
      <c r="F49" s="2549"/>
      <c r="G49" s="567">
        <f>T49</f>
        <v>2045</v>
      </c>
      <c r="H49" s="2549"/>
      <c r="I49" s="566">
        <f>V49</f>
        <v>2098</v>
      </c>
      <c r="J49" s="2549"/>
      <c r="K49" s="2550">
        <f>F49+H49+J49</f>
        <v>0</v>
      </c>
      <c r="L49" s="1749"/>
      <c r="M49" s="1738"/>
      <c r="N49" s="1738"/>
      <c r="O49" s="1740"/>
      <c r="P49" s="3598" t="str">
        <f>A49</f>
        <v>比较价格（元/平方米）</v>
      </c>
      <c r="Q49" s="3598"/>
      <c r="R49" s="3600">
        <f>ROUND(PRODUCT(R48,AA9:AA47),0)</f>
        <v>2216</v>
      </c>
      <c r="S49" s="3600"/>
      <c r="T49" s="3600">
        <f>ROUND(PRODUCT(T48,AB9:AB47),0)</f>
        <v>2045</v>
      </c>
      <c r="U49" s="3600"/>
      <c r="V49" s="3600">
        <f>ROUND(PRODUCT(V48,AC9:AC47),0)</f>
        <v>2098</v>
      </c>
      <c r="W49" s="3600"/>
      <c r="X49" s="799"/>
      <c r="Y49" s="799"/>
      <c r="Z49" s="799"/>
      <c r="AA49" s="799"/>
      <c r="AB49" s="799"/>
      <c r="AC49" s="799"/>
    </row>
    <row r="50" spans="1:29" ht="21" thickBot="1">
      <c r="A50" s="568" t="s">
        <v>2186</v>
      </c>
      <c r="B50" s="569"/>
      <c r="C50" s="570">
        <f>R50</f>
        <v>2120</v>
      </c>
      <c r="D50" s="570"/>
      <c r="E50" s="570"/>
      <c r="F50" s="570"/>
      <c r="G50" s="570"/>
      <c r="H50" s="570"/>
      <c r="I50" s="570"/>
      <c r="J50" s="570"/>
      <c r="K50" s="1133"/>
      <c r="L50" s="1749"/>
      <c r="M50" s="1738"/>
      <c r="N50" s="1738"/>
      <c r="O50" s="1740"/>
      <c r="P50" s="3635" t="str">
        <f>A50</f>
        <v>估价对象XX用房的比较价格（楼面单价，元/平方米）</v>
      </c>
      <c r="Q50" s="3636"/>
      <c r="R50" s="3597">
        <f>ROUND(IF(D49="简单平均",AVERAGE(R49:W49),R49*F49+T49*H49+V49*J49),0)</f>
        <v>2120</v>
      </c>
      <c r="S50" s="3597"/>
      <c r="T50" s="3597"/>
      <c r="U50" s="3597"/>
      <c r="V50" s="3597"/>
      <c r="W50" s="3597"/>
      <c r="X50" s="799"/>
      <c r="Y50" s="799"/>
      <c r="Z50" s="799"/>
      <c r="AA50" s="799"/>
      <c r="AB50" s="799"/>
      <c r="AC50" s="799"/>
    </row>
    <row r="51" spans="1:29" ht="20.25">
      <c r="A51" s="2719"/>
      <c r="B51" s="2719"/>
      <c r="C51" s="2719"/>
      <c r="D51" s="2719"/>
      <c r="E51" s="2719"/>
      <c r="F51" s="2719"/>
      <c r="G51" s="2721"/>
      <c r="H51" s="2719"/>
      <c r="I51" s="2719"/>
      <c r="J51" s="2719"/>
      <c r="K51" s="2722"/>
      <c r="L51" s="1753"/>
      <c r="M51" s="1738"/>
      <c r="N51" s="1738"/>
      <c r="O51" s="1740"/>
      <c r="P51" s="1740"/>
      <c r="Q51" s="1740"/>
      <c r="R51" s="1740"/>
      <c r="S51" s="1740"/>
      <c r="T51" s="1740"/>
      <c r="U51" s="1740"/>
      <c r="V51" s="1740"/>
      <c r="W51" s="1740"/>
      <c r="X51" s="1740"/>
      <c r="Y51" s="1740"/>
      <c r="Z51" s="1740"/>
      <c r="AA51" s="1740"/>
      <c r="AB51" s="1740"/>
      <c r="AC51" s="1740"/>
    </row>
    <row r="52" spans="1:29" ht="20.25">
      <c r="A52" s="2719"/>
      <c r="B52" s="2719"/>
      <c r="C52" s="2719"/>
      <c r="D52" s="2719"/>
      <c r="E52" s="2719"/>
      <c r="F52" s="2719"/>
      <c r="G52" s="2719"/>
      <c r="H52" s="2719"/>
      <c r="I52" s="2719"/>
      <c r="J52" s="2719"/>
      <c r="K52" s="2722"/>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504</v>
      </c>
      <c r="D53" s="572"/>
      <c r="E53" s="573">
        <f>IF(E48&lt;E49,E49/E48-1,E48/E49-1)</f>
        <v>0.35424187725631762</v>
      </c>
      <c r="F53" s="574" t="str">
        <f>IF(OR(E53&gt;=0.3,E53&lt;=-0.3),"超过30%","")</f>
        <v>超过30%</v>
      </c>
      <c r="G53" s="573">
        <f>IF(G48&lt;G49,G49/G48-1,G48/G49-1)</f>
        <v>0.39364303178484117</v>
      </c>
      <c r="H53" s="574" t="str">
        <f>IF(OR(G53&gt;=0.3,G53&lt;=-0.3),"超过30%","")</f>
        <v>超过30%</v>
      </c>
      <c r="I53" s="573">
        <f>IF(I48&lt;I49,I49/I48-1,I48/I49-1)</f>
        <v>0.39418493803622501</v>
      </c>
      <c r="J53" s="574" t="str">
        <f>IF(OR(I53&gt;=0.3,I53&lt;=-0.3),"超过30%","")</f>
        <v>超过30%</v>
      </c>
      <c r="K53" s="2722"/>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9"/>
      <c r="B54" s="2719"/>
      <c r="C54" s="571" t="s">
        <v>505</v>
      </c>
      <c r="D54" s="575"/>
      <c r="E54" s="573">
        <f>IF(E49&lt;G49,G49/E49-1,E49/G49-1)</f>
        <v>8.3618581907090483E-2</v>
      </c>
      <c r="F54" s="574" t="str">
        <f>IF(OR(E54&gt;=0.2,E54&lt;=-0.2),"超过20%","")</f>
        <v/>
      </c>
      <c r="G54" s="573">
        <f>IF(G49&lt;I49,I49/G49-1,G49/I49-1)</f>
        <v>2.591687041564783E-2</v>
      </c>
      <c r="H54" s="574" t="str">
        <f>IF(OR(G54&gt;=0.2,G54&lt;=-0.2),"超过20%","")</f>
        <v/>
      </c>
      <c r="I54" s="573">
        <f>IF(I49&lt;E49,E49/I49-1,I49/E49-1)</f>
        <v>5.6244041944709222E-2</v>
      </c>
      <c r="J54" s="574" t="str">
        <f>IF(OR(I54&gt;=0.2,I54&lt;=-0.2),"超过20%","")</f>
        <v/>
      </c>
      <c r="K54" s="2722"/>
      <c r="L54" s="1753"/>
      <c r="M54" s="1738"/>
      <c r="N54" s="1738"/>
      <c r="O54" s="1740"/>
      <c r="P54" s="1740"/>
      <c r="Q54" s="1740"/>
      <c r="R54" s="1740"/>
      <c r="S54" s="1740"/>
      <c r="T54" s="1740"/>
      <c r="U54" s="1740"/>
      <c r="V54" s="1740"/>
      <c r="W54" s="1740"/>
      <c r="X54" s="1740"/>
      <c r="Y54" s="1740"/>
      <c r="Z54" s="1740"/>
      <c r="AA54" s="1740"/>
      <c r="AB54" s="1740"/>
      <c r="AC54" s="1740"/>
    </row>
    <row r="55" spans="1:29" s="1136" customFormat="1" ht="13.5" customHeight="1">
      <c r="A55" s="2720"/>
      <c r="B55" s="2720"/>
      <c r="C55" s="571" t="s">
        <v>506</v>
      </c>
      <c r="D55" s="575"/>
      <c r="E55" s="573">
        <f>IF(E48&lt;G48,G48/E48-1,E48/G48-1)</f>
        <v>5.2982456140350909E-2</v>
      </c>
      <c r="F55" s="574" t="str">
        <f>IF(OR(E55&gt;=0.3,E55&lt;=-0.3),"超过30%","")</f>
        <v/>
      </c>
      <c r="G55" s="573">
        <f>IF(G48&lt;I48,I48/G48-1,G48/I48-1)</f>
        <v>2.6315789473684292E-2</v>
      </c>
      <c r="H55" s="574" t="str">
        <f>IF(OR(G55&gt;=0.3,G55&lt;=-0.3),"超过30%","")</f>
        <v/>
      </c>
      <c r="I55" s="573">
        <f>IF(I48&lt;E48,E48/I48-1,I48/E48-1)</f>
        <v>2.5982905982905979E-2</v>
      </c>
      <c r="J55" s="574" t="str">
        <f>IF(OR(I55&gt;=0.3,I55&lt;=-0.3),"超过30%","")</f>
        <v/>
      </c>
      <c r="K55" s="2723"/>
      <c r="L55" s="1756"/>
      <c r="M55" s="1738"/>
      <c r="N55" s="1738"/>
      <c r="O55" s="1750"/>
      <c r="P55" s="1750"/>
      <c r="Q55" s="1750"/>
      <c r="R55" s="1750"/>
      <c r="S55" s="1750"/>
      <c r="T55" s="1750"/>
      <c r="U55" s="1750"/>
      <c r="V55" s="1750"/>
      <c r="W55" s="1750"/>
      <c r="X55" s="1750"/>
      <c r="Y55" s="1750"/>
      <c r="Z55" s="1750"/>
      <c r="AA55" s="1750"/>
      <c r="AB55" s="1750"/>
      <c r="AC55" s="1750"/>
    </row>
    <row r="56" spans="1:29" s="1136" customFormat="1" ht="21" thickBot="1">
      <c r="A56" s="1750"/>
      <c r="B56" s="1751"/>
      <c r="C56" s="1754"/>
      <c r="D56" s="1750"/>
      <c r="E56" s="1750"/>
      <c r="F56" s="1750"/>
      <c r="G56" s="1750"/>
      <c r="H56" s="1750"/>
      <c r="I56" s="1750"/>
      <c r="J56" s="1750"/>
      <c r="K56" s="2723"/>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6" t="s">
        <v>507</v>
      </c>
      <c r="B57" s="577" t="s">
        <v>508</v>
      </c>
      <c r="C57" s="1298" t="s">
        <v>1251</v>
      </c>
      <c r="D57" s="1819" t="s">
        <v>1648</v>
      </c>
      <c r="E57" s="578" t="s">
        <v>509</v>
      </c>
      <c r="F57" s="579" t="s">
        <v>510</v>
      </c>
      <c r="G57" s="3624" t="s">
        <v>1637</v>
      </c>
      <c r="H57" s="3625"/>
      <c r="I57" s="1295" t="s">
        <v>1249</v>
      </c>
      <c r="J57" s="1295">
        <f>项目基本情况!F41</f>
        <v>0</v>
      </c>
      <c r="K57" s="1757" t="s">
        <v>1250</v>
      </c>
      <c r="L57" s="1753"/>
      <c r="M57" s="1740"/>
      <c r="N57" s="1740"/>
      <c r="O57" s="1740"/>
      <c r="P57" s="1740"/>
      <c r="Q57" s="1740"/>
      <c r="R57" s="1740"/>
      <c r="S57" s="1740"/>
      <c r="T57" s="1740"/>
      <c r="U57" s="1740"/>
      <c r="V57" s="1740"/>
      <c r="W57" s="1740"/>
      <c r="X57" s="1740"/>
      <c r="Y57" s="1740"/>
      <c r="Z57" s="1740"/>
      <c r="AA57" s="1740"/>
      <c r="AB57" s="1740"/>
      <c r="AC57" s="1740"/>
    </row>
    <row r="58" spans="1:29" s="1137" customFormat="1" ht="12.75">
      <c r="A58" s="580" t="s">
        <v>511</v>
      </c>
      <c r="B58" s="581">
        <f>C50</f>
        <v>2120</v>
      </c>
      <c r="C58" s="582">
        <v>1</v>
      </c>
      <c r="D58" s="1820">
        <v>1</v>
      </c>
      <c r="E58" s="582">
        <f>'数据-汇总表'!E8+'数据-汇总表'!E9</f>
        <v>42292.15</v>
      </c>
      <c r="F58" s="583">
        <f t="shared" ref="F58:F66" si="14">ROUND(B58*E58/10000,0)</f>
        <v>8966</v>
      </c>
      <c r="G58" s="3626"/>
      <c r="H58" s="3627"/>
      <c r="I58" s="1296">
        <v>1</v>
      </c>
      <c r="J58" s="1296">
        <v>1</v>
      </c>
      <c r="K58" s="2724"/>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4" t="s">
        <v>512</v>
      </c>
      <c r="B59" s="585">
        <f>ROUND($C$50*C59*D59,0)</f>
        <v>0</v>
      </c>
      <c r="C59" s="348">
        <f t="shared" ref="C59:C66" si="15">IF($C$57="北京市系数",I59,J59)</f>
        <v>0</v>
      </c>
      <c r="D59" s="1821">
        <v>0.25</v>
      </c>
      <c r="E59" s="586">
        <v>0</v>
      </c>
      <c r="F59" s="583">
        <f t="shared" si="14"/>
        <v>0</v>
      </c>
      <c r="G59" s="3026" t="s">
        <v>1638</v>
      </c>
      <c r="H59" s="1605">
        <f>项目基本情况!B43</f>
        <v>0</v>
      </c>
      <c r="I59" s="1296">
        <f>SUMIF(修正!$A$57:$A$68,H59,修正!B57:B68)</f>
        <v>0</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4" t="s">
        <v>513</v>
      </c>
      <c r="B60" s="585">
        <f t="shared" ref="B60:B66" si="16">ROUND($C$50*C60*D60,0)</f>
        <v>0</v>
      </c>
      <c r="C60" s="348">
        <f t="shared" si="15"/>
        <v>0</v>
      </c>
      <c r="D60" s="1821">
        <v>0.25</v>
      </c>
      <c r="E60" s="586">
        <v>0</v>
      </c>
      <c r="F60" s="583">
        <f t="shared" si="14"/>
        <v>0</v>
      </c>
      <c r="G60" s="3027"/>
      <c r="H60" s="1605">
        <f>项目基本情况!B43</f>
        <v>0</v>
      </c>
      <c r="I60" s="1296">
        <f>SUMIF(修正!$A$57:$A$68,H60,修正!C57:C68)</f>
        <v>0</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2.75">
      <c r="A61" s="584" t="s">
        <v>514</v>
      </c>
      <c r="B61" s="585">
        <f t="shared" si="16"/>
        <v>0</v>
      </c>
      <c r="C61" s="348">
        <f t="shared" si="15"/>
        <v>0</v>
      </c>
      <c r="D61" s="1821">
        <v>0.25</v>
      </c>
      <c r="E61" s="586">
        <v>0</v>
      </c>
      <c r="F61" s="583">
        <f t="shared" si="14"/>
        <v>0</v>
      </c>
      <c r="G61" s="3027"/>
      <c r="H61" s="1605">
        <f>项目基本情况!B43</f>
        <v>0</v>
      </c>
      <c r="I61" s="1296">
        <f>SUMIF(修正!$A$57:$A$68,H61,修正!D57:D68)</f>
        <v>0</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2.75">
      <c r="A62" s="1917" t="s">
        <v>1683</v>
      </c>
      <c r="B62" s="585">
        <f t="shared" si="16"/>
        <v>0</v>
      </c>
      <c r="C62" s="348">
        <f t="shared" si="15"/>
        <v>0</v>
      </c>
      <c r="D62" s="1821">
        <v>0.25</v>
      </c>
      <c r="E62" s="588">
        <f>'数据-汇总表'!E11</f>
        <v>0</v>
      </c>
      <c r="F62" s="583">
        <f t="shared" si="14"/>
        <v>0</v>
      </c>
      <c r="G62" s="1602" t="s">
        <v>1639</v>
      </c>
      <c r="H62" s="1605">
        <f>项目基本情况!C43</f>
        <v>0</v>
      </c>
      <c r="I62" s="1296">
        <f>SUMIF(修正!$A$57:$A$68,H62,修正!E57:E68)</f>
        <v>0</v>
      </c>
      <c r="J62" s="1297"/>
      <c r="K62" s="2724"/>
      <c r="L62" s="1758"/>
      <c r="M62" s="1758"/>
      <c r="N62" s="1758"/>
      <c r="O62" s="1758"/>
      <c r="P62" s="1758"/>
      <c r="Q62" s="1758"/>
      <c r="R62" s="1758"/>
      <c r="S62" s="1758"/>
      <c r="T62" s="1758"/>
      <c r="U62" s="1758"/>
      <c r="V62" s="1758"/>
      <c r="W62" s="1758"/>
      <c r="X62" s="1758"/>
      <c r="Y62" s="1758"/>
      <c r="Z62" s="1758"/>
      <c r="AA62" s="1758"/>
      <c r="AB62" s="1758"/>
      <c r="AC62" s="1758"/>
    </row>
    <row r="63" spans="1:29" s="1137" customFormat="1" ht="12.75">
      <c r="A63" s="584" t="s">
        <v>515</v>
      </c>
      <c r="B63" s="585">
        <f t="shared" si="16"/>
        <v>0</v>
      </c>
      <c r="C63" s="348">
        <f t="shared" si="15"/>
        <v>0</v>
      </c>
      <c r="D63" s="1821">
        <v>0.25</v>
      </c>
      <c r="E63" s="588">
        <f>'数据-汇总表'!E12</f>
        <v>0</v>
      </c>
      <c r="F63" s="583">
        <f t="shared" si="14"/>
        <v>0</v>
      </c>
      <c r="G63" s="1603" t="s">
        <v>1210</v>
      </c>
      <c r="H63" s="1601">
        <f>IF(G63="商业",项目基本情况!B43,IF(G63="办公",项目基本情况!C43,IF(G63="住宅",项目基本情况!D43,项目基本情况!E43)))</f>
        <v>0</v>
      </c>
      <c r="I63" s="1296">
        <f>SUMIF(修正!$A$57:$A$68,H63,修正!F57:F68)</f>
        <v>0</v>
      </c>
      <c r="J63" s="1297"/>
      <c r="K63" s="2724"/>
      <c r="L63" s="1758"/>
      <c r="M63" s="1758"/>
      <c r="N63" s="1758"/>
      <c r="O63" s="1758"/>
      <c r="P63" s="1758"/>
      <c r="Q63" s="1758"/>
      <c r="R63" s="1758"/>
      <c r="S63" s="1758"/>
      <c r="T63" s="1758"/>
      <c r="U63" s="1758"/>
      <c r="V63" s="1758"/>
      <c r="W63" s="1758"/>
      <c r="X63" s="1758"/>
      <c r="Y63" s="1758"/>
      <c r="Z63" s="1758"/>
      <c r="AA63" s="1758"/>
      <c r="AB63" s="1758"/>
      <c r="AC63" s="1758"/>
    </row>
    <row r="64" spans="1:29" s="1137" customFormat="1" ht="12.75">
      <c r="A64" s="584" t="s">
        <v>516</v>
      </c>
      <c r="B64" s="585">
        <f t="shared" si="16"/>
        <v>0</v>
      </c>
      <c r="C64" s="348">
        <f t="shared" si="15"/>
        <v>0</v>
      </c>
      <c r="D64" s="1821">
        <v>0.25</v>
      </c>
      <c r="E64" s="588">
        <f>'数据-汇总表'!E13</f>
        <v>0</v>
      </c>
      <c r="F64" s="583">
        <f t="shared" si="14"/>
        <v>0</v>
      </c>
      <c r="G64" s="1603" t="s">
        <v>849</v>
      </c>
      <c r="H64" s="1601">
        <f>IF(G64="商业",项目基本情况!B43,IF(G64="办公",项目基本情况!C43,IF(G64="住宅",项目基本情况!D43,项目基本情况!E43)))</f>
        <v>0</v>
      </c>
      <c r="I64" s="1296">
        <f>SUMIF(修正!$A$57:$A$68,H64,修正!G57:G68)</f>
        <v>0</v>
      </c>
      <c r="J64" s="1297"/>
      <c r="K64" s="2724"/>
      <c r="L64" s="1758"/>
      <c r="M64" s="1758"/>
      <c r="N64" s="1758"/>
      <c r="O64" s="1758"/>
      <c r="P64" s="1758"/>
      <c r="Q64" s="1758"/>
      <c r="R64" s="1758"/>
      <c r="S64" s="1758"/>
      <c r="T64" s="1758"/>
      <c r="U64" s="1758"/>
      <c r="V64" s="1758"/>
      <c r="W64" s="1758"/>
      <c r="X64" s="1758"/>
      <c r="Y64" s="1758"/>
      <c r="Z64" s="1758"/>
      <c r="AA64" s="1758"/>
      <c r="AB64" s="1758"/>
      <c r="AC64" s="1758"/>
    </row>
    <row r="65" spans="1:29" s="1137" customFormat="1" ht="12.75">
      <c r="A65" s="584" t="s">
        <v>517</v>
      </c>
      <c r="B65" s="585">
        <f t="shared" si="16"/>
        <v>0</v>
      </c>
      <c r="C65" s="348">
        <f t="shared" si="15"/>
        <v>0</v>
      </c>
      <c r="D65" s="1821">
        <v>0.25</v>
      </c>
      <c r="E65" s="588">
        <f>'数据-汇总表'!E14</f>
        <v>0</v>
      </c>
      <c r="F65" s="583">
        <f t="shared" si="14"/>
        <v>0</v>
      </c>
      <c r="G65" s="1602" t="s">
        <v>1638</v>
      </c>
      <c r="H65" s="1605">
        <f>项目基本情况!B43</f>
        <v>0</v>
      </c>
      <c r="I65" s="1296">
        <f>SUMIF(修正!$A$57:$A$68,H65,修正!G57:G68)</f>
        <v>0</v>
      </c>
      <c r="J65" s="1297"/>
      <c r="K65" s="2724"/>
      <c r="L65" s="1758"/>
      <c r="M65" s="1758"/>
      <c r="N65" s="1758"/>
      <c r="O65" s="1758"/>
      <c r="P65" s="1758"/>
      <c r="Q65" s="1758"/>
      <c r="R65" s="1758"/>
      <c r="S65" s="1758"/>
      <c r="T65" s="1758"/>
      <c r="U65" s="1758"/>
      <c r="V65" s="1758"/>
      <c r="W65" s="1758"/>
      <c r="X65" s="1758"/>
      <c r="Y65" s="1758"/>
      <c r="Z65" s="1758"/>
      <c r="AA65" s="1758"/>
      <c r="AB65" s="1758"/>
      <c r="AC65" s="1758"/>
    </row>
    <row r="66" spans="1:29" s="1137" customFormat="1" ht="13.5" thickBot="1">
      <c r="A66" s="584" t="s">
        <v>518</v>
      </c>
      <c r="B66" s="585">
        <f t="shared" si="16"/>
        <v>0</v>
      </c>
      <c r="C66" s="348">
        <f t="shared" si="15"/>
        <v>0</v>
      </c>
      <c r="D66" s="1821">
        <v>0.25</v>
      </c>
      <c r="E66" s="588">
        <f>'数据-汇总表'!E15</f>
        <v>0</v>
      </c>
      <c r="F66" s="583">
        <f t="shared" si="14"/>
        <v>0</v>
      </c>
      <c r="G66" s="1604" t="s">
        <v>1639</v>
      </c>
      <c r="H66" s="1606">
        <f>项目基本情况!C43</f>
        <v>0</v>
      </c>
      <c r="I66" s="1296">
        <f>SUMIF(修正!$A$57:$A$68,H66,修正!G57:G68)</f>
        <v>0</v>
      </c>
      <c r="J66" s="1297"/>
      <c r="K66" s="2724"/>
      <c r="L66" s="1758"/>
      <c r="M66" s="1758"/>
      <c r="N66" s="1758"/>
      <c r="O66" s="1758"/>
      <c r="P66" s="1758"/>
      <c r="Q66" s="1758"/>
      <c r="R66" s="1758"/>
      <c r="S66" s="1758"/>
      <c r="T66" s="1758"/>
      <c r="U66" s="1758"/>
      <c r="V66" s="1758"/>
      <c r="W66" s="1758"/>
      <c r="X66" s="1758"/>
      <c r="Y66" s="1758"/>
      <c r="Z66" s="1758"/>
      <c r="AA66" s="1758"/>
      <c r="AB66" s="1758"/>
      <c r="AC66" s="1758"/>
    </row>
    <row r="67" spans="1:29" s="1137" customFormat="1" ht="13.5" thickBot="1">
      <c r="A67" s="589" t="s">
        <v>519</v>
      </c>
      <c r="B67" s="590" t="s">
        <v>11</v>
      </c>
      <c r="C67" s="590" t="s">
        <v>12</v>
      </c>
      <c r="D67" s="590" t="s">
        <v>1649</v>
      </c>
      <c r="E67" s="590">
        <f>IF(B48="楼面地价",SUM(E58:E66),'数据-汇总表'!D3)</f>
        <v>42292.15</v>
      </c>
      <c r="F67" s="591">
        <f>IF(B48="楼面地价",SUM(F58:F66),ROUND(C50*E67/10000,0))</f>
        <v>8966</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2025-6-1</v>
      </c>
      <c r="D69" s="2109">
        <f>EDATE(C69,-3)</f>
        <v>45717</v>
      </c>
      <c r="E69" s="2109">
        <f t="shared" ref="E69:N69" si="17">EDATE(D69,-3)</f>
        <v>45627</v>
      </c>
      <c r="F69" s="2109">
        <f t="shared" si="17"/>
        <v>45536</v>
      </c>
      <c r="G69" s="2109">
        <f t="shared" si="17"/>
        <v>45444</v>
      </c>
      <c r="H69" s="2109">
        <f t="shared" si="17"/>
        <v>45352</v>
      </c>
      <c r="I69" s="2109">
        <f t="shared" si="17"/>
        <v>45261</v>
      </c>
      <c r="J69" s="2109">
        <f t="shared" si="17"/>
        <v>45170</v>
      </c>
      <c r="K69" s="2109">
        <f t="shared" si="17"/>
        <v>45078</v>
      </c>
      <c r="L69" s="2109">
        <f t="shared" si="17"/>
        <v>44986</v>
      </c>
      <c r="M69" s="2109">
        <f t="shared" si="17"/>
        <v>44896</v>
      </c>
      <c r="N69" s="2109">
        <f t="shared" si="17"/>
        <v>44805</v>
      </c>
      <c r="O69" s="1740"/>
      <c r="P69" s="1740"/>
      <c r="Q69" s="1740"/>
      <c r="R69" s="1740"/>
      <c r="S69" s="1740"/>
      <c r="T69" s="1740"/>
      <c r="U69" s="1740"/>
      <c r="V69" s="1740"/>
      <c r="W69" s="1740"/>
      <c r="X69" s="1740"/>
      <c r="Y69" s="1740"/>
      <c r="Z69" s="1740"/>
      <c r="AA69" s="1740"/>
      <c r="AB69" s="1740"/>
      <c r="AC69" s="1740"/>
    </row>
    <row r="70" spans="1:29" ht="21.75" thickBot="1">
      <c r="A70" s="1315" t="s">
        <v>520</v>
      </c>
      <c r="B70" s="799"/>
      <c r="C70" s="1314"/>
      <c r="D70" s="1314"/>
      <c r="E70" s="1314"/>
      <c r="F70" s="1316"/>
      <c r="G70" s="1316"/>
      <c r="H70" s="1314"/>
      <c r="I70" s="1314"/>
      <c r="J70" s="1314"/>
      <c r="K70" s="1317"/>
      <c r="L70" s="1313"/>
      <c r="M70" s="1314"/>
      <c r="N70" s="1314"/>
      <c r="O70" s="1760"/>
      <c r="P70" s="1760"/>
      <c r="Q70" s="1761"/>
      <c r="R70" s="1740"/>
      <c r="S70" s="1740"/>
      <c r="T70" s="1740"/>
      <c r="U70" s="1740"/>
      <c r="V70" s="1740"/>
      <c r="W70" s="1740"/>
      <c r="X70" s="1740"/>
      <c r="Y70" s="1740"/>
      <c r="Z70" s="1740"/>
      <c r="AA70" s="1740"/>
      <c r="AB70" s="1740"/>
      <c r="AC70" s="1740"/>
    </row>
    <row r="71" spans="1:29" s="1138" customFormat="1" ht="15">
      <c r="A71" s="2040" t="s">
        <v>1813</v>
      </c>
      <c r="B71" s="2041"/>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2"/>
      <c r="P71" s="1763"/>
      <c r="Q71" s="1763"/>
      <c r="R71" s="1763"/>
      <c r="S71" s="1763"/>
      <c r="T71" s="1763"/>
      <c r="U71" s="1763"/>
      <c r="V71" s="1763"/>
      <c r="W71" s="1763"/>
      <c r="X71" s="1763"/>
      <c r="Y71" s="1763"/>
      <c r="Z71" s="1763"/>
      <c r="AA71" s="1763"/>
      <c r="AB71" s="1763"/>
      <c r="AC71" s="1763"/>
    </row>
    <row r="72" spans="1:29" s="1057" customFormat="1" ht="27" customHeight="1">
      <c r="A72" s="2115" t="s">
        <v>1927</v>
      </c>
      <c r="B72" s="448" t="str">
        <f>"北京市平均增长率"&amp;TEXT(SUMIF(基准地价!N25:N29,A72,基准地价!P25:P29),"0.00%")</f>
        <v>北京市平均增长率0.00%</v>
      </c>
      <c r="C72" s="817">
        <v>100</v>
      </c>
      <c r="D72" s="79">
        <f>C72+$C$73</f>
        <v>100.5</v>
      </c>
      <c r="E72" s="79">
        <f t="shared" ref="E72:N72" si="19">D72+$C$73</f>
        <v>101</v>
      </c>
      <c r="F72" s="79">
        <f t="shared" si="19"/>
        <v>101.5</v>
      </c>
      <c r="G72" s="79">
        <f t="shared" si="19"/>
        <v>102</v>
      </c>
      <c r="H72" s="79">
        <f t="shared" si="19"/>
        <v>102.5</v>
      </c>
      <c r="I72" s="79">
        <f t="shared" si="19"/>
        <v>103</v>
      </c>
      <c r="J72" s="79">
        <f t="shared" si="19"/>
        <v>103.5</v>
      </c>
      <c r="K72" s="79">
        <f t="shared" si="19"/>
        <v>104</v>
      </c>
      <c r="L72" s="79">
        <f t="shared" si="19"/>
        <v>104.5</v>
      </c>
      <c r="M72" s="79">
        <f t="shared" si="19"/>
        <v>105</v>
      </c>
      <c r="N72" s="79">
        <f t="shared" si="19"/>
        <v>105.5</v>
      </c>
      <c r="O72" s="1764"/>
      <c r="P72" s="1761"/>
      <c r="Q72" s="1638"/>
      <c r="R72" s="1638"/>
      <c r="S72" s="1638"/>
      <c r="T72" s="1638"/>
      <c r="U72" s="1638"/>
      <c r="V72" s="1638"/>
      <c r="W72" s="1638"/>
      <c r="X72" s="1638"/>
      <c r="Y72" s="1638"/>
      <c r="Z72" s="1638"/>
      <c r="AA72" s="1638"/>
      <c r="AB72" s="1638"/>
      <c r="AC72" s="1638"/>
    </row>
    <row r="73" spans="1:29" s="1057" customFormat="1" ht="15" customHeight="1" thickBot="1">
      <c r="A73" s="2107" t="s">
        <v>1926</v>
      </c>
      <c r="B73" s="2114"/>
      <c r="C73" s="599">
        <v>0.5</v>
      </c>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7" customFormat="1" ht="15">
      <c r="A74" s="603" t="s">
        <v>478</v>
      </c>
      <c r="B74" s="594"/>
      <c r="C74" s="604" t="s">
        <v>522</v>
      </c>
      <c r="D74" s="80"/>
      <c r="E74" s="80"/>
      <c r="F74" s="80"/>
      <c r="G74" s="80"/>
      <c r="H74" s="80"/>
      <c r="I74" s="80"/>
      <c r="J74" s="80"/>
      <c r="K74" s="80"/>
      <c r="L74" s="605"/>
      <c r="M74" s="606"/>
      <c r="N74" s="1764"/>
      <c r="O74" s="1764"/>
      <c r="P74" s="1645"/>
      <c r="Q74" s="1761"/>
      <c r="R74" s="1638"/>
      <c r="S74" s="1638"/>
      <c r="T74" s="1638"/>
      <c r="U74" s="1638"/>
      <c r="V74" s="1638"/>
      <c r="W74" s="1638"/>
      <c r="X74" s="1638"/>
      <c r="Y74" s="1638"/>
      <c r="Z74" s="1638"/>
      <c r="AA74" s="1638"/>
      <c r="AB74" s="1638"/>
      <c r="AC74" s="1638"/>
    </row>
    <row r="75" spans="1:29" s="1057" customFormat="1" ht="15.75" thickBot="1">
      <c r="A75" s="603"/>
      <c r="B75" s="594"/>
      <c r="C75" s="595">
        <v>100</v>
      </c>
      <c r="D75" s="596"/>
      <c r="E75" s="596"/>
      <c r="F75" s="596"/>
      <c r="G75" s="596"/>
      <c r="H75" s="596"/>
      <c r="I75" s="596"/>
      <c r="J75" s="596"/>
      <c r="K75" s="596"/>
      <c r="L75" s="596"/>
      <c r="M75" s="597"/>
      <c r="N75" s="1764"/>
      <c r="O75" s="1764"/>
      <c r="P75" s="1761"/>
      <c r="Q75" s="1761"/>
      <c r="R75" s="1638"/>
      <c r="S75" s="1638"/>
      <c r="T75" s="1638"/>
      <c r="U75" s="1638"/>
      <c r="V75" s="1638"/>
      <c r="W75" s="1638"/>
      <c r="X75" s="1638"/>
      <c r="Y75" s="1638"/>
      <c r="Z75" s="1638"/>
      <c r="AA75" s="1638"/>
      <c r="AB75" s="1638"/>
      <c r="AC75" s="1638"/>
    </row>
    <row r="76" spans="1:29">
      <c r="A76" s="607" t="s">
        <v>523</v>
      </c>
      <c r="B76" s="608" t="s">
        <v>481</v>
      </c>
      <c r="C76" s="3412" t="s">
        <v>3664</v>
      </c>
      <c r="D76" s="547"/>
      <c r="E76" s="547"/>
      <c r="F76" s="547"/>
      <c r="G76" s="547"/>
      <c r="H76" s="547"/>
      <c r="I76" s="547"/>
      <c r="J76" s="547"/>
      <c r="K76" s="609"/>
      <c r="L76" s="610"/>
      <c r="M76" s="611"/>
      <c r="N76" s="1765"/>
      <c r="O76" s="1765"/>
      <c r="P76" s="1764"/>
      <c r="Q76" s="1761"/>
      <c r="R76" s="1740"/>
      <c r="S76" s="1740"/>
      <c r="T76" s="1740"/>
      <c r="U76" s="1740"/>
      <c r="V76" s="1740"/>
      <c r="W76" s="1740"/>
      <c r="X76" s="1740"/>
      <c r="Y76" s="1740"/>
      <c r="Z76" s="1740"/>
      <c r="AA76" s="1740"/>
      <c r="AB76" s="1740"/>
      <c r="AC76" s="1740"/>
    </row>
    <row r="77" spans="1:29" ht="15.75" thickBot="1">
      <c r="A77" s="482"/>
      <c r="B77" s="612"/>
      <c r="C77" s="613">
        <v>100</v>
      </c>
      <c r="D77" s="613"/>
      <c r="E77" s="613"/>
      <c r="F77" s="613"/>
      <c r="G77" s="613"/>
      <c r="H77" s="613"/>
      <c r="I77" s="613"/>
      <c r="J77" s="613"/>
      <c r="K77" s="613"/>
      <c r="L77" s="613"/>
      <c r="M77" s="614"/>
      <c r="N77" s="1766"/>
      <c r="O77" s="1766"/>
      <c r="P77" s="1764"/>
      <c r="Q77" s="1761"/>
      <c r="R77" s="1740"/>
      <c r="S77" s="1740"/>
      <c r="T77" s="1740"/>
      <c r="U77" s="1740"/>
      <c r="V77" s="1740"/>
      <c r="W77" s="1740"/>
      <c r="X77" s="1740"/>
      <c r="Y77" s="1740"/>
      <c r="Z77" s="1740"/>
      <c r="AA77" s="1740"/>
      <c r="AB77" s="1740"/>
      <c r="AC77" s="1740"/>
    </row>
    <row r="78" spans="1:29" ht="27.75" thickTop="1">
      <c r="A78" s="482"/>
      <c r="B78" s="615" t="s">
        <v>484</v>
      </c>
      <c r="C78" s="616"/>
      <c r="D78" s="616"/>
      <c r="E78" s="616"/>
      <c r="F78" s="616"/>
      <c r="G78" s="616"/>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c r="D79" s="621"/>
      <c r="E79" s="621"/>
      <c r="F79" s="621"/>
      <c r="G79" s="621"/>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623" t="s">
        <v>485</v>
      </c>
      <c r="C80" s="624" t="str">
        <f>C81&amp;"（含）"&amp;"-"&amp;D81</f>
        <v>0（含）-1</v>
      </c>
      <c r="D80" s="624" t="str">
        <f t="shared" ref="D80:L80" si="20">D81&amp;"（含）"&amp;"-"&amp;E81</f>
        <v>1（含）-2</v>
      </c>
      <c r="E80" s="624" t="str">
        <f t="shared" si="20"/>
        <v>2（含）-3</v>
      </c>
      <c r="F80" s="624" t="str">
        <f t="shared" si="20"/>
        <v>3（含）-4</v>
      </c>
      <c r="G80" s="624" t="str">
        <f t="shared" si="20"/>
        <v>4（含）-5</v>
      </c>
      <c r="H80" s="624" t="str">
        <f t="shared" si="20"/>
        <v>5（含）-6</v>
      </c>
      <c r="I80" s="624" t="str">
        <f t="shared" si="20"/>
        <v>6（含）-7</v>
      </c>
      <c r="J80" s="624" t="str">
        <f t="shared" si="20"/>
        <v>7（含）-8</v>
      </c>
      <c r="K80" s="624" t="str">
        <f t="shared" si="20"/>
        <v>8（含）-9</v>
      </c>
      <c r="L80" s="624" t="str">
        <f t="shared" si="20"/>
        <v>9（含）-10</v>
      </c>
      <c r="M80" s="505" t="str">
        <f>M81&amp;"（含）"&amp;"-"&amp;P81</f>
        <v>10（含）-</v>
      </c>
      <c r="N80" s="1766"/>
      <c r="O80" s="1766"/>
      <c r="P80" s="1764"/>
      <c r="Q80" s="1761"/>
      <c r="R80" s="1740"/>
      <c r="S80" s="1740"/>
      <c r="T80" s="1740"/>
      <c r="U80" s="1740"/>
      <c r="V80" s="1740"/>
      <c r="W80" s="1740"/>
      <c r="X80" s="1740"/>
      <c r="Y80" s="1740"/>
      <c r="Z80" s="1740"/>
      <c r="AA80" s="1740"/>
      <c r="AB80" s="1740"/>
      <c r="AC80" s="1740"/>
    </row>
    <row r="81" spans="1:29" ht="15">
      <c r="A81" s="482"/>
      <c r="B81" s="625"/>
      <c r="C81" s="491">
        <v>0</v>
      </c>
      <c r="D81" s="491">
        <v>1</v>
      </c>
      <c r="E81" s="491">
        <v>2</v>
      </c>
      <c r="F81" s="491">
        <v>3</v>
      </c>
      <c r="G81" s="491">
        <v>4</v>
      </c>
      <c r="H81" s="491">
        <v>5</v>
      </c>
      <c r="I81" s="491">
        <v>6</v>
      </c>
      <c r="J81" s="491">
        <v>7</v>
      </c>
      <c r="K81" s="491">
        <v>8</v>
      </c>
      <c r="L81" s="491">
        <v>9</v>
      </c>
      <c r="M81" s="491">
        <v>10</v>
      </c>
      <c r="N81" s="1765"/>
      <c r="O81" s="1765"/>
      <c r="P81" s="1764"/>
      <c r="Q81" s="1761"/>
      <c r="R81" s="1740"/>
      <c r="S81" s="1740"/>
      <c r="T81" s="1740"/>
      <c r="U81" s="1740"/>
      <c r="V81" s="1740"/>
      <c r="W81" s="1740"/>
      <c r="X81" s="1740"/>
      <c r="Y81" s="1740"/>
      <c r="Z81" s="1740"/>
      <c r="AA81" s="1740"/>
      <c r="AB81" s="1740"/>
      <c r="AC81" s="1740"/>
    </row>
    <row r="82" spans="1:29" ht="15.75" thickBot="1">
      <c r="A82" s="482"/>
      <c r="B82" s="612"/>
      <c r="C82" s="621">
        <v>100</v>
      </c>
      <c r="D82" s="621">
        <f t="shared" ref="D82:M82" si="21">IF($B$48="单位面积地价",C82+$K13,C82-$K13)</f>
        <v>98</v>
      </c>
      <c r="E82" s="621">
        <f t="shared" si="21"/>
        <v>96</v>
      </c>
      <c r="F82" s="621">
        <f t="shared" si="21"/>
        <v>94</v>
      </c>
      <c r="G82" s="621">
        <f t="shared" si="21"/>
        <v>92</v>
      </c>
      <c r="H82" s="621">
        <f t="shared" si="21"/>
        <v>90</v>
      </c>
      <c r="I82" s="621">
        <f t="shared" si="21"/>
        <v>88</v>
      </c>
      <c r="J82" s="621">
        <f t="shared" si="21"/>
        <v>86</v>
      </c>
      <c r="K82" s="621">
        <f t="shared" si="21"/>
        <v>84</v>
      </c>
      <c r="L82" s="621">
        <f t="shared" si="21"/>
        <v>82</v>
      </c>
      <c r="M82" s="621">
        <f t="shared" si="21"/>
        <v>80</v>
      </c>
      <c r="N82" s="1766"/>
      <c r="O82" s="1766"/>
      <c r="P82" s="1764"/>
      <c r="Q82" s="1761"/>
      <c r="R82" s="1740"/>
      <c r="S82" s="1740"/>
      <c r="T82" s="1740"/>
      <c r="U82" s="1740"/>
      <c r="V82" s="1740"/>
      <c r="W82" s="1740"/>
      <c r="X82" s="1740"/>
      <c r="Y82" s="1740"/>
      <c r="Z82" s="1740"/>
      <c r="AA82" s="1740"/>
      <c r="AB82" s="1740"/>
      <c r="AC82" s="1740"/>
    </row>
    <row r="83" spans="1:29" s="1131" customFormat="1" ht="15.75" thickTop="1">
      <c r="A83" s="629"/>
      <c r="B83" s="615" t="str">
        <f>B14</f>
        <v>配建</v>
      </c>
      <c r="C83" s="630"/>
      <c r="D83" s="1164"/>
      <c r="E83" s="1165"/>
      <c r="F83" s="630"/>
      <c r="G83" s="630"/>
      <c r="H83" s="631"/>
      <c r="I83" s="631"/>
      <c r="J83" s="631"/>
      <c r="K83" s="631"/>
      <c r="L83" s="632"/>
      <c r="M83" s="633"/>
      <c r="N83" s="1767"/>
      <c r="O83" s="1767"/>
      <c r="P83" s="1767"/>
      <c r="Q83" s="1768"/>
      <c r="R83" s="1769"/>
      <c r="S83" s="1769"/>
      <c r="T83" s="1769"/>
      <c r="U83" s="1769"/>
      <c r="V83" s="1769"/>
      <c r="W83" s="1769"/>
      <c r="X83" s="1769"/>
      <c r="Y83" s="1769"/>
      <c r="Z83" s="1769"/>
      <c r="AA83" s="1769"/>
      <c r="AB83" s="1769"/>
      <c r="AC83" s="1769"/>
    </row>
    <row r="84" spans="1:29" s="1131" customFormat="1" ht="15.75" thickBot="1">
      <c r="A84" s="629"/>
      <c r="B84" s="620"/>
      <c r="C84" s="634"/>
      <c r="D84" s="613"/>
      <c r="E84" s="613"/>
      <c r="F84" s="613"/>
      <c r="G84" s="613"/>
      <c r="H84" s="613"/>
      <c r="I84" s="613"/>
      <c r="J84" s="613"/>
      <c r="K84" s="613"/>
      <c r="L84" s="613"/>
      <c r="M84" s="614"/>
      <c r="N84" s="1766"/>
      <c r="O84" s="1766"/>
      <c r="P84" s="1767"/>
      <c r="Q84" s="1768"/>
      <c r="R84" s="1769"/>
      <c r="S84" s="1769"/>
      <c r="T84" s="1769"/>
      <c r="U84" s="1769"/>
      <c r="V84" s="1769"/>
      <c r="W84" s="1769"/>
      <c r="X84" s="1769"/>
      <c r="Y84" s="1769"/>
      <c r="Z84" s="1769"/>
      <c r="AA84" s="1769"/>
      <c r="AB84" s="1769"/>
      <c r="AC84" s="1769"/>
    </row>
    <row r="85" spans="1:29" s="1131" customFormat="1" ht="15.75" thickTop="1">
      <c r="A85" s="629"/>
      <c r="B85" s="615">
        <f>B15</f>
        <v>111</v>
      </c>
      <c r="C85" s="630"/>
      <c r="D85" s="630"/>
      <c r="E85" s="630"/>
      <c r="F85" s="630"/>
      <c r="G85" s="630"/>
      <c r="H85" s="631"/>
      <c r="I85" s="631"/>
      <c r="J85" s="631"/>
      <c r="K85" s="631"/>
      <c r="L85" s="632"/>
      <c r="M85" s="633"/>
      <c r="N85" s="1767"/>
      <c r="O85" s="1767"/>
      <c r="P85" s="1769"/>
      <c r="Q85" s="1770"/>
      <c r="R85" s="1769"/>
      <c r="S85" s="1769"/>
      <c r="T85" s="1769"/>
      <c r="U85" s="1769"/>
      <c r="V85" s="1769"/>
      <c r="W85" s="1769"/>
      <c r="X85" s="1769"/>
      <c r="Y85" s="1769"/>
      <c r="Z85" s="1769"/>
      <c r="AA85" s="1769"/>
      <c r="AB85" s="1769"/>
      <c r="AC85" s="1769"/>
    </row>
    <row r="86" spans="1:29" s="1131" customFormat="1" ht="15.75" thickBot="1">
      <c r="A86" s="629"/>
      <c r="B86" s="620"/>
      <c r="C86" s="634"/>
      <c r="D86" s="634"/>
      <c r="E86" s="634"/>
      <c r="F86" s="634"/>
      <c r="G86" s="634"/>
      <c r="H86" s="635"/>
      <c r="I86" s="635"/>
      <c r="J86" s="635"/>
      <c r="K86" s="635"/>
      <c r="L86" s="635"/>
      <c r="M86" s="636"/>
      <c r="N86" s="1767"/>
      <c r="O86" s="1767"/>
      <c r="P86" s="1767"/>
      <c r="Q86" s="1768"/>
      <c r="R86" s="1769"/>
      <c r="S86" s="1769"/>
      <c r="T86" s="1769"/>
      <c r="U86" s="1769"/>
      <c r="V86" s="1769"/>
      <c r="W86" s="1769"/>
      <c r="X86" s="1769"/>
      <c r="Y86" s="1769"/>
      <c r="Z86" s="1769"/>
      <c r="AA86" s="1769"/>
      <c r="AB86" s="1769"/>
      <c r="AC86" s="1769"/>
    </row>
    <row r="87" spans="1:29" s="1131" customFormat="1" ht="15.75" thickTop="1">
      <c r="A87" s="629"/>
      <c r="B87" s="623">
        <f>B16</f>
        <v>111</v>
      </c>
      <c r="C87" s="80"/>
      <c r="D87" s="80"/>
      <c r="E87" s="80"/>
      <c r="F87" s="80"/>
      <c r="G87" s="80"/>
      <c r="H87" s="637"/>
      <c r="I87" s="637"/>
      <c r="J87" s="637"/>
      <c r="K87" s="637"/>
      <c r="L87" s="638"/>
      <c r="M87" s="639"/>
      <c r="N87" s="1767"/>
      <c r="O87" s="1767"/>
      <c r="P87" s="1771"/>
      <c r="Q87" s="1768"/>
      <c r="R87" s="1769"/>
      <c r="S87" s="1769"/>
      <c r="T87" s="1769"/>
      <c r="U87" s="1769"/>
      <c r="V87" s="1769"/>
      <c r="W87" s="1769"/>
      <c r="X87" s="1769"/>
      <c r="Y87" s="1769"/>
      <c r="Z87" s="1769"/>
      <c r="AA87" s="1769"/>
      <c r="AB87" s="1769"/>
      <c r="AC87" s="1769"/>
    </row>
    <row r="88" spans="1:29" s="1131" customFormat="1" ht="15.75" thickBot="1">
      <c r="A88" s="640"/>
      <c r="B88" s="641"/>
      <c r="C88" s="642"/>
      <c r="D88" s="642"/>
      <c r="E88" s="642"/>
      <c r="F88" s="642"/>
      <c r="G88" s="642"/>
      <c r="H88" s="643"/>
      <c r="I88" s="643"/>
      <c r="J88" s="643"/>
      <c r="K88" s="643"/>
      <c r="L88" s="643"/>
      <c r="M88" s="644"/>
      <c r="N88" s="1767"/>
      <c r="O88" s="1767"/>
      <c r="P88" s="1767"/>
      <c r="Q88" s="1768"/>
      <c r="R88" s="1769"/>
      <c r="S88" s="1769"/>
      <c r="T88" s="1769"/>
      <c r="U88" s="1769"/>
      <c r="V88" s="1769"/>
      <c r="W88" s="1769"/>
      <c r="X88" s="1769"/>
      <c r="Y88" s="1769"/>
      <c r="Z88" s="1769"/>
      <c r="AA88" s="1769"/>
      <c r="AB88" s="1769"/>
      <c r="AC88" s="1769"/>
    </row>
    <row r="89" spans="1:29">
      <c r="A89" s="607" t="s">
        <v>486</v>
      </c>
      <c r="B89" s="608" t="s">
        <v>524</v>
      </c>
      <c r="C89" s="143" t="s">
        <v>525</v>
      </c>
      <c r="D89" s="143" t="s">
        <v>526</v>
      </c>
      <c r="E89" s="143" t="s">
        <v>527</v>
      </c>
      <c r="F89" s="143" t="s">
        <v>528</v>
      </c>
      <c r="G89" s="143" t="s">
        <v>529</v>
      </c>
      <c r="H89" s="645"/>
      <c r="I89" s="645"/>
      <c r="J89" s="645"/>
      <c r="K89" s="646"/>
      <c r="L89" s="647"/>
      <c r="M89" s="648"/>
      <c r="N89" s="1765"/>
      <c r="O89" s="1765"/>
      <c r="P89" s="1772"/>
      <c r="Q89" s="1761"/>
      <c r="R89" s="1740"/>
      <c r="S89" s="1740"/>
      <c r="T89" s="1740"/>
      <c r="U89" s="1740"/>
      <c r="V89" s="1740"/>
      <c r="W89" s="1740"/>
      <c r="X89" s="1740"/>
      <c r="Y89" s="1740"/>
      <c r="Z89" s="1740"/>
      <c r="AA89" s="1740"/>
      <c r="AB89" s="1740"/>
      <c r="AC89" s="1740"/>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6"/>
      <c r="O90" s="1766"/>
      <c r="P90" s="1764"/>
      <c r="Q90" s="1761"/>
      <c r="R90" s="1740"/>
      <c r="S90" s="1740"/>
      <c r="T90" s="1740"/>
      <c r="U90" s="1740"/>
      <c r="V90" s="1740"/>
      <c r="W90" s="1740"/>
      <c r="X90" s="1740"/>
      <c r="Y90" s="1740"/>
      <c r="Z90" s="1740"/>
      <c r="AA90" s="1740"/>
      <c r="AB90" s="1740"/>
      <c r="AC90" s="1740"/>
    </row>
    <row r="91" spans="1:29" ht="15.75" thickTop="1">
      <c r="A91" s="482"/>
      <c r="B91" s="615" t="s">
        <v>530</v>
      </c>
      <c r="C91" s="649" t="s">
        <v>525</v>
      </c>
      <c r="D91" s="649" t="s">
        <v>526</v>
      </c>
      <c r="E91" s="649" t="s">
        <v>527</v>
      </c>
      <c r="F91" s="649" t="s">
        <v>528</v>
      </c>
      <c r="G91" s="649" t="s">
        <v>529</v>
      </c>
      <c r="H91" s="616"/>
      <c r="I91" s="616"/>
      <c r="J91" s="616"/>
      <c r="K91" s="617"/>
      <c r="L91" s="618"/>
      <c r="M91" s="619"/>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21">
        <v>100</v>
      </c>
      <c r="D92" s="621">
        <f>C92-$K19</f>
        <v>98</v>
      </c>
      <c r="E92" s="621">
        <f>D92-$K19</f>
        <v>96</v>
      </c>
      <c r="F92" s="621">
        <f>E92-$K19</f>
        <v>94</v>
      </c>
      <c r="G92" s="621">
        <f>F92-$K19</f>
        <v>92</v>
      </c>
      <c r="H92" s="621"/>
      <c r="I92" s="621"/>
      <c r="J92" s="621"/>
      <c r="K92" s="621"/>
      <c r="L92" s="621"/>
      <c r="M92" s="622"/>
      <c r="N92" s="1766"/>
      <c r="O92" s="1766"/>
      <c r="P92" s="1764"/>
      <c r="Q92" s="1761"/>
      <c r="R92" s="1740"/>
      <c r="S92" s="1740"/>
      <c r="T92" s="1740"/>
      <c r="U92" s="1740"/>
      <c r="V92" s="1740"/>
      <c r="W92" s="1740"/>
      <c r="X92" s="1740"/>
      <c r="Y92" s="1740"/>
      <c r="Z92" s="1740"/>
      <c r="AA92" s="1740"/>
      <c r="AB92" s="1740"/>
      <c r="AC92" s="1740"/>
    </row>
    <row r="93" spans="1:29" ht="15.75" thickTop="1">
      <c r="A93" s="482"/>
      <c r="B93" s="615" t="s">
        <v>531</v>
      </c>
      <c r="C93" s="649" t="s">
        <v>525</v>
      </c>
      <c r="D93" s="649" t="s">
        <v>526</v>
      </c>
      <c r="E93" s="649" t="s">
        <v>527</v>
      </c>
      <c r="F93" s="649" t="s">
        <v>528</v>
      </c>
      <c r="G93" s="649" t="s">
        <v>529</v>
      </c>
      <c r="H93" s="616"/>
      <c r="I93" s="616"/>
      <c r="J93" s="616"/>
      <c r="K93" s="617"/>
      <c r="L93" s="618"/>
      <c r="M93" s="619"/>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C94-$K21</f>
        <v>98</v>
      </c>
      <c r="E94" s="621">
        <f>D94-$K21</f>
        <v>96</v>
      </c>
      <c r="F94" s="621">
        <f>E94-$K21</f>
        <v>94</v>
      </c>
      <c r="G94" s="621">
        <f>F94-$K21</f>
        <v>92</v>
      </c>
      <c r="H94" s="621"/>
      <c r="I94" s="621"/>
      <c r="J94" s="621"/>
      <c r="K94" s="621"/>
      <c r="L94" s="621"/>
      <c r="M94" s="622"/>
      <c r="N94" s="1766"/>
      <c r="O94" s="1766"/>
      <c r="P94" s="1764"/>
      <c r="Q94" s="1761"/>
      <c r="R94" s="1740"/>
      <c r="S94" s="1740"/>
      <c r="T94" s="1740"/>
      <c r="U94" s="1740"/>
      <c r="V94" s="1740"/>
      <c r="W94" s="1740"/>
      <c r="X94" s="1740"/>
      <c r="Y94" s="1740"/>
      <c r="Z94" s="1740"/>
      <c r="AA94" s="1740"/>
      <c r="AB94" s="1740"/>
      <c r="AC94" s="1740"/>
    </row>
    <row r="95" spans="1:29" ht="15.75" thickTop="1">
      <c r="A95" s="482"/>
      <c r="B95" s="615" t="s">
        <v>532</v>
      </c>
      <c r="C95" s="649" t="s">
        <v>525</v>
      </c>
      <c r="D95" s="649" t="s">
        <v>526</v>
      </c>
      <c r="E95" s="649" t="s">
        <v>527</v>
      </c>
      <c r="F95" s="649" t="s">
        <v>528</v>
      </c>
      <c r="G95" s="649" t="s">
        <v>529</v>
      </c>
      <c r="H95" s="616"/>
      <c r="I95" s="616"/>
      <c r="J95" s="616"/>
      <c r="K95" s="617"/>
      <c r="L95" s="618"/>
      <c r="M95" s="619"/>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C96-$K23</f>
        <v>98</v>
      </c>
      <c r="E96" s="621">
        <f>D96-$K23</f>
        <v>96</v>
      </c>
      <c r="F96" s="621">
        <f>E96-$K23</f>
        <v>94</v>
      </c>
      <c r="G96" s="621">
        <f>F96-$K23</f>
        <v>92</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s="1057" customFormat="1" ht="27.75" thickTop="1">
      <c r="A97" s="486"/>
      <c r="B97" s="615" t="s">
        <v>533</v>
      </c>
      <c r="C97" s="649" t="s">
        <v>525</v>
      </c>
      <c r="D97" s="649" t="s">
        <v>526</v>
      </c>
      <c r="E97" s="649" t="s">
        <v>527</v>
      </c>
      <c r="F97" s="649" t="s">
        <v>528</v>
      </c>
      <c r="G97" s="649" t="s">
        <v>529</v>
      </c>
      <c r="H97" s="649"/>
      <c r="I97" s="649"/>
      <c r="J97" s="649"/>
      <c r="K97" s="649"/>
      <c r="L97" s="650"/>
      <c r="M97" s="651"/>
      <c r="N97" s="1764"/>
      <c r="O97" s="1764"/>
      <c r="P97" s="1764"/>
      <c r="Q97" s="1761"/>
      <c r="R97" s="1638"/>
      <c r="S97" s="1638"/>
      <c r="T97" s="1638"/>
      <c r="U97" s="1638"/>
      <c r="V97" s="1638"/>
      <c r="W97" s="1638"/>
      <c r="X97" s="1638"/>
      <c r="Y97" s="1638"/>
      <c r="Z97" s="1638"/>
      <c r="AA97" s="1638"/>
      <c r="AB97" s="1638"/>
      <c r="AC97" s="1638"/>
    </row>
    <row r="98" spans="1:29" s="1057" customFormat="1" ht="15.75" thickBot="1">
      <c r="A98" s="486"/>
      <c r="B98" s="620"/>
      <c r="C98" s="652">
        <v>100</v>
      </c>
      <c r="D98" s="621">
        <f>C98-$K25</f>
        <v>98</v>
      </c>
      <c r="E98" s="621">
        <f>D98-$K25</f>
        <v>96</v>
      </c>
      <c r="F98" s="621">
        <f>E98-$K25</f>
        <v>94</v>
      </c>
      <c r="G98" s="621">
        <f>F98-$K25</f>
        <v>92</v>
      </c>
      <c r="H98" s="621"/>
      <c r="I98" s="621"/>
      <c r="J98" s="621"/>
      <c r="K98" s="621"/>
      <c r="L98" s="621"/>
      <c r="M98" s="622"/>
      <c r="N98" s="1766"/>
      <c r="O98" s="1766"/>
      <c r="P98" s="1764"/>
      <c r="Q98" s="1761"/>
      <c r="R98" s="1638"/>
      <c r="S98" s="1638"/>
      <c r="T98" s="1638"/>
      <c r="U98" s="1638"/>
      <c r="V98" s="1638"/>
      <c r="W98" s="1638"/>
      <c r="X98" s="1638"/>
      <c r="Y98" s="1638"/>
      <c r="Z98" s="1638"/>
      <c r="AA98" s="1638"/>
      <c r="AB98" s="1638"/>
      <c r="AC98" s="1638"/>
    </row>
    <row r="99" spans="1:29" s="1057" customFormat="1" ht="27.75" thickTop="1">
      <c r="A99" s="486"/>
      <c r="B99" s="615" t="s">
        <v>534</v>
      </c>
      <c r="C99" s="143" t="s">
        <v>525</v>
      </c>
      <c r="D99" s="143" t="s">
        <v>526</v>
      </c>
      <c r="E99" s="143" t="s">
        <v>527</v>
      </c>
      <c r="F99" s="143" t="s">
        <v>528</v>
      </c>
      <c r="G99" s="143" t="s">
        <v>529</v>
      </c>
      <c r="H99" s="649"/>
      <c r="I99" s="649"/>
      <c r="J99" s="649"/>
      <c r="K99" s="649"/>
      <c r="L99" s="649"/>
      <c r="M99" s="651"/>
      <c r="N99" s="1764"/>
      <c r="O99" s="1764"/>
      <c r="P99" s="1764"/>
      <c r="Q99" s="1761"/>
      <c r="R99" s="1638"/>
      <c r="S99" s="1638"/>
      <c r="T99" s="1638"/>
      <c r="U99" s="1638"/>
      <c r="V99" s="1638"/>
      <c r="W99" s="1638"/>
      <c r="X99" s="1638"/>
      <c r="Y99" s="1638"/>
      <c r="Z99" s="1638"/>
      <c r="AA99" s="1638"/>
      <c r="AB99" s="1638"/>
      <c r="AC99" s="1638"/>
    </row>
    <row r="100" spans="1:29" s="1057"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6"/>
      <c r="O100" s="1766"/>
      <c r="P100" s="1764"/>
      <c r="Q100" s="1761"/>
      <c r="R100" s="1638"/>
      <c r="S100" s="1638"/>
      <c r="T100" s="1638"/>
      <c r="U100" s="1638"/>
      <c r="V100" s="1638"/>
      <c r="W100" s="1638"/>
      <c r="X100" s="1638"/>
      <c r="Y100" s="1638"/>
      <c r="Z100" s="1638"/>
      <c r="AA100" s="1638"/>
      <c r="AB100" s="1638"/>
      <c r="AC100" s="1638"/>
    </row>
    <row r="101" spans="1:29" s="1131" customFormat="1" ht="15.75" thickTop="1">
      <c r="A101" s="629"/>
      <c r="B101" s="1553" t="s">
        <v>1829</v>
      </c>
      <c r="C101" s="143" t="s">
        <v>525</v>
      </c>
      <c r="D101" s="143" t="s">
        <v>526</v>
      </c>
      <c r="E101" s="143" t="s">
        <v>527</v>
      </c>
      <c r="F101" s="143" t="s">
        <v>528</v>
      </c>
      <c r="G101" s="143" t="s">
        <v>529</v>
      </c>
      <c r="H101" s="653"/>
      <c r="I101" s="653"/>
      <c r="J101" s="653"/>
      <c r="K101" s="653"/>
      <c r="L101" s="654"/>
      <c r="M101" s="655"/>
      <c r="N101" s="1767"/>
      <c r="O101" s="1767"/>
      <c r="P101" s="1767"/>
      <c r="Q101" s="1768"/>
      <c r="R101" s="1769"/>
      <c r="S101" s="1769"/>
      <c r="T101" s="1769"/>
      <c r="U101" s="1769"/>
      <c r="V101" s="1769"/>
      <c r="W101" s="1769"/>
      <c r="X101" s="1769"/>
      <c r="Y101" s="1769"/>
      <c r="Z101" s="1769"/>
      <c r="AA101" s="1769"/>
      <c r="AB101" s="1769"/>
      <c r="AC101" s="1769"/>
    </row>
    <row r="102" spans="1:29" s="1131"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67"/>
      <c r="O102" s="1767"/>
      <c r="P102" s="1767"/>
      <c r="Q102" s="1768"/>
      <c r="R102" s="1769"/>
      <c r="S102" s="1769"/>
      <c r="T102" s="1769"/>
      <c r="U102" s="1769"/>
      <c r="V102" s="1769"/>
      <c r="W102" s="1769"/>
      <c r="X102" s="1769"/>
      <c r="Y102" s="1769"/>
      <c r="Z102" s="1769"/>
      <c r="AA102" s="1769"/>
      <c r="AB102" s="1769"/>
      <c r="AC102" s="1769"/>
    </row>
    <row r="103" spans="1:29" s="1131" customFormat="1" ht="15.75" thickTop="1">
      <c r="A103" s="629"/>
      <c r="B103" s="2054" t="s">
        <v>1831</v>
      </c>
      <c r="C103" s="2055" t="s">
        <v>1832</v>
      </c>
      <c r="D103" s="2055" t="s">
        <v>1833</v>
      </c>
      <c r="E103" s="2055" t="s">
        <v>1834</v>
      </c>
      <c r="F103" s="2055" t="s">
        <v>1835</v>
      </c>
      <c r="G103" s="2055" t="s">
        <v>1836</v>
      </c>
      <c r="H103" s="653"/>
      <c r="I103" s="653"/>
      <c r="J103" s="653"/>
      <c r="K103" s="653"/>
      <c r="L103" s="653"/>
      <c r="M103" s="655"/>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3"/>
      <c r="C104" s="621">
        <v>100</v>
      </c>
      <c r="D104" s="621">
        <f>C104-$K31</f>
        <v>98</v>
      </c>
      <c r="E104" s="621">
        <f>D104-$K31</f>
        <v>96</v>
      </c>
      <c r="F104" s="621">
        <f>E104-$K31</f>
        <v>94</v>
      </c>
      <c r="G104" s="621">
        <f>F104-$K31</f>
        <v>92</v>
      </c>
      <c r="H104" s="625"/>
      <c r="I104" s="625"/>
      <c r="J104" s="625"/>
      <c r="K104" s="625"/>
      <c r="L104" s="625"/>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2"/>
      <c r="B105" s="615" t="str">
        <f>B33</f>
        <v>临街状况</v>
      </c>
      <c r="C105" s="616" t="s">
        <v>535</v>
      </c>
      <c r="D105" s="616" t="s">
        <v>536</v>
      </c>
      <c r="E105" s="616" t="s">
        <v>537</v>
      </c>
      <c r="F105" s="616" t="s">
        <v>538</v>
      </c>
      <c r="G105" s="616"/>
      <c r="H105" s="616"/>
      <c r="I105" s="616"/>
      <c r="J105" s="616"/>
      <c r="K105" s="617"/>
      <c r="L105" s="618"/>
      <c r="M105" s="619"/>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2"/>
      <c r="B107" s="615" t="s">
        <v>495</v>
      </c>
      <c r="C107" s="630"/>
      <c r="D107" s="630"/>
      <c r="E107" s="630"/>
      <c r="F107" s="630"/>
      <c r="G107" s="630"/>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3">C108-$K34</f>
        <v>100</v>
      </c>
      <c r="E108" s="621">
        <f t="shared" si="23"/>
        <v>100</v>
      </c>
      <c r="F108" s="621">
        <f t="shared" si="23"/>
        <v>100</v>
      </c>
      <c r="G108" s="621">
        <f t="shared" si="23"/>
        <v>100</v>
      </c>
      <c r="H108" s="621">
        <f t="shared" si="23"/>
        <v>100</v>
      </c>
      <c r="I108" s="621">
        <f t="shared" si="23"/>
        <v>100</v>
      </c>
      <c r="J108" s="621">
        <f t="shared" si="23"/>
        <v>100</v>
      </c>
      <c r="K108" s="621">
        <f t="shared" si="23"/>
        <v>100</v>
      </c>
      <c r="L108" s="621">
        <f t="shared" si="23"/>
        <v>100</v>
      </c>
      <c r="M108" s="621">
        <f t="shared" si="23"/>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2"/>
      <c r="B109" s="615" t="s">
        <v>496</v>
      </c>
      <c r="C109" s="658"/>
      <c r="D109" s="658"/>
      <c r="E109" s="658"/>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2"/>
      <c r="B111" s="623">
        <f>B37</f>
        <v>111</v>
      </c>
      <c r="C111" s="630"/>
      <c r="D111" s="630"/>
      <c r="E111" s="630"/>
      <c r="F111" s="630"/>
      <c r="G111" s="662"/>
      <c r="H111" s="662"/>
      <c r="I111" s="662"/>
      <c r="J111" s="662"/>
      <c r="K111" s="663"/>
      <c r="L111" s="664"/>
      <c r="M111" s="665"/>
      <c r="N111" s="1765"/>
      <c r="O111" s="1765"/>
      <c r="P111" s="1764"/>
      <c r="Q111" s="1761"/>
      <c r="R111" s="1740"/>
      <c r="S111" s="1740"/>
      <c r="T111" s="1740"/>
      <c r="U111" s="1740"/>
      <c r="V111" s="1740"/>
      <c r="W111" s="1740"/>
      <c r="X111" s="1740"/>
      <c r="Y111" s="1740"/>
      <c r="Z111" s="1740"/>
      <c r="AA111" s="1740"/>
      <c r="AB111" s="1740"/>
      <c r="AC111" s="1740"/>
    </row>
    <row r="112" spans="1:29" ht="15.75" thickBot="1">
      <c r="A112" s="482"/>
      <c r="B112" s="641"/>
      <c r="C112" s="634"/>
      <c r="D112" s="634"/>
      <c r="E112" s="634"/>
      <c r="F112" s="634"/>
      <c r="G112" s="666"/>
      <c r="H112" s="666"/>
      <c r="I112" s="666"/>
      <c r="J112" s="666"/>
      <c r="K112" s="666"/>
      <c r="L112" s="666"/>
      <c r="M112" s="667"/>
      <c r="N112" s="1766"/>
      <c r="O112" s="1766"/>
      <c r="P112" s="1764"/>
      <c r="Q112" s="1761"/>
      <c r="R112" s="1740"/>
      <c r="S112" s="1740"/>
      <c r="T112" s="1740"/>
      <c r="U112" s="1740"/>
      <c r="V112" s="1740"/>
      <c r="W112" s="1740"/>
      <c r="X112" s="1740"/>
      <c r="Y112" s="1740"/>
      <c r="Z112" s="1740"/>
      <c r="AA112" s="1740"/>
      <c r="AB112" s="1740"/>
      <c r="AC112" s="1740"/>
    </row>
    <row r="113" spans="1:29" ht="15" thickTop="1">
      <c r="A113" s="536"/>
      <c r="B113" s="615">
        <f>B38</f>
        <v>111</v>
      </c>
      <c r="C113" s="80"/>
      <c r="D113" s="80"/>
      <c r="E113" s="80"/>
      <c r="F113" s="80"/>
      <c r="G113" s="658"/>
      <c r="H113" s="658"/>
      <c r="I113" s="658"/>
      <c r="J113" s="658"/>
      <c r="K113" s="659"/>
      <c r="L113" s="660"/>
      <c r="M113" s="661"/>
      <c r="N113" s="1765"/>
      <c r="O113" s="1765"/>
      <c r="P113" s="1764"/>
      <c r="Q113" s="1761"/>
      <c r="R113" s="1740"/>
      <c r="S113" s="1740"/>
      <c r="T113" s="1740"/>
      <c r="U113" s="1740"/>
      <c r="V113" s="1740"/>
      <c r="W113" s="1740"/>
      <c r="X113" s="1740"/>
      <c r="Y113" s="1740"/>
      <c r="Z113" s="1740"/>
      <c r="AA113" s="1740"/>
      <c r="AB113" s="1740"/>
      <c r="AC113" s="1740"/>
    </row>
    <row r="114" spans="1:29" ht="15.75" thickBot="1">
      <c r="A114" s="482"/>
      <c r="B114" s="620"/>
      <c r="C114" s="642"/>
      <c r="D114" s="642"/>
      <c r="E114" s="642"/>
      <c r="F114" s="642"/>
      <c r="G114" s="613"/>
      <c r="H114" s="613"/>
      <c r="I114" s="613"/>
      <c r="J114" s="613"/>
      <c r="K114" s="613"/>
      <c r="L114" s="613"/>
      <c r="M114" s="614"/>
      <c r="N114" s="1766"/>
      <c r="O114" s="1766"/>
      <c r="P114" s="1764"/>
      <c r="Q114" s="1761"/>
      <c r="R114" s="1740"/>
      <c r="S114" s="1740"/>
      <c r="T114" s="1740"/>
      <c r="U114" s="1740"/>
      <c r="V114" s="1740"/>
      <c r="W114" s="1740"/>
      <c r="X114" s="1740"/>
      <c r="Y114" s="1740"/>
      <c r="Z114" s="1740"/>
      <c r="AA114" s="1740"/>
      <c r="AB114" s="1740"/>
      <c r="AC114" s="1740"/>
    </row>
    <row r="115" spans="1:29" s="1131" customFormat="1" ht="15" thickTop="1">
      <c r="A115" s="552"/>
      <c r="B115" s="668">
        <f>B39</f>
        <v>111</v>
      </c>
      <c r="C115" s="79"/>
      <c r="D115" s="79"/>
      <c r="E115" s="79"/>
      <c r="F115" s="79"/>
      <c r="G115" s="79"/>
      <c r="H115" s="79"/>
      <c r="I115" s="79"/>
      <c r="J115" s="669"/>
      <c r="K115" s="669"/>
      <c r="L115" s="670"/>
      <c r="M115" s="671"/>
      <c r="N115" s="1767"/>
      <c r="O115" s="1767"/>
      <c r="P115" s="1767"/>
      <c r="Q115" s="1768"/>
      <c r="R115" s="1769"/>
      <c r="S115" s="1769"/>
      <c r="T115" s="1769"/>
      <c r="U115" s="1769"/>
      <c r="V115" s="1769"/>
      <c r="W115" s="1769"/>
      <c r="X115" s="1769"/>
      <c r="Y115" s="1769"/>
      <c r="Z115" s="1769"/>
      <c r="AA115" s="1769"/>
      <c r="AB115" s="1769"/>
      <c r="AC115" s="1769"/>
    </row>
    <row r="116" spans="1:29" s="1131" customFormat="1" ht="15.75" thickBot="1">
      <c r="A116" s="629"/>
      <c r="B116" s="623"/>
      <c r="C116" s="596"/>
      <c r="D116" s="541"/>
      <c r="E116" s="541"/>
      <c r="F116" s="541"/>
      <c r="G116" s="541"/>
      <c r="H116" s="541"/>
      <c r="I116" s="541"/>
      <c r="J116" s="541"/>
      <c r="K116" s="541"/>
      <c r="L116" s="541"/>
      <c r="M116" s="672"/>
      <c r="N116" s="1766"/>
      <c r="O116" s="1766"/>
      <c r="P116" s="1767"/>
      <c r="Q116" s="1768"/>
      <c r="R116" s="1769"/>
      <c r="S116" s="1769"/>
      <c r="T116" s="1769"/>
      <c r="U116" s="1769"/>
      <c r="V116" s="1769"/>
      <c r="W116" s="1769"/>
      <c r="X116" s="1769"/>
      <c r="Y116" s="1769"/>
      <c r="Z116" s="1769"/>
      <c r="AA116" s="1769"/>
      <c r="AB116" s="1769"/>
      <c r="AC116" s="1769"/>
    </row>
    <row r="117" spans="1:29" ht="28.5">
      <c r="A117" s="607" t="s">
        <v>498</v>
      </c>
      <c r="B117" s="608" t="s">
        <v>539</v>
      </c>
      <c r="C117" s="645" t="str">
        <f t="shared" ref="C117:L117" si="25">C118&amp;"(含)"&amp;"-"&amp;D118</f>
        <v>0(含)-20000</v>
      </c>
      <c r="D117" s="645" t="str">
        <f t="shared" si="25"/>
        <v>20000(含)-50000</v>
      </c>
      <c r="E117" s="645" t="str">
        <f t="shared" si="25"/>
        <v>50000(含)-100000</v>
      </c>
      <c r="F117" s="645" t="str">
        <f t="shared" si="25"/>
        <v>100000(含)-150000</v>
      </c>
      <c r="G117" s="645" t="str">
        <f t="shared" si="25"/>
        <v>150000(含)-200000</v>
      </c>
      <c r="H117" s="645" t="str">
        <f t="shared" si="25"/>
        <v>200000(含)-</v>
      </c>
      <c r="I117" s="645" t="str">
        <f t="shared" si="25"/>
        <v>(含)-</v>
      </c>
      <c r="J117" s="2346" t="str">
        <f t="shared" si="25"/>
        <v>(含)-</v>
      </c>
      <c r="K117" s="2346" t="str">
        <f t="shared" si="25"/>
        <v>(含)-</v>
      </c>
      <c r="L117" s="2347" t="str">
        <f t="shared" si="25"/>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2"/>
      <c r="B118" s="623"/>
      <c r="C118" s="79">
        <v>0</v>
      </c>
      <c r="D118" s="79">
        <v>20000</v>
      </c>
      <c r="E118" s="79">
        <v>50000</v>
      </c>
      <c r="F118" s="79">
        <v>100000</v>
      </c>
      <c r="G118" s="79">
        <v>150000</v>
      </c>
      <c r="H118" s="79">
        <v>200000</v>
      </c>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42">
        <v>100</v>
      </c>
      <c r="D119" s="666">
        <v>101</v>
      </c>
      <c r="E119" s="642">
        <v>102</v>
      </c>
      <c r="F119" s="666">
        <v>103</v>
      </c>
      <c r="G119" s="642">
        <v>104</v>
      </c>
      <c r="H119" s="666">
        <v>105</v>
      </c>
      <c r="I119" s="666"/>
      <c r="J119" s="666"/>
      <c r="K119" s="666"/>
      <c r="L119" s="666"/>
      <c r="M119" s="667"/>
      <c r="N119" s="1766"/>
      <c r="O119" s="1766"/>
      <c r="P119" s="1764"/>
      <c r="Q119" s="1761"/>
      <c r="R119" s="1740"/>
      <c r="S119" s="1740"/>
      <c r="T119" s="1740"/>
      <c r="U119" s="1740"/>
      <c r="V119" s="1740"/>
      <c r="W119" s="1740"/>
      <c r="X119" s="1740"/>
      <c r="Y119" s="1740"/>
      <c r="Z119" s="1740"/>
      <c r="AA119" s="1740"/>
      <c r="AB119" s="1740"/>
      <c r="AC119" s="1740"/>
    </row>
    <row r="120" spans="1:29" ht="15" thickTop="1">
      <c r="A120" s="543"/>
      <c r="B120" s="615" t="s">
        <v>540</v>
      </c>
      <c r="C120" s="3406" t="s">
        <v>3536</v>
      </c>
      <c r="D120" s="658"/>
      <c r="E120" s="658"/>
      <c r="F120" s="658"/>
      <c r="G120" s="658"/>
      <c r="H120" s="658"/>
      <c r="I120" s="658"/>
      <c r="J120" s="658"/>
      <c r="K120" s="659"/>
      <c r="L120" s="660"/>
      <c r="M120" s="661"/>
      <c r="N120" s="1765"/>
      <c r="O120" s="1765"/>
      <c r="P120" s="1764"/>
      <c r="Q120" s="1761"/>
      <c r="R120" s="1740"/>
      <c r="S120" s="1740"/>
      <c r="T120" s="1740"/>
      <c r="U120" s="1740"/>
      <c r="V120" s="1740"/>
      <c r="W120" s="1740"/>
      <c r="X120" s="1740"/>
      <c r="Y120" s="1740"/>
      <c r="Z120" s="1740"/>
      <c r="AA120" s="1740"/>
      <c r="AB120" s="1740"/>
      <c r="AC120" s="1740"/>
    </row>
    <row r="121" spans="1:29" ht="15.75"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3"/>
      <c r="B122" s="615" t="s">
        <v>541</v>
      </c>
      <c r="C122" s="3407" t="s">
        <v>3537</v>
      </c>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7">C123-$K42</f>
        <v>99</v>
      </c>
      <c r="E123" s="621">
        <f t="shared" si="27"/>
        <v>98</v>
      </c>
      <c r="F123" s="621">
        <f t="shared" si="27"/>
        <v>97</v>
      </c>
      <c r="G123" s="621">
        <f t="shared" si="27"/>
        <v>96</v>
      </c>
      <c r="H123" s="621">
        <f t="shared" si="27"/>
        <v>95</v>
      </c>
      <c r="I123" s="621">
        <f t="shared" si="27"/>
        <v>94</v>
      </c>
      <c r="J123" s="621">
        <f t="shared" si="27"/>
        <v>93</v>
      </c>
      <c r="K123" s="621">
        <f t="shared" si="27"/>
        <v>92</v>
      </c>
      <c r="L123" s="621">
        <f t="shared" si="27"/>
        <v>91</v>
      </c>
      <c r="M123" s="622">
        <f t="shared" si="27"/>
        <v>90</v>
      </c>
      <c r="N123" s="1766"/>
      <c r="O123" s="1766"/>
      <c r="P123" s="1764"/>
      <c r="Q123" s="1761"/>
      <c r="R123" s="1740"/>
      <c r="S123" s="1740"/>
      <c r="T123" s="1740"/>
      <c r="U123" s="1740"/>
      <c r="V123" s="1740"/>
      <c r="W123" s="1740"/>
      <c r="X123" s="1740"/>
      <c r="Y123" s="1740"/>
      <c r="Z123" s="1740"/>
      <c r="AA123" s="1740"/>
      <c r="AB123" s="1740"/>
      <c r="AC123" s="1740"/>
    </row>
    <row r="124" spans="1:29" s="1131" customFormat="1" ht="15" thickTop="1">
      <c r="A124" s="552"/>
      <c r="B124" s="1553" t="s">
        <v>1775</v>
      </c>
      <c r="C124" s="1164" t="s">
        <v>1498</v>
      </c>
      <c r="D124" s="1164" t="s">
        <v>3675</v>
      </c>
      <c r="E124" s="1164" t="s">
        <v>3677</v>
      </c>
      <c r="F124" s="1164"/>
      <c r="G124" s="1164"/>
      <c r="H124" s="658"/>
      <c r="I124" s="658"/>
      <c r="J124" s="658"/>
      <c r="K124" s="659"/>
      <c r="L124" s="660"/>
      <c r="M124" s="661"/>
      <c r="N124" s="1767"/>
      <c r="O124" s="1767"/>
      <c r="P124" s="1767"/>
      <c r="Q124" s="1768"/>
      <c r="R124" s="1769"/>
      <c r="S124" s="1769"/>
      <c r="T124" s="1769"/>
      <c r="U124" s="1769"/>
      <c r="V124" s="1769"/>
      <c r="W124" s="1769"/>
      <c r="X124" s="1769"/>
      <c r="Y124" s="1769"/>
      <c r="Z124" s="1769"/>
      <c r="AA124" s="1769"/>
      <c r="AB124" s="1769"/>
      <c r="AC124" s="1769"/>
    </row>
    <row r="125" spans="1:29" s="1131"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3"/>
      <c r="B126" s="615" t="s">
        <v>542</v>
      </c>
      <c r="C126" s="3407" t="s">
        <v>3538</v>
      </c>
      <c r="D126" s="630"/>
      <c r="E126" s="658"/>
      <c r="F126" s="658"/>
      <c r="G126" s="658"/>
      <c r="H126" s="658"/>
      <c r="I126" s="658"/>
      <c r="J126" s="658"/>
      <c r="K126" s="659"/>
      <c r="L126" s="660"/>
      <c r="M126" s="661"/>
      <c r="N126" s="1765"/>
      <c r="O126" s="1765"/>
      <c r="P126" s="1764"/>
      <c r="Q126" s="1761"/>
      <c r="R126" s="1740"/>
      <c r="S126" s="1740"/>
      <c r="T126" s="1740"/>
      <c r="U126" s="1740"/>
      <c r="V126" s="1740"/>
      <c r="W126" s="1740"/>
      <c r="X126" s="1740"/>
      <c r="Y126" s="1740"/>
      <c r="Z126" s="1740"/>
      <c r="AA126" s="1740"/>
      <c r="AB126" s="1740"/>
      <c r="AC126" s="1740"/>
    </row>
    <row r="127" spans="1:29" ht="15.75" thickBot="1">
      <c r="A127" s="482"/>
      <c r="B127" s="620"/>
      <c r="C127" s="621">
        <v>100</v>
      </c>
      <c r="D127" s="621">
        <f t="shared" ref="D127:M127" si="29">C127-$K44</f>
        <v>99</v>
      </c>
      <c r="E127" s="621">
        <f t="shared" si="29"/>
        <v>98</v>
      </c>
      <c r="F127" s="621">
        <f t="shared" si="29"/>
        <v>97</v>
      </c>
      <c r="G127" s="621">
        <f t="shared" si="29"/>
        <v>96</v>
      </c>
      <c r="H127" s="621">
        <f t="shared" si="29"/>
        <v>95</v>
      </c>
      <c r="I127" s="621">
        <f t="shared" si="29"/>
        <v>94</v>
      </c>
      <c r="J127" s="621">
        <f t="shared" si="29"/>
        <v>93</v>
      </c>
      <c r="K127" s="621">
        <f t="shared" si="29"/>
        <v>92</v>
      </c>
      <c r="L127" s="621">
        <f t="shared" si="29"/>
        <v>91</v>
      </c>
      <c r="M127" s="622">
        <f t="shared" si="29"/>
        <v>90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3"/>
      <c r="B128" s="615">
        <f>B45</f>
        <v>0</v>
      </c>
      <c r="C128" s="3407" t="s">
        <v>3539</v>
      </c>
      <c r="D128" s="3407" t="s">
        <v>3540</v>
      </c>
      <c r="E128" s="630"/>
      <c r="F128" s="630"/>
      <c r="G128" s="630"/>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v>100</v>
      </c>
      <c r="D129" s="634">
        <v>95</v>
      </c>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15">
        <f>B46</f>
        <v>111</v>
      </c>
      <c r="C130" s="80"/>
      <c r="D130" s="80"/>
      <c r="E130" s="80"/>
      <c r="F130" s="80"/>
      <c r="G130" s="658"/>
      <c r="H130" s="658"/>
      <c r="I130" s="658"/>
      <c r="J130" s="658"/>
      <c r="K130" s="659"/>
      <c r="L130" s="660"/>
      <c r="M130" s="661"/>
      <c r="N130" s="1765"/>
      <c r="O130" s="1765"/>
      <c r="P130" s="1764"/>
      <c r="Q130" s="1761"/>
      <c r="R130" s="1740"/>
      <c r="S130" s="1740"/>
      <c r="T130" s="1740"/>
      <c r="U130" s="1740"/>
      <c r="V130" s="1740"/>
      <c r="W130" s="1740"/>
      <c r="X130" s="1740"/>
      <c r="Y130" s="1740"/>
      <c r="Z130" s="1740"/>
      <c r="AA130" s="1740"/>
      <c r="AB130" s="1740"/>
      <c r="AC130" s="1740"/>
    </row>
    <row r="131" spans="1:29" ht="15.75" thickBot="1">
      <c r="A131" s="482"/>
      <c r="B131" s="620"/>
      <c r="C131" s="642"/>
      <c r="D131" s="642"/>
      <c r="E131" s="642"/>
      <c r="F131" s="642"/>
      <c r="G131" s="613"/>
      <c r="H131" s="613"/>
      <c r="I131" s="613"/>
      <c r="J131" s="613"/>
      <c r="K131" s="613"/>
      <c r="L131" s="613"/>
      <c r="M131" s="614"/>
      <c r="N131" s="1766"/>
      <c r="O131" s="1766"/>
      <c r="P131" s="1764"/>
      <c r="Q131" s="1761"/>
      <c r="R131" s="1740"/>
      <c r="S131" s="1740"/>
      <c r="T131" s="1740"/>
      <c r="U131" s="1740"/>
      <c r="V131" s="1740"/>
      <c r="W131" s="1740"/>
      <c r="X131" s="1740"/>
      <c r="Y131" s="1740"/>
      <c r="Z131" s="1740"/>
      <c r="AA131" s="1740"/>
      <c r="AB131" s="1740"/>
      <c r="AC131" s="1740"/>
    </row>
    <row r="132" spans="1:29" s="1131" customFormat="1" ht="15" thickTop="1">
      <c r="A132" s="552"/>
      <c r="B132" s="615">
        <f>B47</f>
        <v>111</v>
      </c>
      <c r="C132" s="80"/>
      <c r="D132" s="80"/>
      <c r="E132" s="80"/>
      <c r="F132" s="80"/>
      <c r="G132" s="631"/>
      <c r="H132" s="631"/>
      <c r="I132" s="631"/>
      <c r="J132" s="631"/>
      <c r="K132" s="631"/>
      <c r="L132" s="632"/>
      <c r="M132" s="633"/>
      <c r="N132" s="1767"/>
      <c r="O132" s="1767"/>
      <c r="P132" s="1767"/>
      <c r="Q132" s="1768"/>
      <c r="R132" s="1769"/>
      <c r="S132" s="1769"/>
      <c r="T132" s="1769"/>
      <c r="U132" s="1769"/>
      <c r="V132" s="1769"/>
      <c r="W132" s="1769"/>
      <c r="X132" s="1769"/>
      <c r="Y132" s="1769"/>
      <c r="Z132" s="1769"/>
      <c r="AA132" s="1769"/>
      <c r="AB132" s="1769"/>
      <c r="AC132" s="1769"/>
    </row>
    <row r="133" spans="1:29" s="1131" customFormat="1" ht="15.75" thickBot="1">
      <c r="A133" s="640"/>
      <c r="B133" s="673"/>
      <c r="C133" s="642"/>
      <c r="D133" s="642"/>
      <c r="E133" s="642"/>
      <c r="F133" s="642"/>
      <c r="G133" s="666"/>
      <c r="H133" s="666"/>
      <c r="I133" s="666"/>
      <c r="J133" s="666"/>
      <c r="K133" s="666"/>
      <c r="L133" s="666"/>
      <c r="M133" s="667"/>
      <c r="N133" s="1767"/>
      <c r="O133" s="1767"/>
      <c r="P133" s="1767"/>
      <c r="Q133" s="1768"/>
      <c r="R133" s="1769"/>
      <c r="S133" s="1769"/>
      <c r="T133" s="1769"/>
      <c r="U133" s="1769"/>
      <c r="V133" s="1769"/>
      <c r="W133" s="1769"/>
      <c r="X133" s="1769"/>
      <c r="Y133" s="1769"/>
      <c r="Z133" s="1769"/>
      <c r="AA133" s="1769"/>
      <c r="AB133" s="1769"/>
      <c r="AC133" s="1769"/>
    </row>
    <row r="134" spans="1:29" s="1318"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8"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8"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8"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8"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8"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8"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8"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8"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8"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8"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8"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8"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8"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8"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8"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8"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8"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8"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8"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8"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8"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8"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8"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8"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8"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8"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8"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8"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8"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8"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8"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8"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8"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8"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8"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8"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8"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8"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8"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8"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8"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8"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8"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8"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8"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8"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8"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8"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8"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8"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8"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8"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8"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8"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8"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8"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8"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8"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8"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8"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8"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8"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8"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8"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8"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8"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8"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8"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8"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8"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8"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8"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8"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8"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8"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8"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8"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8"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8"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8"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8"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8"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8"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8"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8"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8"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8"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8"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8"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8"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8"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8"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8"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8"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8"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8"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8"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8"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8"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8"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8"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8"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8"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8"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8"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8"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8"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8"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8"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8"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8"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8"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8"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8"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8"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8"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8"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8"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8"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8"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8" customFormat="1">
      <c r="K255" s="1319"/>
      <c r="L255" s="1320"/>
    </row>
    <row r="256" spans="1:29" s="1318" customFormat="1">
      <c r="K256" s="1319"/>
      <c r="L256" s="1320"/>
    </row>
    <row r="257" spans="11:12" s="1318" customFormat="1">
      <c r="K257" s="1319"/>
      <c r="L257" s="1320"/>
    </row>
    <row r="258" spans="11:12" s="1318" customFormat="1">
      <c r="K258" s="1319"/>
      <c r="L258" s="132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463</v>
      </c>
      <c r="B1" s="454"/>
      <c r="C1" s="455" t="s">
        <v>543</v>
      </c>
      <c r="D1" s="456" t="s">
        <v>465</v>
      </c>
      <c r="E1" s="674"/>
      <c r="F1" s="675"/>
      <c r="G1" s="674"/>
      <c r="H1" s="674"/>
      <c r="I1" s="674"/>
      <c r="J1" s="674"/>
      <c r="K1" s="676"/>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425</v>
      </c>
      <c r="B2" s="459" t="e">
        <f>F62</f>
        <v>#DIV/0!</v>
      </c>
      <c r="C2" s="2727"/>
      <c r="D2" s="2727"/>
      <c r="E2" s="2727"/>
      <c r="F2" s="2728"/>
      <c r="G2" s="2727"/>
      <c r="H2" s="2727"/>
      <c r="I2" s="2727"/>
      <c r="J2" s="2727"/>
      <c r="K2" s="2729"/>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c r="A3" s="1169" t="s">
        <v>1216</v>
      </c>
      <c r="B3" s="461" t="e">
        <f>ROUND(B2*10000/'数据-汇总表'!E3,0)</f>
        <v>#DIV/0!</v>
      </c>
      <c r="C3" s="2726"/>
      <c r="D3" s="2726"/>
      <c r="E3" s="2726"/>
      <c r="F3" s="2726"/>
      <c r="G3" s="2727"/>
      <c r="H3" s="2727"/>
      <c r="I3" s="2727"/>
      <c r="J3" s="2727"/>
      <c r="K3" s="2729"/>
      <c r="L3" s="1737"/>
      <c r="M3" s="1738"/>
      <c r="N3" s="1738"/>
      <c r="O3" s="1738"/>
      <c r="P3" s="1738"/>
      <c r="Q3" s="1738"/>
      <c r="R3" s="1738"/>
      <c r="S3" s="1738"/>
      <c r="T3" s="1738"/>
      <c r="U3" s="1738"/>
      <c r="V3" s="1738"/>
      <c r="W3" s="1738"/>
      <c r="X3" s="1738"/>
      <c r="Y3" s="1738"/>
      <c r="Z3" s="1738"/>
      <c r="AA3" s="1738"/>
      <c r="AB3" s="1672"/>
      <c r="AC3" s="1672"/>
    </row>
    <row r="4" spans="1:29" s="1128" customFormat="1" ht="28.5" customHeight="1">
      <c r="A4" s="462" t="s">
        <v>467</v>
      </c>
      <c r="B4" s="397" t="e">
        <f>IF(B43="单位面积地价",C45,ROUND(B2*10000/'数据-汇总表'!D3,0))</f>
        <v>#DIV/0!</v>
      </c>
      <c r="C4" s="2726"/>
      <c r="D4" s="2726"/>
      <c r="E4" s="2726"/>
      <c r="F4" s="2726"/>
      <c r="G4" s="2727"/>
      <c r="H4" s="2727"/>
      <c r="I4" s="2727"/>
      <c r="J4" s="2727"/>
      <c r="K4" s="2729"/>
      <c r="L4" s="1737"/>
      <c r="M4" s="1738"/>
      <c r="N4" s="1738"/>
      <c r="O4" s="1738"/>
      <c r="P4" s="1738"/>
      <c r="Q4" s="1738"/>
      <c r="R4" s="1738"/>
      <c r="S4" s="1738"/>
      <c r="T4" s="1738"/>
      <c r="U4" s="1738"/>
      <c r="V4" s="1738"/>
      <c r="W4" s="1738"/>
      <c r="X4" s="1738"/>
      <c r="Y4" s="1738"/>
      <c r="Z4" s="1738"/>
      <c r="AA4" s="1738"/>
      <c r="AB4" s="1738"/>
      <c r="AC4" s="1672"/>
    </row>
    <row r="5" spans="1:29" s="1128" customFormat="1" ht="28.5" customHeight="1" thickBot="1">
      <c r="A5" s="399"/>
      <c r="B5" s="400" t="e">
        <f>ROUND(B2/('数据-汇总表'!D3/666.67),0)</f>
        <v>#DIV/0!</v>
      </c>
      <c r="C5" s="401" t="s">
        <v>427</v>
      </c>
      <c r="D5" s="2726"/>
      <c r="E5" s="2726"/>
      <c r="F5" s="2726"/>
      <c r="G5" s="2727"/>
      <c r="H5" s="2727"/>
      <c r="I5" s="2727"/>
      <c r="J5" s="2727"/>
      <c r="K5" s="2729"/>
      <c r="L5" s="1737"/>
      <c r="M5" s="1738"/>
      <c r="N5" s="1738"/>
      <c r="O5" s="1738"/>
      <c r="P5" s="1738"/>
      <c r="Q5" s="1738"/>
      <c r="R5" s="1738"/>
      <c r="S5" s="1738"/>
      <c r="T5" s="1738"/>
      <c r="U5" s="1738"/>
      <c r="V5" s="1738"/>
      <c r="W5" s="1738"/>
      <c r="X5" s="1738"/>
      <c r="Y5" s="1738"/>
      <c r="Z5" s="1738"/>
      <c r="AA5" s="1738"/>
      <c r="AB5" s="2718"/>
      <c r="AC5" s="1672"/>
    </row>
    <row r="6" spans="1:29" ht="15">
      <c r="A6" s="463" t="s">
        <v>468</v>
      </c>
      <c r="B6" s="464"/>
      <c r="C6" s="3604" t="s">
        <v>469</v>
      </c>
      <c r="D6" s="3605"/>
      <c r="E6" s="3639" t="s">
        <v>470</v>
      </c>
      <c r="F6" s="3640"/>
      <c r="G6" s="3604" t="s">
        <v>471</v>
      </c>
      <c r="H6" s="3605"/>
      <c r="I6" s="3604" t="s">
        <v>472</v>
      </c>
      <c r="J6" s="3605"/>
      <c r="K6" s="465" t="s">
        <v>473</v>
      </c>
      <c r="L6" s="1739"/>
      <c r="M6" s="1740"/>
      <c r="N6" s="1740"/>
      <c r="O6" s="1740"/>
      <c r="P6" s="3606" t="s">
        <v>474</v>
      </c>
      <c r="Q6" s="3607"/>
      <c r="R6" s="3612" t="s">
        <v>470</v>
      </c>
      <c r="S6" s="3613"/>
      <c r="T6" s="3612" t="s">
        <v>471</v>
      </c>
      <c r="U6" s="3613"/>
      <c r="V6" s="3599" t="s">
        <v>472</v>
      </c>
      <c r="W6" s="3599"/>
      <c r="X6" s="1300"/>
      <c r="Y6" s="3612" t="s">
        <v>474</v>
      </c>
      <c r="Z6" s="3613"/>
      <c r="AA6" s="3601" t="s">
        <v>470</v>
      </c>
      <c r="AB6" s="3602" t="s">
        <v>471</v>
      </c>
      <c r="AC6" s="3601" t="s">
        <v>472</v>
      </c>
    </row>
    <row r="7" spans="1:29" ht="15">
      <c r="A7" s="466"/>
      <c r="B7" s="467"/>
      <c r="C7" s="3620" t="s">
        <v>2180</v>
      </c>
      <c r="D7" s="3621"/>
      <c r="E7" s="3641" t="s">
        <v>2181</v>
      </c>
      <c r="F7" s="3642"/>
      <c r="G7" s="3620" t="s">
        <v>2182</v>
      </c>
      <c r="H7" s="3621"/>
      <c r="I7" s="3620" t="s">
        <v>2183</v>
      </c>
      <c r="J7" s="3621"/>
      <c r="K7" s="465"/>
      <c r="L7" s="1739"/>
      <c r="M7" s="1740"/>
      <c r="N7" s="1740"/>
      <c r="O7" s="1740"/>
      <c r="P7" s="3608"/>
      <c r="Q7" s="3609"/>
      <c r="R7" s="3614"/>
      <c r="S7" s="3615"/>
      <c r="T7" s="3614"/>
      <c r="U7" s="3615"/>
      <c r="V7" s="3599"/>
      <c r="W7" s="3599"/>
      <c r="X7" s="1300"/>
      <c r="Y7" s="3614"/>
      <c r="Z7" s="3615"/>
      <c r="AA7" s="3602"/>
      <c r="AB7" s="3602"/>
      <c r="AC7" s="3602"/>
    </row>
    <row r="8" spans="1:29" ht="15.75" thickBot="1">
      <c r="A8" s="468"/>
      <c r="B8" s="469"/>
      <c r="C8" s="3618" t="s">
        <v>2184</v>
      </c>
      <c r="D8" s="3619"/>
      <c r="E8" s="3637" t="s">
        <v>2184</v>
      </c>
      <c r="F8" s="3638"/>
      <c r="G8" s="3618" t="s">
        <v>2184</v>
      </c>
      <c r="H8" s="3619"/>
      <c r="I8" s="3618" t="s">
        <v>2184</v>
      </c>
      <c r="J8" s="3619"/>
      <c r="K8" s="465" t="s">
        <v>475</v>
      </c>
      <c r="L8" s="1739"/>
      <c r="M8" s="1740"/>
      <c r="N8" s="1740"/>
      <c r="O8" s="1740"/>
      <c r="P8" s="3610"/>
      <c r="Q8" s="3611"/>
      <c r="R8" s="3614"/>
      <c r="S8" s="3615"/>
      <c r="T8" s="3616"/>
      <c r="U8" s="3617"/>
      <c r="V8" s="3599"/>
      <c r="W8" s="3599"/>
      <c r="X8" s="1300"/>
      <c r="Y8" s="3616"/>
      <c r="Z8" s="3617"/>
      <c r="AA8" s="3603"/>
      <c r="AB8" s="3603"/>
      <c r="AC8" s="3603"/>
    </row>
    <row r="9" spans="1:29" s="1057" customFormat="1" ht="15.75" thickBot="1">
      <c r="A9" s="2207"/>
      <c r="B9" s="2214" t="s">
        <v>476</v>
      </c>
      <c r="C9" s="470">
        <f>'数据-取费表'!B2</f>
        <v>45817</v>
      </c>
      <c r="D9" s="471">
        <v>100</v>
      </c>
      <c r="E9" s="472"/>
      <c r="F9" s="473">
        <f>SUMIF(66:66,YEAR(E9)&amp;"-"&amp;INT((MONTH(E9)+2)/3),67:67)</f>
        <v>0</v>
      </c>
      <c r="G9" s="474"/>
      <c r="H9" s="471">
        <f>SUMIF(66:66,YEAR(G9)&amp;"-"&amp;INT((MONTH(G9)+2)/3),67:67)</f>
        <v>0</v>
      </c>
      <c r="I9" s="474"/>
      <c r="J9" s="471">
        <f>SUMIF(66:66,YEAR(I9)&amp;"-"&amp;INT((MONTH(I9)+2)/3),67:67)</f>
        <v>0</v>
      </c>
      <c r="K9" s="88"/>
      <c r="L9" s="1741"/>
      <c r="M9" s="1638"/>
      <c r="N9" s="1638"/>
      <c r="O9" s="1638"/>
      <c r="P9" s="3628" t="s">
        <v>477</v>
      </c>
      <c r="Q9" s="3630"/>
      <c r="R9" s="1301" t="s">
        <v>5</v>
      </c>
      <c r="S9" s="1302">
        <f t="shared" ref="S9:S17" si="0">F9</f>
        <v>0</v>
      </c>
      <c r="T9" s="1301" t="s">
        <v>5</v>
      </c>
      <c r="U9" s="1302">
        <f t="shared" ref="U9:U17" si="1">H9</f>
        <v>0</v>
      </c>
      <c r="V9" s="1301" t="s">
        <v>5</v>
      </c>
      <c r="W9" s="1302">
        <f t="shared" ref="W9:W17" si="2">J9</f>
        <v>0</v>
      </c>
      <c r="X9" s="1303"/>
      <c r="Y9" s="3628" t="s">
        <v>477</v>
      </c>
      <c r="Z9" s="3629"/>
      <c r="AA9" s="994" t="e">
        <f>D9/F9</f>
        <v>#DIV/0!</v>
      </c>
      <c r="AB9" s="994" t="e">
        <f>D9/H9</f>
        <v>#DIV/0!</v>
      </c>
      <c r="AC9" s="994" t="e">
        <f>D9/J9</f>
        <v>#DIV/0!</v>
      </c>
    </row>
    <row r="10" spans="1:29" s="1057" customFormat="1" ht="15.75" thickBot="1">
      <c r="A10" s="2208"/>
      <c r="B10" s="2215" t="s">
        <v>478</v>
      </c>
      <c r="C10" s="475" t="s">
        <v>479</v>
      </c>
      <c r="D10" s="471">
        <v>100</v>
      </c>
      <c r="E10" s="475"/>
      <c r="F10" s="473">
        <f>SUMIF(69:69,E10,70:70)-SUMIF(69:69,C10,70:70)+100</f>
        <v>0</v>
      </c>
      <c r="G10" s="475"/>
      <c r="H10" s="471">
        <f>SUMIF(69:69,G10,70:70)-SUMIF(69:69,C10,70:70)+100</f>
        <v>0</v>
      </c>
      <c r="I10" s="475"/>
      <c r="J10" s="471">
        <f>SUMIF(69:69,I10,70:70)-SUMIF(69:69,C10,70:70)+100</f>
        <v>0</v>
      </c>
      <c r="K10" s="88"/>
      <c r="L10" s="1741"/>
      <c r="M10" s="1638"/>
      <c r="N10" s="1638"/>
      <c r="O10" s="1638"/>
      <c r="P10" s="3628" t="s">
        <v>480</v>
      </c>
      <c r="Q10" s="3629"/>
      <c r="R10" s="1301" t="s">
        <v>5</v>
      </c>
      <c r="S10" s="1302">
        <f t="shared" si="0"/>
        <v>0</v>
      </c>
      <c r="T10" s="1301" t="s">
        <v>5</v>
      </c>
      <c r="U10" s="1302">
        <f t="shared" si="1"/>
        <v>0</v>
      </c>
      <c r="V10" s="1301" t="s">
        <v>5</v>
      </c>
      <c r="W10" s="1302">
        <f t="shared" si="2"/>
        <v>0</v>
      </c>
      <c r="X10" s="1303"/>
      <c r="Y10" s="3628" t="s">
        <v>480</v>
      </c>
      <c r="Z10" s="3629"/>
      <c r="AA10" s="994" t="e">
        <f t="shared" ref="AA10:AA42" si="3">D10/F10</f>
        <v>#DIV/0!</v>
      </c>
      <c r="AB10" s="994" t="e">
        <f t="shared" ref="AB10:AB42" si="4">D10/H10</f>
        <v>#DIV/0!</v>
      </c>
      <c r="AC10" s="994" t="e">
        <f t="shared" ref="AC10:AC42" si="5">D10/J10</f>
        <v>#DIV/0!</v>
      </c>
    </row>
    <row r="11" spans="1:29" s="1057" customFormat="1" ht="15">
      <c r="A11" s="2209"/>
      <c r="B11" s="2216" t="s">
        <v>2036</v>
      </c>
      <c r="C11" s="476"/>
      <c r="D11" s="154">
        <v>100</v>
      </c>
      <c r="E11" s="476"/>
      <c r="F11" s="154">
        <f>SUMIF(71:71,E11,72:72)-SUMIF(71:71,C11,72:72)+100</f>
        <v>100</v>
      </c>
      <c r="G11" s="476"/>
      <c r="H11" s="154">
        <f>SUMIF(71:71,G11,72:72)-SUMIF(71:71,C11,72:72)+100</f>
        <v>100</v>
      </c>
      <c r="I11" s="476"/>
      <c r="J11" s="154">
        <f>SUMIF(71:71,I11,72:72)-SUMIF(71:71,C11,72:72)+100</f>
        <v>100</v>
      </c>
      <c r="K11" s="88"/>
      <c r="L11" s="1741"/>
      <c r="M11" s="1638"/>
      <c r="N11" s="1638"/>
      <c r="O11" s="1742"/>
      <c r="P11" s="3598" t="s">
        <v>482</v>
      </c>
      <c r="Q11" s="817" t="str">
        <f t="shared" ref="Q11:Q17" si="6">B11</f>
        <v>用途</v>
      </c>
      <c r="R11" s="1301" t="s">
        <v>5</v>
      </c>
      <c r="S11" s="1302">
        <f t="shared" si="0"/>
        <v>100</v>
      </c>
      <c r="T11" s="1301" t="s">
        <v>5</v>
      </c>
      <c r="U11" s="1302">
        <f t="shared" si="1"/>
        <v>100</v>
      </c>
      <c r="V11" s="1301" t="s">
        <v>5</v>
      </c>
      <c r="W11" s="1302">
        <f t="shared" si="2"/>
        <v>100</v>
      </c>
      <c r="X11" s="1303"/>
      <c r="Y11" s="3540" t="s">
        <v>483</v>
      </c>
      <c r="Z11" s="994" t="str">
        <f t="shared" ref="Z11:Z17" si="7">Q11</f>
        <v>用途</v>
      </c>
      <c r="AA11" s="994">
        <f t="shared" si="3"/>
        <v>1</v>
      </c>
      <c r="AB11" s="994">
        <f t="shared" si="4"/>
        <v>1</v>
      </c>
      <c r="AC11" s="994">
        <f t="shared" si="5"/>
        <v>1</v>
      </c>
    </row>
    <row r="12" spans="1:29" s="1130" customFormat="1" ht="27">
      <c r="A12" s="2210"/>
      <c r="B12" s="2215" t="s">
        <v>2037</v>
      </c>
      <c r="C12" s="478"/>
      <c r="D12" s="235">
        <v>100</v>
      </c>
      <c r="E12" s="478"/>
      <c r="F12" s="235">
        <f>ROUND(100/'数据-取费表'!G16,0)</f>
        <v>115</v>
      </c>
      <c r="G12" s="478"/>
      <c r="H12" s="235">
        <f>ROUND(100/'数据-取费表'!G16,0)</f>
        <v>115</v>
      </c>
      <c r="I12" s="478"/>
      <c r="J12" s="235">
        <f>ROUND(100/'数据-取费表'!G16,0)</f>
        <v>115</v>
      </c>
      <c r="K12" s="481"/>
      <c r="L12" s="1743"/>
      <c r="M12" s="1776"/>
      <c r="N12" s="1776"/>
      <c r="O12" s="1744"/>
      <c r="P12" s="3598"/>
      <c r="Q12" s="817" t="str">
        <f t="shared" si="6"/>
        <v>土地使用年限（年）</v>
      </c>
      <c r="R12" s="1301" t="s">
        <v>5</v>
      </c>
      <c r="S12" s="1302">
        <f t="shared" si="0"/>
        <v>115</v>
      </c>
      <c r="T12" s="1301" t="s">
        <v>5</v>
      </c>
      <c r="U12" s="1302">
        <f t="shared" si="1"/>
        <v>115</v>
      </c>
      <c r="V12" s="1301" t="s">
        <v>5</v>
      </c>
      <c r="W12" s="1302">
        <f t="shared" si="2"/>
        <v>115</v>
      </c>
      <c r="X12" s="1303"/>
      <c r="Y12" s="3540"/>
      <c r="Z12" s="994" t="str">
        <f t="shared" si="7"/>
        <v>土地使用年限（年）</v>
      </c>
      <c r="AA12" s="994">
        <f t="shared" si="3"/>
        <v>0.86956521739130432</v>
      </c>
      <c r="AB12" s="994">
        <f t="shared" si="4"/>
        <v>0.86956521739130432</v>
      </c>
      <c r="AC12" s="994">
        <f t="shared" si="5"/>
        <v>0.86956521739130432</v>
      </c>
    </row>
    <row r="13" spans="1:29" ht="15">
      <c r="A13" s="2211"/>
      <c r="B13" s="2215" t="s">
        <v>2038</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5"/>
      <c r="M13" s="1740"/>
      <c r="N13" s="1740"/>
      <c r="O13" s="1746"/>
      <c r="P13" s="3598"/>
      <c r="Q13" s="817" t="str">
        <f t="shared" si="6"/>
        <v>容积率</v>
      </c>
      <c r="R13" s="1301" t="s">
        <v>5</v>
      </c>
      <c r="S13" s="1302" t="e">
        <f t="shared" si="0"/>
        <v>#N/A</v>
      </c>
      <c r="T13" s="1301" t="s">
        <v>5</v>
      </c>
      <c r="U13" s="1302" t="e">
        <f t="shared" si="1"/>
        <v>#N/A</v>
      </c>
      <c r="V13" s="1301" t="s">
        <v>5</v>
      </c>
      <c r="W13" s="1302" t="e">
        <f t="shared" si="2"/>
        <v>#N/A</v>
      </c>
      <c r="X13" s="1303"/>
      <c r="Y13" s="3540"/>
      <c r="Z13" s="994" t="str">
        <f t="shared" si="7"/>
        <v>容积率</v>
      </c>
      <c r="AA13" s="994" t="e">
        <f t="shared" si="3"/>
        <v>#N/A</v>
      </c>
      <c r="AB13" s="994" t="e">
        <f t="shared" si="4"/>
        <v>#N/A</v>
      </c>
      <c r="AC13" s="994" t="e">
        <f t="shared" si="5"/>
        <v>#N/A</v>
      </c>
    </row>
    <row r="14" spans="1:29" s="1057" customFormat="1" ht="15">
      <c r="A14" s="2212"/>
      <c r="B14" s="2218">
        <v>111</v>
      </c>
      <c r="C14" s="478"/>
      <c r="D14" s="488">
        <v>100</v>
      </c>
      <c r="E14" s="491"/>
      <c r="F14" s="235">
        <f>SUMIF(78:78,E14,79:79)-SUMIF(78:78,C14,79:79)+100</f>
        <v>100</v>
      </c>
      <c r="G14" s="492"/>
      <c r="H14" s="235">
        <f>SUMIF(78:78,G14,79:79)-SUMIF(78:78,C14,79:79)+100</f>
        <v>100</v>
      </c>
      <c r="I14" s="491"/>
      <c r="J14" s="235">
        <f>SUMIF(78:78,I14,79:79)-SUMIF(78:78,C14,79:79)+100</f>
        <v>100</v>
      </c>
      <c r="K14" s="481"/>
      <c r="L14" s="1741"/>
      <c r="M14" s="1638"/>
      <c r="N14" s="1638"/>
      <c r="O14" s="1742"/>
      <c r="P14" s="3598"/>
      <c r="Q14" s="817">
        <f t="shared" si="6"/>
        <v>111</v>
      </c>
      <c r="R14" s="1301" t="s">
        <v>5</v>
      </c>
      <c r="S14" s="1302">
        <f t="shared" si="0"/>
        <v>100</v>
      </c>
      <c r="T14" s="1301" t="s">
        <v>5</v>
      </c>
      <c r="U14" s="1302">
        <f t="shared" si="1"/>
        <v>100</v>
      </c>
      <c r="V14" s="1301" t="s">
        <v>5</v>
      </c>
      <c r="W14" s="1302">
        <f t="shared" si="2"/>
        <v>100</v>
      </c>
      <c r="X14" s="1303"/>
      <c r="Y14" s="3540"/>
      <c r="Z14" s="994">
        <f t="shared" si="7"/>
        <v>111</v>
      </c>
      <c r="AA14" s="994">
        <f>D14/F14</f>
        <v>1</v>
      </c>
      <c r="AB14" s="994">
        <f>D14/H14</f>
        <v>1</v>
      </c>
      <c r="AC14" s="994">
        <f>D14/J14</f>
        <v>1</v>
      </c>
    </row>
    <row r="15" spans="1:29" ht="15">
      <c r="A15" s="2212"/>
      <c r="B15" s="2218">
        <v>111</v>
      </c>
      <c r="C15" s="489"/>
      <c r="D15" s="490">
        <v>100</v>
      </c>
      <c r="E15" s="491"/>
      <c r="F15" s="235">
        <f>SUMIF(80:80,E15,81:81)-SUMIF(80:80,C15,81:81)+100</f>
        <v>100</v>
      </c>
      <c r="G15" s="492"/>
      <c r="H15" s="490">
        <f>SUMIF(80:80,G15,81:81)-SUMIF(80:80,C15,81:81)+100</f>
        <v>100</v>
      </c>
      <c r="I15" s="491"/>
      <c r="J15" s="490">
        <f>SUMIF(80:80,I15,81:81)-SUMIF(80:80,C15,81:81)+100</f>
        <v>100</v>
      </c>
      <c r="K15" s="481"/>
      <c r="L15" s="1747"/>
      <c r="M15" s="1740"/>
      <c r="N15" s="1740"/>
      <c r="O15" s="1746"/>
      <c r="P15" s="3598"/>
      <c r="Q15" s="817">
        <f t="shared" si="6"/>
        <v>111</v>
      </c>
      <c r="R15" s="1301" t="s">
        <v>5</v>
      </c>
      <c r="S15" s="1302">
        <f t="shared" si="0"/>
        <v>100</v>
      </c>
      <c r="T15" s="1301" t="s">
        <v>5</v>
      </c>
      <c r="U15" s="1302">
        <f t="shared" si="1"/>
        <v>100</v>
      </c>
      <c r="V15" s="1301" t="s">
        <v>5</v>
      </c>
      <c r="W15" s="1302">
        <f t="shared" si="2"/>
        <v>100</v>
      </c>
      <c r="X15" s="1303"/>
      <c r="Y15" s="3540"/>
      <c r="Z15" s="994">
        <f t="shared" si="7"/>
        <v>111</v>
      </c>
      <c r="AA15" s="994">
        <f t="shared" si="3"/>
        <v>1</v>
      </c>
      <c r="AB15" s="994">
        <f t="shared" si="4"/>
        <v>1</v>
      </c>
      <c r="AC15" s="994">
        <f t="shared" si="5"/>
        <v>1</v>
      </c>
    </row>
    <row r="16" spans="1:29" ht="15.75" thickBot="1">
      <c r="A16" s="2213"/>
      <c r="B16" s="2219">
        <v>111</v>
      </c>
      <c r="C16" s="495"/>
      <c r="D16" s="496">
        <v>100</v>
      </c>
      <c r="E16" s="491"/>
      <c r="F16" s="496">
        <f>SUMIF(82:82,E16,83:83)-SUMIF(82:82,C16,83:83)+100</f>
        <v>100</v>
      </c>
      <c r="G16" s="492"/>
      <c r="H16" s="496">
        <f>SUMIF(82:82,G16,83:83)-SUMIF(82:82,C16,83:83)+100</f>
        <v>100</v>
      </c>
      <c r="I16" s="491"/>
      <c r="J16" s="496">
        <f>SUMIF(82:82,I16,83:83)-SUMIF(82:82,C16,83:83)+100</f>
        <v>100</v>
      </c>
      <c r="K16" s="481"/>
      <c r="L16" s="1747"/>
      <c r="M16" s="1740"/>
      <c r="N16" s="1740"/>
      <c r="O16" s="1746"/>
      <c r="P16" s="3598"/>
      <c r="Q16" s="817">
        <f t="shared" si="6"/>
        <v>111</v>
      </c>
      <c r="R16" s="1301" t="s">
        <v>5</v>
      </c>
      <c r="S16" s="1302">
        <f t="shared" si="0"/>
        <v>100</v>
      </c>
      <c r="T16" s="1301" t="s">
        <v>5</v>
      </c>
      <c r="U16" s="1302">
        <f t="shared" si="1"/>
        <v>100</v>
      </c>
      <c r="V16" s="1301" t="s">
        <v>5</v>
      </c>
      <c r="W16" s="1302">
        <f t="shared" si="2"/>
        <v>100</v>
      </c>
      <c r="X16" s="1303"/>
      <c r="Y16" s="3540"/>
      <c r="Z16" s="994">
        <f t="shared" si="7"/>
        <v>111</v>
      </c>
      <c r="AA16" s="994">
        <f t="shared" si="3"/>
        <v>1</v>
      </c>
      <c r="AB16" s="994">
        <f t="shared" si="4"/>
        <v>1</v>
      </c>
      <c r="AC16" s="994">
        <f t="shared" si="5"/>
        <v>1</v>
      </c>
    </row>
    <row r="17" spans="1:29" ht="15">
      <c r="A17" s="2205" t="s">
        <v>2034</v>
      </c>
      <c r="B17" s="150" t="s">
        <v>544</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7"/>
      <c r="M17" s="1740"/>
      <c r="N17" s="1740"/>
      <c r="O17" s="1746"/>
      <c r="P17" s="3631" t="s">
        <v>487</v>
      </c>
      <c r="Q17" s="1304" t="str">
        <f t="shared" si="6"/>
        <v>产业集聚程度</v>
      </c>
      <c r="R17" s="1305" t="s">
        <v>5</v>
      </c>
      <c r="S17" s="1306">
        <f t="shared" si="0"/>
        <v>100</v>
      </c>
      <c r="T17" s="1305" t="s">
        <v>5</v>
      </c>
      <c r="U17" s="1306">
        <f t="shared" si="1"/>
        <v>100</v>
      </c>
      <c r="V17" s="1305" t="s">
        <v>5</v>
      </c>
      <c r="W17" s="1306">
        <f t="shared" si="2"/>
        <v>100</v>
      </c>
      <c r="X17" s="1300"/>
      <c r="Y17" s="3631" t="s">
        <v>487</v>
      </c>
      <c r="Z17" s="1307" t="str">
        <f t="shared" si="7"/>
        <v>产业集聚程度</v>
      </c>
      <c r="AA17" s="1307">
        <f t="shared" si="3"/>
        <v>1</v>
      </c>
      <c r="AB17" s="1307">
        <f t="shared" si="4"/>
        <v>1</v>
      </c>
      <c r="AC17" s="1307">
        <f t="shared" si="5"/>
        <v>1</v>
      </c>
    </row>
    <row r="18" spans="1:29" ht="15">
      <c r="A18" s="482"/>
      <c r="B18" s="799"/>
      <c r="C18" s="526"/>
      <c r="D18" s="505"/>
      <c r="E18" s="504"/>
      <c r="F18" s="505"/>
      <c r="G18" s="504"/>
      <c r="H18" s="509"/>
      <c r="I18" s="504"/>
      <c r="J18" s="505"/>
      <c r="K18" s="481"/>
      <c r="L18" s="1747"/>
      <c r="M18" s="1740"/>
      <c r="N18" s="1740"/>
      <c r="O18" s="1746"/>
      <c r="P18" s="3632"/>
      <c r="Q18" s="1304"/>
      <c r="R18" s="1305"/>
      <c r="S18" s="1306"/>
      <c r="T18" s="1305"/>
      <c r="U18" s="1306"/>
      <c r="V18" s="1305"/>
      <c r="W18" s="1306"/>
      <c r="X18" s="1300"/>
      <c r="Y18" s="3632"/>
      <c r="Z18" s="1307"/>
      <c r="AA18" s="1307">
        <v>1</v>
      </c>
      <c r="AB18" s="1307">
        <v>1</v>
      </c>
      <c r="AC18" s="1307">
        <v>1</v>
      </c>
    </row>
    <row r="19" spans="1:29" ht="15">
      <c r="A19" s="482"/>
      <c r="B19" s="677" t="s">
        <v>490</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7"/>
      <c r="M19" s="1740"/>
      <c r="N19" s="1740"/>
      <c r="O19" s="1746"/>
      <c r="P19" s="3632"/>
      <c r="Q19" s="1304" t="str">
        <f>B19</f>
        <v>交通便捷度</v>
      </c>
      <c r="R19" s="1305" t="s">
        <v>5</v>
      </c>
      <c r="S19" s="1306">
        <f>F19</f>
        <v>100</v>
      </c>
      <c r="T19" s="1305" t="s">
        <v>5</v>
      </c>
      <c r="U19" s="1306">
        <f>H19</f>
        <v>100</v>
      </c>
      <c r="V19" s="1305" t="s">
        <v>5</v>
      </c>
      <c r="W19" s="1306">
        <f>J19</f>
        <v>100</v>
      </c>
      <c r="X19" s="1300"/>
      <c r="Y19" s="3632"/>
      <c r="Z19" s="1307" t="str">
        <f>Q19</f>
        <v>交通便捷度</v>
      </c>
      <c r="AA19" s="1307">
        <f t="shared" si="3"/>
        <v>1</v>
      </c>
      <c r="AB19" s="1307">
        <f t="shared" si="4"/>
        <v>1</v>
      </c>
      <c r="AC19" s="1307">
        <f t="shared" si="5"/>
        <v>1</v>
      </c>
    </row>
    <row r="20" spans="1:29" ht="15">
      <c r="A20" s="482"/>
      <c r="B20" s="843"/>
      <c r="C20" s="526"/>
      <c r="D20" s="505"/>
      <c r="E20" s="506"/>
      <c r="F20" s="505"/>
      <c r="G20" s="506"/>
      <c r="H20" s="505"/>
      <c r="I20" s="508"/>
      <c r="J20" s="505"/>
      <c r="K20" s="481"/>
      <c r="L20" s="1747"/>
      <c r="M20" s="1740"/>
      <c r="N20" s="1740"/>
      <c r="O20" s="1746"/>
      <c r="P20" s="3632"/>
      <c r="Q20" s="1304"/>
      <c r="R20" s="1305"/>
      <c r="S20" s="1306"/>
      <c r="T20" s="1305"/>
      <c r="U20" s="1306"/>
      <c r="V20" s="1305"/>
      <c r="W20" s="1306"/>
      <c r="X20" s="1300"/>
      <c r="Y20" s="3632"/>
      <c r="Z20" s="1307"/>
      <c r="AA20" s="1307">
        <v>1</v>
      </c>
      <c r="AB20" s="1307">
        <v>1</v>
      </c>
      <c r="AC20" s="1307">
        <v>1</v>
      </c>
    </row>
    <row r="21" spans="1:29" ht="27">
      <c r="A21" s="466"/>
      <c r="B21" s="677" t="s">
        <v>491</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7"/>
      <c r="L21" s="1747"/>
      <c r="M21" s="1740"/>
      <c r="N21" s="1740"/>
      <c r="O21" s="1746"/>
      <c r="P21" s="3632"/>
      <c r="Q21" s="1304" t="str">
        <f t="shared" ref="Q21:Q35" si="8">B21</f>
        <v>区域土地利用方向</v>
      </c>
      <c r="R21" s="1305" t="s">
        <v>5</v>
      </c>
      <c r="S21" s="1306">
        <f>F21</f>
        <v>100</v>
      </c>
      <c r="T21" s="1305" t="s">
        <v>5</v>
      </c>
      <c r="U21" s="1306">
        <f>H21</f>
        <v>100</v>
      </c>
      <c r="V21" s="1305" t="s">
        <v>5</v>
      </c>
      <c r="W21" s="1306">
        <f>J21</f>
        <v>100</v>
      </c>
      <c r="X21" s="1300"/>
      <c r="Y21" s="3632"/>
      <c r="Z21" s="1307" t="str">
        <f>Q21</f>
        <v>区域土地利用方向</v>
      </c>
      <c r="AA21" s="1307">
        <f t="shared" si="3"/>
        <v>1</v>
      </c>
      <c r="AB21" s="1307">
        <f t="shared" si="4"/>
        <v>1</v>
      </c>
      <c r="AC21" s="1307">
        <f t="shared" si="5"/>
        <v>1</v>
      </c>
    </row>
    <row r="22" spans="1:29" ht="15">
      <c r="A22" s="466"/>
      <c r="B22" s="544"/>
      <c r="C22" s="526"/>
      <c r="D22" s="505"/>
      <c r="E22" s="506"/>
      <c r="F22" s="507"/>
      <c r="G22" s="508"/>
      <c r="H22" s="507"/>
      <c r="I22" s="508"/>
      <c r="J22" s="507"/>
      <c r="K22" s="1139"/>
      <c r="L22" s="1747"/>
      <c r="M22" s="1740"/>
      <c r="N22" s="1740"/>
      <c r="O22" s="1746"/>
      <c r="P22" s="3632"/>
      <c r="Q22" s="1304"/>
      <c r="R22" s="1305"/>
      <c r="S22" s="1306"/>
      <c r="T22" s="1305"/>
      <c r="U22" s="1306"/>
      <c r="V22" s="1305"/>
      <c r="W22" s="1306"/>
      <c r="X22" s="1300"/>
      <c r="Y22" s="3632"/>
      <c r="Z22" s="1307"/>
      <c r="AA22" s="1307"/>
      <c r="AB22" s="1307"/>
      <c r="AC22" s="1307"/>
    </row>
    <row r="23" spans="1:29" ht="15">
      <c r="A23" s="466"/>
      <c r="B23" s="843" t="s">
        <v>545</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7"/>
      <c r="M23" s="1740"/>
      <c r="N23" s="1740"/>
      <c r="O23" s="1746"/>
      <c r="P23" s="3632"/>
      <c r="Q23" s="1304" t="str">
        <f t="shared" si="8"/>
        <v>环境状况</v>
      </c>
      <c r="R23" s="1305" t="s">
        <v>5</v>
      </c>
      <c r="S23" s="1306">
        <f>F23</f>
        <v>100</v>
      </c>
      <c r="T23" s="1305" t="s">
        <v>5</v>
      </c>
      <c r="U23" s="1306">
        <f>H23</f>
        <v>100</v>
      </c>
      <c r="V23" s="1305" t="s">
        <v>5</v>
      </c>
      <c r="W23" s="1306">
        <f>J23</f>
        <v>100</v>
      </c>
      <c r="X23" s="1300"/>
      <c r="Y23" s="3632"/>
      <c r="Z23" s="1307" t="str">
        <f>Q23</f>
        <v>环境状况</v>
      </c>
      <c r="AA23" s="1307">
        <f t="shared" si="3"/>
        <v>1</v>
      </c>
      <c r="AB23" s="1307">
        <f t="shared" si="4"/>
        <v>1</v>
      </c>
      <c r="AC23" s="1307">
        <f t="shared" si="5"/>
        <v>1</v>
      </c>
    </row>
    <row r="24" spans="1:29" ht="15">
      <c r="A24" s="466"/>
      <c r="B24" s="544"/>
      <c r="C24" s="526"/>
      <c r="D24" s="505"/>
      <c r="E24" s="504"/>
      <c r="F24" s="505"/>
      <c r="G24" s="504"/>
      <c r="H24" s="505"/>
      <c r="I24" s="526"/>
      <c r="J24" s="505"/>
      <c r="K24" s="481"/>
      <c r="L24" s="1747"/>
      <c r="M24" s="1740"/>
      <c r="N24" s="1740"/>
      <c r="O24" s="1746"/>
      <c r="P24" s="3632"/>
      <c r="Q24" s="1304"/>
      <c r="R24" s="1305"/>
      <c r="S24" s="1306"/>
      <c r="T24" s="1305"/>
      <c r="U24" s="1306"/>
      <c r="V24" s="1305"/>
      <c r="W24" s="1306"/>
      <c r="X24" s="1300"/>
      <c r="Y24" s="3632"/>
      <c r="Z24" s="1307"/>
      <c r="AA24" s="1307">
        <v>1</v>
      </c>
      <c r="AB24" s="1307">
        <v>1</v>
      </c>
      <c r="AC24" s="1307">
        <v>1</v>
      </c>
    </row>
    <row r="25" spans="1:29" s="1057" customFormat="1" ht="15">
      <c r="A25" s="527"/>
      <c r="B25" s="2050" t="s">
        <v>1829</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1"/>
      <c r="M25" s="1638"/>
      <c r="N25" s="1638"/>
      <c r="O25" s="1742"/>
      <c r="P25" s="3632"/>
      <c r="Q25" s="817" t="str">
        <f t="shared" si="8"/>
        <v>公共配套设施</v>
      </c>
      <c r="R25" s="1301" t="s">
        <v>5</v>
      </c>
      <c r="S25" s="1302">
        <f>F25</f>
        <v>100</v>
      </c>
      <c r="T25" s="1301" t="s">
        <v>5</v>
      </c>
      <c r="U25" s="1302">
        <f>H25</f>
        <v>100</v>
      </c>
      <c r="V25" s="1301" t="s">
        <v>5</v>
      </c>
      <c r="W25" s="1302">
        <f>J25</f>
        <v>100</v>
      </c>
      <c r="X25" s="1303"/>
      <c r="Y25" s="3632"/>
      <c r="Z25" s="994" t="str">
        <f>Q25</f>
        <v>公共配套设施</v>
      </c>
      <c r="AA25" s="1307">
        <f>D25/F25</f>
        <v>1</v>
      </c>
      <c r="AB25" s="1307">
        <f>D25/H25</f>
        <v>1</v>
      </c>
      <c r="AC25" s="1307">
        <f>D25/J25</f>
        <v>1</v>
      </c>
    </row>
    <row r="26" spans="1:29" s="1057" customFormat="1" ht="15">
      <c r="A26" s="527"/>
      <c r="B26" s="544"/>
      <c r="C26" s="2049"/>
      <c r="D26" s="505"/>
      <c r="E26" s="504"/>
      <c r="F26" s="505"/>
      <c r="G26" s="504"/>
      <c r="H26" s="505"/>
      <c r="I26" s="526"/>
      <c r="J26" s="505"/>
      <c r="K26" s="481"/>
      <c r="L26" s="1741"/>
      <c r="M26" s="1638"/>
      <c r="N26" s="1638"/>
      <c r="O26" s="1742"/>
      <c r="P26" s="3632"/>
      <c r="Q26" s="817"/>
      <c r="R26" s="1301"/>
      <c r="S26" s="1302"/>
      <c r="T26" s="1301"/>
      <c r="U26" s="1302"/>
      <c r="V26" s="1301"/>
      <c r="W26" s="1302"/>
      <c r="X26" s="1303"/>
      <c r="Y26" s="3632"/>
      <c r="Z26" s="994"/>
      <c r="AA26" s="994">
        <v>1</v>
      </c>
      <c r="AB26" s="994">
        <v>1</v>
      </c>
      <c r="AC26" s="994">
        <v>1</v>
      </c>
    </row>
    <row r="27" spans="1:29" s="1057" customFormat="1" ht="15">
      <c r="A27" s="527"/>
      <c r="B27" s="2050" t="s">
        <v>1830</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1"/>
      <c r="M27" s="1638"/>
      <c r="N27" s="1638"/>
      <c r="O27" s="1742"/>
      <c r="P27" s="3632"/>
      <c r="Q27" s="817" t="str">
        <f>B27</f>
        <v>基础设施水平</v>
      </c>
      <c r="R27" s="1301" t="s">
        <v>5</v>
      </c>
      <c r="S27" s="1302">
        <f>F27</f>
        <v>100</v>
      </c>
      <c r="T27" s="1301" t="s">
        <v>5</v>
      </c>
      <c r="U27" s="1302">
        <f>H27</f>
        <v>100</v>
      </c>
      <c r="V27" s="1301" t="s">
        <v>5</v>
      </c>
      <c r="W27" s="1302">
        <f>J27</f>
        <v>100</v>
      </c>
      <c r="X27" s="1303"/>
      <c r="Y27" s="3632"/>
      <c r="Z27" s="994" t="str">
        <f>Q27</f>
        <v>基础设施水平</v>
      </c>
      <c r="AA27" s="1307">
        <f>D27/F27</f>
        <v>1</v>
      </c>
      <c r="AB27" s="1307">
        <f>D27/H27</f>
        <v>1</v>
      </c>
      <c r="AC27" s="1307">
        <f>D27/J27</f>
        <v>1</v>
      </c>
    </row>
    <row r="28" spans="1:29" s="1057" customFormat="1" ht="15">
      <c r="A28" s="527"/>
      <c r="B28" s="544"/>
      <c r="C28" s="2049"/>
      <c r="D28" s="505"/>
      <c r="E28" s="529"/>
      <c r="F28" s="505"/>
      <c r="G28" s="529"/>
      <c r="H28" s="505"/>
      <c r="I28" s="529"/>
      <c r="J28" s="505"/>
      <c r="K28" s="481"/>
      <c r="L28" s="1741"/>
      <c r="M28" s="1638"/>
      <c r="N28" s="1638"/>
      <c r="O28" s="1742"/>
      <c r="P28" s="3632"/>
      <c r="Q28" s="817"/>
      <c r="R28" s="1301"/>
      <c r="S28" s="1302"/>
      <c r="T28" s="1301"/>
      <c r="U28" s="1302"/>
      <c r="V28" s="1301"/>
      <c r="W28" s="1302"/>
      <c r="X28" s="1303"/>
      <c r="Y28" s="3632"/>
      <c r="Z28" s="994"/>
      <c r="AA28" s="994">
        <v>1</v>
      </c>
      <c r="AB28" s="994">
        <v>1</v>
      </c>
      <c r="AC28" s="994">
        <v>1</v>
      </c>
    </row>
    <row r="29" spans="1:29" ht="15">
      <c r="A29" s="482"/>
      <c r="B29" s="544" t="s">
        <v>494</v>
      </c>
      <c r="C29" s="532"/>
      <c r="D29" s="490">
        <v>100</v>
      </c>
      <c r="E29" s="530"/>
      <c r="F29" s="490">
        <f>SUMIF(96:96,E29,97:97)-SUMIF(96:96,C29,97:97)+100</f>
        <v>100</v>
      </c>
      <c r="G29" s="530"/>
      <c r="H29" s="490">
        <f>SUMIF(96:96,G29,97:97)-SUMIF(96:96,C29,97:97)+100</f>
        <v>100</v>
      </c>
      <c r="I29" s="530"/>
      <c r="J29" s="490">
        <f>SUMIF(96:96,I29,97:97)-SUMIF(96:96,C29,97:97)+100</f>
        <v>100</v>
      </c>
      <c r="K29" s="485"/>
      <c r="L29" s="1747"/>
      <c r="M29" s="1740"/>
      <c r="N29" s="1740"/>
      <c r="O29" s="1746"/>
      <c r="P29" s="3632"/>
      <c r="Q29" s="1304" t="str">
        <f t="shared" si="8"/>
        <v>临街状况</v>
      </c>
      <c r="R29" s="1305" t="s">
        <v>5</v>
      </c>
      <c r="S29" s="1306">
        <f t="shared" ref="S29:S42" si="9">F29</f>
        <v>100</v>
      </c>
      <c r="T29" s="1305" t="s">
        <v>5</v>
      </c>
      <c r="U29" s="1306">
        <f t="shared" ref="U29:U42" si="10">H29</f>
        <v>100</v>
      </c>
      <c r="V29" s="1305" t="s">
        <v>5</v>
      </c>
      <c r="W29" s="1306">
        <f t="shared" ref="W29:W42" si="11">J29</f>
        <v>100</v>
      </c>
      <c r="X29" s="1300"/>
      <c r="Y29" s="3632"/>
      <c r="Z29" s="1307" t="str">
        <f t="shared" ref="Z29:Z42" si="12">Q29</f>
        <v>临街状况</v>
      </c>
      <c r="AA29" s="1307">
        <f t="shared" si="3"/>
        <v>1</v>
      </c>
      <c r="AB29" s="1307">
        <f t="shared" si="4"/>
        <v>1</v>
      </c>
      <c r="AC29" s="1307">
        <f t="shared" si="5"/>
        <v>1</v>
      </c>
    </row>
    <row r="30" spans="1:29" ht="27">
      <c r="A30" s="482"/>
      <c r="B30" s="843" t="s">
        <v>495</v>
      </c>
      <c r="C30" s="2052">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7"/>
      <c r="M30" s="1740"/>
      <c r="N30" s="1740"/>
      <c r="O30" s="1746"/>
      <c r="P30" s="3632"/>
      <c r="Q30" s="1304" t="str">
        <f t="shared" si="8"/>
        <v>毗邻道路的类型与等级</v>
      </c>
      <c r="R30" s="1305" t="s">
        <v>5</v>
      </c>
      <c r="S30" s="1306">
        <f t="shared" si="9"/>
        <v>100</v>
      </c>
      <c r="T30" s="1305" t="s">
        <v>5</v>
      </c>
      <c r="U30" s="1306">
        <f t="shared" si="10"/>
        <v>100</v>
      </c>
      <c r="V30" s="1305" t="s">
        <v>5</v>
      </c>
      <c r="W30" s="1306">
        <f t="shared" si="11"/>
        <v>100</v>
      </c>
      <c r="X30" s="1300"/>
      <c r="Y30" s="3632"/>
      <c r="Z30" s="1307" t="str">
        <f t="shared" si="12"/>
        <v>毗邻道路的类型与等级</v>
      </c>
      <c r="AA30" s="1307">
        <f t="shared" si="3"/>
        <v>1</v>
      </c>
      <c r="AB30" s="1307">
        <f t="shared" si="4"/>
        <v>1</v>
      </c>
      <c r="AC30" s="1307">
        <f t="shared" si="5"/>
        <v>1</v>
      </c>
    </row>
    <row r="31" spans="1:29" ht="15">
      <c r="A31" s="482"/>
      <c r="B31" s="544"/>
      <c r="C31" s="526"/>
      <c r="D31" s="505"/>
      <c r="E31" s="526"/>
      <c r="F31" s="505"/>
      <c r="G31" s="526"/>
      <c r="H31" s="505"/>
      <c r="I31" s="526"/>
      <c r="J31" s="505"/>
      <c r="K31" s="531"/>
      <c r="L31" s="1747"/>
      <c r="M31" s="1740"/>
      <c r="N31" s="1740"/>
      <c r="O31" s="1746"/>
      <c r="P31" s="3632"/>
      <c r="Q31" s="1304"/>
      <c r="R31" s="1305"/>
      <c r="S31" s="1306"/>
      <c r="T31" s="1305"/>
      <c r="U31" s="1306"/>
      <c r="V31" s="1305"/>
      <c r="W31" s="1306"/>
      <c r="X31" s="1300"/>
      <c r="Y31" s="3632"/>
      <c r="Z31" s="1307"/>
      <c r="AA31" s="1307">
        <v>1</v>
      </c>
      <c r="AB31" s="1307">
        <v>1</v>
      </c>
      <c r="AC31" s="1307">
        <v>1</v>
      </c>
    </row>
    <row r="32" spans="1:29" ht="15">
      <c r="A32" s="482"/>
      <c r="B32" s="477" t="s">
        <v>496</v>
      </c>
      <c r="C32" s="2053">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7"/>
      <c r="M32" s="1740"/>
      <c r="N32" s="1740"/>
      <c r="O32" s="1746"/>
      <c r="P32" s="3632"/>
      <c r="Q32" s="1304" t="str">
        <f t="shared" si="8"/>
        <v>土地级别</v>
      </c>
      <c r="R32" s="1305" t="s">
        <v>5</v>
      </c>
      <c r="S32" s="1306">
        <f t="shared" si="9"/>
        <v>100</v>
      </c>
      <c r="T32" s="1305" t="s">
        <v>5</v>
      </c>
      <c r="U32" s="1306">
        <f t="shared" si="10"/>
        <v>100</v>
      </c>
      <c r="V32" s="1305" t="s">
        <v>5</v>
      </c>
      <c r="W32" s="1306">
        <f t="shared" si="11"/>
        <v>100</v>
      </c>
      <c r="X32" s="1300"/>
      <c r="Y32" s="3632"/>
      <c r="Z32" s="1307" t="str">
        <f t="shared" si="12"/>
        <v>土地级别</v>
      </c>
      <c r="AA32" s="1307">
        <f t="shared" si="3"/>
        <v>1</v>
      </c>
      <c r="AB32" s="1307">
        <f t="shared" si="4"/>
        <v>1</v>
      </c>
      <c r="AC32" s="1307">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7"/>
      <c r="M33" s="1740"/>
      <c r="N33" s="1740"/>
      <c r="O33" s="1746"/>
      <c r="P33" s="3632"/>
      <c r="Q33" s="1304">
        <f t="shared" si="8"/>
        <v>111</v>
      </c>
      <c r="R33" s="1305" t="s">
        <v>5</v>
      </c>
      <c r="S33" s="1306">
        <f t="shared" si="9"/>
        <v>100</v>
      </c>
      <c r="T33" s="1305" t="s">
        <v>5</v>
      </c>
      <c r="U33" s="1306">
        <f t="shared" si="10"/>
        <v>100</v>
      </c>
      <c r="V33" s="1305" t="s">
        <v>5</v>
      </c>
      <c r="W33" s="1306">
        <f t="shared" si="11"/>
        <v>100</v>
      </c>
      <c r="X33" s="1300"/>
      <c r="Y33" s="3632"/>
      <c r="Z33" s="1307">
        <f t="shared" si="12"/>
        <v>111</v>
      </c>
      <c r="AA33" s="1307">
        <f t="shared" si="3"/>
        <v>1</v>
      </c>
      <c r="AB33" s="1307">
        <f t="shared" si="4"/>
        <v>1</v>
      </c>
      <c r="AC33" s="1307">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7"/>
      <c r="M34" s="1740"/>
      <c r="N34" s="1740"/>
      <c r="O34" s="1746"/>
      <c r="P34" s="3633" t="s">
        <v>497</v>
      </c>
      <c r="Q34" s="1304">
        <f t="shared" si="8"/>
        <v>111</v>
      </c>
      <c r="R34" s="1305" t="s">
        <v>5</v>
      </c>
      <c r="S34" s="1306">
        <f t="shared" si="9"/>
        <v>100</v>
      </c>
      <c r="T34" s="1305" t="s">
        <v>5</v>
      </c>
      <c r="U34" s="1306">
        <f t="shared" si="10"/>
        <v>100</v>
      </c>
      <c r="V34" s="1305" t="s">
        <v>5</v>
      </c>
      <c r="W34" s="1306">
        <f t="shared" si="11"/>
        <v>100</v>
      </c>
      <c r="X34" s="1300"/>
      <c r="Y34" s="3634" t="s">
        <v>497</v>
      </c>
      <c r="Z34" s="1307">
        <f t="shared" si="12"/>
        <v>111</v>
      </c>
      <c r="AA34" s="1307">
        <f t="shared" si="3"/>
        <v>1</v>
      </c>
      <c r="AB34" s="1307">
        <f t="shared" si="4"/>
        <v>1</v>
      </c>
      <c r="AC34" s="1307">
        <f t="shared" si="5"/>
        <v>1</v>
      </c>
    </row>
    <row r="35" spans="1:29" s="1131" customFormat="1" ht="15.75" thickBot="1">
      <c r="A35" s="538"/>
      <c r="B35" s="2051">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5"/>
      <c r="M35" s="1769"/>
      <c r="N35" s="1769"/>
      <c r="O35" s="1748"/>
      <c r="P35" s="3634"/>
      <c r="Q35" s="1304">
        <f t="shared" si="8"/>
        <v>111</v>
      </c>
      <c r="R35" s="1308" t="s">
        <v>5</v>
      </c>
      <c r="S35" s="1309">
        <f t="shared" si="9"/>
        <v>100</v>
      </c>
      <c r="T35" s="1308" t="s">
        <v>5</v>
      </c>
      <c r="U35" s="1309">
        <f t="shared" si="10"/>
        <v>100</v>
      </c>
      <c r="V35" s="1308" t="s">
        <v>5</v>
      </c>
      <c r="W35" s="1309">
        <f t="shared" si="11"/>
        <v>100</v>
      </c>
      <c r="X35" s="1310"/>
      <c r="Y35" s="3634"/>
      <c r="Z35" s="1311">
        <f t="shared" si="12"/>
        <v>111</v>
      </c>
      <c r="AA35" s="1307">
        <f t="shared" si="3"/>
        <v>1</v>
      </c>
      <c r="AB35" s="1307">
        <f t="shared" si="4"/>
        <v>1</v>
      </c>
      <c r="AC35" s="1307">
        <f t="shared" si="5"/>
        <v>1</v>
      </c>
    </row>
    <row r="36" spans="1:29" ht="15">
      <c r="A36" s="2202" t="s">
        <v>2035</v>
      </c>
      <c r="B36" s="544" t="s">
        <v>499</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7"/>
      <c r="M36" s="1740"/>
      <c r="N36" s="1740"/>
      <c r="O36" s="1746"/>
      <c r="P36" s="3634"/>
      <c r="Q36" s="1304" t="str">
        <f>B36</f>
        <v>宗地面积</v>
      </c>
      <c r="R36" s="1305" t="s">
        <v>5</v>
      </c>
      <c r="S36" s="1306" t="e">
        <f t="shared" si="9"/>
        <v>#N/A</v>
      </c>
      <c r="T36" s="1305" t="s">
        <v>5</v>
      </c>
      <c r="U36" s="1306" t="e">
        <f t="shared" si="10"/>
        <v>#N/A</v>
      </c>
      <c r="V36" s="1305" t="s">
        <v>5</v>
      </c>
      <c r="W36" s="1306" t="e">
        <f t="shared" si="11"/>
        <v>#N/A</v>
      </c>
      <c r="X36" s="1300"/>
      <c r="Y36" s="3634"/>
      <c r="Z36" s="1307" t="str">
        <f t="shared" si="12"/>
        <v>宗地面积</v>
      </c>
      <c r="AA36" s="1307" t="e">
        <f t="shared" si="3"/>
        <v>#N/A</v>
      </c>
      <c r="AB36" s="1307" t="e">
        <f t="shared" si="4"/>
        <v>#N/A</v>
      </c>
      <c r="AC36" s="1307" t="e">
        <f t="shared" si="5"/>
        <v>#N/A</v>
      </c>
    </row>
    <row r="37" spans="1:29" ht="15">
      <c r="A37" s="543"/>
      <c r="B37" s="477" t="s">
        <v>500</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7"/>
      <c r="M37" s="1740"/>
      <c r="N37" s="1740"/>
      <c r="O37" s="1746"/>
      <c r="P37" s="3634"/>
      <c r="Q37" s="1304" t="str">
        <f t="shared" ref="Q37:Q42" si="13">B37</f>
        <v>宗地形状</v>
      </c>
      <c r="R37" s="1305" t="s">
        <v>5</v>
      </c>
      <c r="S37" s="1306">
        <f t="shared" si="9"/>
        <v>100</v>
      </c>
      <c r="T37" s="1305" t="s">
        <v>5</v>
      </c>
      <c r="U37" s="1306">
        <f t="shared" si="10"/>
        <v>100</v>
      </c>
      <c r="V37" s="1305" t="s">
        <v>5</v>
      </c>
      <c r="W37" s="1306">
        <f t="shared" si="11"/>
        <v>100</v>
      </c>
      <c r="X37" s="1300"/>
      <c r="Y37" s="3634"/>
      <c r="Z37" s="1307" t="str">
        <f t="shared" si="12"/>
        <v>宗地形状</v>
      </c>
      <c r="AA37" s="1307">
        <f t="shared" si="3"/>
        <v>1</v>
      </c>
      <c r="AB37" s="1307">
        <f t="shared" si="4"/>
        <v>1</v>
      </c>
      <c r="AC37" s="1307">
        <f t="shared" si="5"/>
        <v>1</v>
      </c>
    </row>
    <row r="38" spans="1:29" s="1057" customFormat="1" ht="15">
      <c r="A38" s="549"/>
      <c r="B38" s="1552"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1"/>
      <c r="M38" s="1638"/>
      <c r="N38" s="1638"/>
      <c r="O38" s="1742"/>
      <c r="P38" s="3634"/>
      <c r="Q38" s="1304" t="str">
        <f t="shared" si="13"/>
        <v>宗地开发程度</v>
      </c>
      <c r="R38" s="1301" t="s">
        <v>5</v>
      </c>
      <c r="S38" s="1302">
        <f t="shared" si="9"/>
        <v>100</v>
      </c>
      <c r="T38" s="1301" t="s">
        <v>5</v>
      </c>
      <c r="U38" s="1302">
        <f t="shared" si="10"/>
        <v>100</v>
      </c>
      <c r="V38" s="1301" t="s">
        <v>5</v>
      </c>
      <c r="W38" s="1302">
        <f t="shared" si="11"/>
        <v>100</v>
      </c>
      <c r="X38" s="1303"/>
      <c r="Y38" s="3634"/>
      <c r="Z38" s="994" t="str">
        <f t="shared" si="12"/>
        <v>宗地开发程度</v>
      </c>
      <c r="AA38" s="994">
        <f t="shared" si="3"/>
        <v>1</v>
      </c>
      <c r="AB38" s="994">
        <f t="shared" si="4"/>
        <v>1</v>
      </c>
      <c r="AC38" s="994">
        <f t="shared" si="5"/>
        <v>1</v>
      </c>
    </row>
    <row r="39" spans="1:29" ht="15">
      <c r="A39" s="543"/>
      <c r="B39" s="477" t="s">
        <v>502</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7"/>
      <c r="M39" s="1740"/>
      <c r="N39" s="1740"/>
      <c r="O39" s="1746"/>
      <c r="P39" s="3634" t="s">
        <v>547</v>
      </c>
      <c r="Q39" s="1304" t="str">
        <f t="shared" si="13"/>
        <v>工程地质条件</v>
      </c>
      <c r="R39" s="1305" t="s">
        <v>5</v>
      </c>
      <c r="S39" s="1306">
        <f t="shared" si="9"/>
        <v>100</v>
      </c>
      <c r="T39" s="1305" t="s">
        <v>5</v>
      </c>
      <c r="U39" s="1306">
        <f t="shared" si="10"/>
        <v>100</v>
      </c>
      <c r="V39" s="1305" t="s">
        <v>5</v>
      </c>
      <c r="W39" s="1306">
        <f t="shared" si="11"/>
        <v>100</v>
      </c>
      <c r="X39" s="1300"/>
      <c r="Y39" s="3634" t="s">
        <v>547</v>
      </c>
      <c r="Z39" s="1307" t="str">
        <f t="shared" si="12"/>
        <v>工程地质条件</v>
      </c>
      <c r="AA39" s="1307">
        <f t="shared" si="3"/>
        <v>1</v>
      </c>
      <c r="AB39" s="1307">
        <f t="shared" si="4"/>
        <v>1</v>
      </c>
      <c r="AC39" s="1307">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7"/>
      <c r="M40" s="1740"/>
      <c r="N40" s="1740"/>
      <c r="O40" s="1746"/>
      <c r="P40" s="3634"/>
      <c r="Q40" s="1304">
        <f t="shared" si="13"/>
        <v>111</v>
      </c>
      <c r="R40" s="1305" t="s">
        <v>5</v>
      </c>
      <c r="S40" s="1306">
        <f t="shared" si="9"/>
        <v>100</v>
      </c>
      <c r="T40" s="1305" t="s">
        <v>5</v>
      </c>
      <c r="U40" s="1306">
        <f t="shared" si="10"/>
        <v>100</v>
      </c>
      <c r="V40" s="1305" t="s">
        <v>5</v>
      </c>
      <c r="W40" s="1306">
        <f t="shared" si="11"/>
        <v>100</v>
      </c>
      <c r="X40" s="1300"/>
      <c r="Y40" s="3634"/>
      <c r="Z40" s="1307">
        <f t="shared" si="12"/>
        <v>111</v>
      </c>
      <c r="AA40" s="1307">
        <f t="shared" si="3"/>
        <v>1</v>
      </c>
      <c r="AB40" s="1307">
        <f t="shared" si="4"/>
        <v>1</v>
      </c>
      <c r="AC40" s="1307">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7"/>
      <c r="M41" s="1740"/>
      <c r="N41" s="1740"/>
      <c r="O41" s="1746"/>
      <c r="P41" s="3634"/>
      <c r="Q41" s="1304">
        <f t="shared" si="13"/>
        <v>111</v>
      </c>
      <c r="R41" s="1305" t="s">
        <v>5</v>
      </c>
      <c r="S41" s="1306">
        <f t="shared" si="9"/>
        <v>100</v>
      </c>
      <c r="T41" s="1305" t="s">
        <v>5</v>
      </c>
      <c r="U41" s="1306">
        <f t="shared" si="10"/>
        <v>100</v>
      </c>
      <c r="V41" s="1305" t="s">
        <v>5</v>
      </c>
      <c r="W41" s="1306">
        <f t="shared" si="11"/>
        <v>100</v>
      </c>
      <c r="X41" s="1300"/>
      <c r="Y41" s="3634"/>
      <c r="Z41" s="1307">
        <f t="shared" si="12"/>
        <v>111</v>
      </c>
      <c r="AA41" s="1307">
        <f t="shared" si="3"/>
        <v>1</v>
      </c>
      <c r="AB41" s="1307">
        <f t="shared" si="4"/>
        <v>1</v>
      </c>
      <c r="AC41" s="1307">
        <f t="shared" si="5"/>
        <v>1</v>
      </c>
    </row>
    <row r="42" spans="1:29" s="1131"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5"/>
      <c r="M42" s="1769"/>
      <c r="N42" s="1769"/>
      <c r="O42" s="1748"/>
      <c r="P42" s="3634"/>
      <c r="Q42" s="1304">
        <f t="shared" si="13"/>
        <v>111</v>
      </c>
      <c r="R42" s="1308" t="s">
        <v>5</v>
      </c>
      <c r="S42" s="1309">
        <f t="shared" si="9"/>
        <v>100</v>
      </c>
      <c r="T42" s="1308" t="s">
        <v>5</v>
      </c>
      <c r="U42" s="1309">
        <f t="shared" si="10"/>
        <v>100</v>
      </c>
      <c r="V42" s="1308" t="s">
        <v>5</v>
      </c>
      <c r="W42" s="1309">
        <f t="shared" si="11"/>
        <v>100</v>
      </c>
      <c r="X42" s="1310"/>
      <c r="Y42" s="3634"/>
      <c r="Z42" s="1311">
        <f t="shared" si="12"/>
        <v>111</v>
      </c>
      <c r="AA42" s="1307">
        <f t="shared" si="3"/>
        <v>1</v>
      </c>
      <c r="AB42" s="1307">
        <f t="shared" si="4"/>
        <v>1</v>
      </c>
      <c r="AC42" s="1307">
        <f t="shared" si="5"/>
        <v>1</v>
      </c>
    </row>
    <row r="43" spans="1:29" ht="15">
      <c r="A43" s="556" t="s">
        <v>503</v>
      </c>
      <c r="B43" s="557" t="s">
        <v>2185</v>
      </c>
      <c r="C43" s="558" t="s">
        <v>0</v>
      </c>
      <c r="D43" s="559"/>
      <c r="E43" s="560"/>
      <c r="F43" s="561"/>
      <c r="G43" s="562"/>
      <c r="H43" s="563"/>
      <c r="I43" s="560"/>
      <c r="J43" s="563"/>
      <c r="K43" s="1132"/>
      <c r="L43" s="1749"/>
      <c r="M43" s="1740"/>
      <c r="N43" s="1740"/>
      <c r="O43" s="1740"/>
      <c r="P43" s="3598" t="str">
        <f>A43</f>
        <v>成交单价</v>
      </c>
      <c r="Q43" s="3598"/>
      <c r="R43" s="3599">
        <f>E43</f>
        <v>0</v>
      </c>
      <c r="S43" s="3599"/>
      <c r="T43" s="3599">
        <f>G43</f>
        <v>0</v>
      </c>
      <c r="U43" s="3599"/>
      <c r="V43" s="3599">
        <f>I43</f>
        <v>0</v>
      </c>
      <c r="W43" s="3599"/>
      <c r="X43" s="799"/>
      <c r="Y43" s="1312"/>
      <c r="Z43" s="799"/>
      <c r="AA43" s="799"/>
      <c r="AB43" s="799"/>
      <c r="AC43" s="799"/>
    </row>
    <row r="44" spans="1:29" ht="15.75" thickBot="1">
      <c r="A44" s="564" t="s">
        <v>1973</v>
      </c>
      <c r="B44" s="565"/>
      <c r="C44" s="566" t="e">
        <f>R45</f>
        <v>#DIV/0!</v>
      </c>
      <c r="D44" s="2548" t="s">
        <v>2249</v>
      </c>
      <c r="E44" s="566" t="e">
        <f>R44</f>
        <v>#DIV/0!</v>
      </c>
      <c r="F44" s="2549"/>
      <c r="G44" s="567" t="e">
        <f>T44</f>
        <v>#DIV/0!</v>
      </c>
      <c r="H44" s="2549"/>
      <c r="I44" s="566" t="e">
        <f>V44</f>
        <v>#DIV/0!</v>
      </c>
      <c r="J44" s="2549"/>
      <c r="K44" s="2550">
        <f>F44+H44+J44</f>
        <v>0</v>
      </c>
      <c r="L44" s="1749"/>
      <c r="M44" s="1740"/>
      <c r="N44" s="1740"/>
      <c r="O44" s="1740"/>
      <c r="P44" s="3598" t="str">
        <f>A44</f>
        <v>比较价格（元/平方米）</v>
      </c>
      <c r="Q44" s="3598"/>
      <c r="R44" s="3600" t="e">
        <f>ROUND(PRODUCT(R43,AA9:AA42),0)</f>
        <v>#DIV/0!</v>
      </c>
      <c r="S44" s="3600"/>
      <c r="T44" s="3600" t="e">
        <f>ROUND(PRODUCT(T43,AB9:AB42),0)</f>
        <v>#DIV/0!</v>
      </c>
      <c r="U44" s="3600"/>
      <c r="V44" s="3600" t="e">
        <f>ROUND(PRODUCT(V43,AC9:AC42),0)</f>
        <v>#DIV/0!</v>
      </c>
      <c r="W44" s="3600"/>
      <c r="X44" s="799"/>
      <c r="Y44" s="799"/>
      <c r="Z44" s="799"/>
      <c r="AA44" s="799"/>
      <c r="AB44" s="799"/>
      <c r="AC44" s="799"/>
    </row>
    <row r="45" spans="1:29" ht="15.75" thickBot="1">
      <c r="A45" s="568" t="s">
        <v>2186</v>
      </c>
      <c r="B45" s="569"/>
      <c r="C45" s="570" t="e">
        <f>R45</f>
        <v>#DIV/0!</v>
      </c>
      <c r="D45" s="570"/>
      <c r="E45" s="570"/>
      <c r="F45" s="570"/>
      <c r="G45" s="570"/>
      <c r="H45" s="570"/>
      <c r="I45" s="570"/>
      <c r="J45" s="570"/>
      <c r="K45" s="1133"/>
      <c r="L45" s="1749"/>
      <c r="M45" s="1740"/>
      <c r="N45" s="1740"/>
      <c r="O45" s="1740"/>
      <c r="P45" s="3635" t="str">
        <f>A45</f>
        <v>估价对象XX用房的比较价格（楼面单价，元/平方米）</v>
      </c>
      <c r="Q45" s="3636"/>
      <c r="R45" s="3647" t="e">
        <f>ROUND(IF(D44="简单平均",AVERAGE(R44:W44),R44*F44+T44*H44+V44*J44),0)</f>
        <v>#DIV/0!</v>
      </c>
      <c r="S45" s="3647"/>
      <c r="T45" s="3647"/>
      <c r="U45" s="3647"/>
      <c r="V45" s="3647"/>
      <c r="W45" s="3647"/>
      <c r="X45" s="799"/>
      <c r="Y45" s="799"/>
      <c r="Z45" s="799"/>
      <c r="AA45" s="799"/>
      <c r="AB45" s="799"/>
      <c r="AC45" s="799"/>
    </row>
    <row r="46" spans="1:29">
      <c r="A46" s="2719"/>
      <c r="B46" s="2719"/>
      <c r="C46" s="2719"/>
      <c r="D46" s="2719"/>
      <c r="E46" s="2719"/>
      <c r="F46" s="2719"/>
      <c r="G46" s="2721"/>
      <c r="H46" s="2719"/>
      <c r="I46" s="2719"/>
      <c r="J46" s="2719"/>
      <c r="K46" s="2722"/>
      <c r="L46" s="1753"/>
      <c r="M46" s="1740"/>
      <c r="N46" s="1740"/>
      <c r="O46" s="1740"/>
      <c r="P46" s="1740"/>
      <c r="Q46" s="1740"/>
      <c r="R46" s="1740"/>
      <c r="S46" s="1740"/>
      <c r="T46" s="1740"/>
      <c r="U46" s="1740"/>
      <c r="V46" s="1740"/>
      <c r="W46" s="1740"/>
      <c r="X46" s="1740"/>
      <c r="Y46" s="1740"/>
      <c r="Z46" s="1740"/>
      <c r="AA46" s="1740"/>
      <c r="AB46" s="1740"/>
      <c r="AC46" s="1740"/>
    </row>
    <row r="47" spans="1:29">
      <c r="A47" s="2719"/>
      <c r="B47" s="2719"/>
      <c r="C47" s="2719"/>
      <c r="D47" s="2719"/>
      <c r="E47" s="2719"/>
      <c r="F47" s="2719"/>
      <c r="G47" s="2719"/>
      <c r="H47" s="2719"/>
      <c r="I47" s="2719"/>
      <c r="J47" s="2719"/>
      <c r="K47" s="2722"/>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9"/>
      <c r="B48" s="2719"/>
      <c r="C48" s="571" t="s">
        <v>504</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2"/>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9"/>
      <c r="B49" s="2719"/>
      <c r="C49" s="571" t="s">
        <v>505</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2"/>
      <c r="L49" s="1753"/>
      <c r="M49" s="1740"/>
      <c r="N49" s="1740"/>
      <c r="O49" s="1740"/>
      <c r="P49" s="1740"/>
      <c r="Q49" s="1740"/>
      <c r="R49" s="1740"/>
      <c r="S49" s="1740"/>
      <c r="T49" s="1740"/>
      <c r="U49" s="1740"/>
      <c r="V49" s="1740"/>
      <c r="W49" s="1740"/>
      <c r="X49" s="1740"/>
      <c r="Y49" s="1740"/>
      <c r="Z49" s="1740"/>
      <c r="AA49" s="1740"/>
      <c r="AB49" s="1740"/>
      <c r="AC49" s="1740"/>
    </row>
    <row r="50" spans="1:29" s="1136" customFormat="1" ht="13.5" customHeight="1">
      <c r="A50" s="2720"/>
      <c r="B50" s="2720"/>
      <c r="C50" s="571" t="s">
        <v>506</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3"/>
      <c r="L50" s="1756"/>
      <c r="M50" s="1750"/>
      <c r="N50" s="1750"/>
      <c r="O50" s="1750"/>
      <c r="P50" s="1750"/>
      <c r="Q50" s="1750"/>
      <c r="R50" s="1750"/>
      <c r="S50" s="1750"/>
      <c r="T50" s="1750"/>
      <c r="U50" s="1750"/>
      <c r="V50" s="1750"/>
      <c r="W50" s="1750"/>
      <c r="X50" s="1750"/>
      <c r="Y50" s="1750"/>
      <c r="Z50" s="1750"/>
      <c r="AA50" s="1750"/>
      <c r="AB50" s="1750"/>
      <c r="AC50" s="1750"/>
    </row>
    <row r="51" spans="1:29" s="1136" customFormat="1" ht="15" thickBot="1">
      <c r="A51" s="2720"/>
      <c r="B51" s="2731"/>
      <c r="C51" s="1754"/>
      <c r="D51" s="1750"/>
      <c r="E51" s="1750"/>
      <c r="F51" s="1750"/>
      <c r="G51" s="1750"/>
      <c r="H51" s="1750"/>
      <c r="I51" s="1750"/>
      <c r="J51" s="1750"/>
      <c r="K51" s="2723"/>
      <c r="L51" s="1756"/>
      <c r="M51" s="1750"/>
      <c r="N51" s="1750"/>
      <c r="O51" s="1750"/>
      <c r="P51" s="1750"/>
      <c r="Q51" s="1750"/>
      <c r="R51" s="1750"/>
      <c r="S51" s="1750"/>
      <c r="T51" s="1750"/>
      <c r="U51" s="1750"/>
      <c r="V51" s="1750"/>
      <c r="W51" s="1750"/>
      <c r="X51" s="1750"/>
      <c r="Y51" s="1750"/>
      <c r="Z51" s="1750"/>
      <c r="AA51" s="1750"/>
      <c r="AB51" s="1750"/>
      <c r="AC51" s="1750"/>
    </row>
    <row r="52" spans="1:29" ht="27">
      <c r="A52" s="576" t="s">
        <v>507</v>
      </c>
      <c r="B52" s="577" t="s">
        <v>508</v>
      </c>
      <c r="C52" s="1298" t="s">
        <v>1251</v>
      </c>
      <c r="D52" s="1819" t="s">
        <v>1648</v>
      </c>
      <c r="E52" s="578" t="s">
        <v>509</v>
      </c>
      <c r="F52" s="1608" t="s">
        <v>510</v>
      </c>
      <c r="G52" s="3643" t="s">
        <v>1640</v>
      </c>
      <c r="H52" s="3644"/>
      <c r="I52" s="1609" t="s">
        <v>1463</v>
      </c>
      <c r="J52" s="1295">
        <f>项目基本情况!F41</f>
        <v>0</v>
      </c>
      <c r="K52" s="1757" t="s">
        <v>1250</v>
      </c>
      <c r="L52" s="1753"/>
      <c r="M52" s="1740"/>
      <c r="N52" s="1740"/>
      <c r="O52" s="1740"/>
      <c r="P52" s="1740"/>
      <c r="Q52" s="1740"/>
      <c r="R52" s="1740"/>
      <c r="S52" s="1740"/>
      <c r="T52" s="1740"/>
      <c r="U52" s="1740"/>
      <c r="V52" s="1740"/>
      <c r="W52" s="1740"/>
      <c r="X52" s="1740"/>
      <c r="Y52" s="1740"/>
      <c r="Z52" s="1740"/>
      <c r="AA52" s="1740"/>
      <c r="AB52" s="1740"/>
      <c r="AC52" s="1740"/>
    </row>
    <row r="53" spans="1:29" s="1137" customFormat="1" ht="12.75">
      <c r="A53" s="580" t="s">
        <v>511</v>
      </c>
      <c r="B53" s="581" t="e">
        <f>C45</f>
        <v>#DIV/0!</v>
      </c>
      <c r="C53" s="582">
        <v>1</v>
      </c>
      <c r="D53" s="1820">
        <v>1</v>
      </c>
      <c r="E53" s="582">
        <f>'数据-汇总表'!E8+'数据-汇总表'!E9</f>
        <v>42292.15</v>
      </c>
      <c r="F53" s="1607" t="e">
        <f t="shared" ref="F53:F61" si="14">ROUND(B53*E53/10000,0)</f>
        <v>#DIV/0!</v>
      </c>
      <c r="G53" s="3645"/>
      <c r="H53" s="3646"/>
      <c r="I53" s="1610">
        <v>1</v>
      </c>
      <c r="J53" s="1296">
        <v>1</v>
      </c>
      <c r="K53" s="2724"/>
      <c r="L53" s="1758"/>
      <c r="M53" s="1758"/>
      <c r="N53" s="1758"/>
      <c r="O53" s="1758"/>
      <c r="P53" s="1758"/>
      <c r="Q53" s="1758"/>
      <c r="R53" s="1758"/>
      <c r="S53" s="1758"/>
      <c r="T53" s="1758"/>
      <c r="U53" s="1758"/>
      <c r="V53" s="1758"/>
      <c r="W53" s="1758"/>
      <c r="X53" s="1758"/>
      <c r="Y53" s="1758"/>
      <c r="Z53" s="1758"/>
      <c r="AA53" s="1758"/>
      <c r="AB53" s="1758"/>
      <c r="AC53" s="1758"/>
    </row>
    <row r="54" spans="1:29" s="1137" customFormat="1" ht="12.75">
      <c r="A54" s="584" t="s">
        <v>512</v>
      </c>
      <c r="B54" s="585" t="e">
        <f>ROUND($C$45*C54*D54,0)</f>
        <v>#DIV/0!</v>
      </c>
      <c r="C54" s="348">
        <f t="shared" ref="C54:C61" si="15">IF($C$52="北京市系数",I54,J54)</f>
        <v>0</v>
      </c>
      <c r="D54" s="1821">
        <v>0.25</v>
      </c>
      <c r="E54" s="586"/>
      <c r="F54" s="1607" t="e">
        <f t="shared" si="14"/>
        <v>#DIV/0!</v>
      </c>
      <c r="G54" s="3028" t="s">
        <v>1641</v>
      </c>
      <c r="H54" s="1611">
        <f>项目基本情况!B43</f>
        <v>0</v>
      </c>
      <c r="I54" s="1610">
        <f>SUMIF(修正!$A$57:$A$68,H54,修正!B57:B68)</f>
        <v>0</v>
      </c>
      <c r="J54" s="1297"/>
      <c r="K54" s="2724"/>
      <c r="L54" s="1758"/>
      <c r="M54" s="1758"/>
      <c r="N54" s="1758"/>
      <c r="O54" s="1758"/>
      <c r="P54" s="1758"/>
      <c r="Q54" s="1758"/>
      <c r="R54" s="1758"/>
      <c r="S54" s="1758"/>
      <c r="T54" s="1758"/>
      <c r="U54" s="1758"/>
      <c r="V54" s="1758"/>
      <c r="W54" s="1758"/>
      <c r="X54" s="1758"/>
      <c r="Y54" s="1758"/>
      <c r="Z54" s="1758"/>
      <c r="AA54" s="1758"/>
      <c r="AB54" s="1758"/>
      <c r="AC54" s="1758"/>
    </row>
    <row r="55" spans="1:29" s="1137" customFormat="1" ht="12.75">
      <c r="A55" s="584" t="s">
        <v>513</v>
      </c>
      <c r="B55" s="585" t="e">
        <f t="shared" ref="B55:B61" si="16">ROUND($C$45*C55*D55,0)</f>
        <v>#DIV/0!</v>
      </c>
      <c r="C55" s="348">
        <f t="shared" si="15"/>
        <v>0</v>
      </c>
      <c r="D55" s="1821">
        <v>0.25</v>
      </c>
      <c r="E55" s="586"/>
      <c r="F55" s="1607" t="e">
        <f t="shared" si="14"/>
        <v>#DIV/0!</v>
      </c>
      <c r="G55" s="3029"/>
      <c r="H55" s="1612">
        <f>项目基本情况!B43</f>
        <v>0</v>
      </c>
      <c r="I55" s="1610">
        <f>SUMIF(修正!$A$57:$A$68,H55,修正!C57:C68)</f>
        <v>0</v>
      </c>
      <c r="J55" s="1297"/>
      <c r="K55" s="2724"/>
      <c r="L55" s="1758"/>
      <c r="M55" s="1758"/>
      <c r="N55" s="1758"/>
      <c r="O55" s="1758"/>
      <c r="P55" s="1758"/>
      <c r="Q55" s="1758"/>
      <c r="R55" s="1758"/>
      <c r="S55" s="1758"/>
      <c r="T55" s="1758"/>
      <c r="U55" s="1758"/>
      <c r="V55" s="1758"/>
      <c r="W55" s="1758"/>
      <c r="X55" s="1758"/>
      <c r="Y55" s="1758"/>
      <c r="Z55" s="1758"/>
      <c r="AA55" s="1758"/>
      <c r="AB55" s="1758"/>
      <c r="AC55" s="1758"/>
    </row>
    <row r="56" spans="1:29" s="1137" customFormat="1" ht="12.75">
      <c r="A56" s="584" t="s">
        <v>514</v>
      </c>
      <c r="B56" s="585" t="e">
        <f t="shared" si="16"/>
        <v>#DIV/0!</v>
      </c>
      <c r="C56" s="348">
        <f t="shared" si="15"/>
        <v>0</v>
      </c>
      <c r="D56" s="1821">
        <v>0.25</v>
      </c>
      <c r="E56" s="586"/>
      <c r="F56" s="1607" t="e">
        <f t="shared" si="14"/>
        <v>#DIV/0!</v>
      </c>
      <c r="G56" s="3029"/>
      <c r="H56" s="1612">
        <f>项目基本情况!B43</f>
        <v>0</v>
      </c>
      <c r="I56" s="1610">
        <f>SUMIF(修正!$A$57:$A$68,H56,修正!D57:D68)</f>
        <v>0</v>
      </c>
      <c r="J56" s="1297"/>
      <c r="K56" s="2724"/>
      <c r="L56" s="1758"/>
      <c r="M56" s="1758"/>
      <c r="N56" s="1758"/>
      <c r="O56" s="1758"/>
      <c r="P56" s="1758"/>
      <c r="Q56" s="1758"/>
      <c r="R56" s="1758"/>
      <c r="S56" s="1758"/>
      <c r="T56" s="1758"/>
      <c r="U56" s="1758"/>
      <c r="V56" s="1758"/>
      <c r="W56" s="1758"/>
      <c r="X56" s="1758"/>
      <c r="Y56" s="1758"/>
      <c r="Z56" s="1758"/>
      <c r="AA56" s="1758"/>
      <c r="AB56" s="1758"/>
      <c r="AC56" s="1758"/>
    </row>
    <row r="57" spans="1:29" s="1137" customFormat="1" ht="12.75">
      <c r="A57" s="1917" t="s">
        <v>1683</v>
      </c>
      <c r="B57" s="585" t="e">
        <f t="shared" si="16"/>
        <v>#DIV/0!</v>
      </c>
      <c r="C57" s="348">
        <f t="shared" si="15"/>
        <v>0</v>
      </c>
      <c r="D57" s="1821">
        <v>0.25</v>
      </c>
      <c r="E57" s="588">
        <f>'数据-汇总表'!E11</f>
        <v>0</v>
      </c>
      <c r="F57" s="1607" t="e">
        <f t="shared" si="14"/>
        <v>#DIV/0!</v>
      </c>
      <c r="G57" s="1613" t="s">
        <v>1642</v>
      </c>
      <c r="H57" s="1612">
        <f>项目基本情况!C43</f>
        <v>0</v>
      </c>
      <c r="I57" s="1610">
        <f>SUMIF(修正!$A$57:$A$68,H57,修正!E57:E68)</f>
        <v>0</v>
      </c>
      <c r="J57" s="1297"/>
      <c r="K57" s="2724"/>
      <c r="L57" s="1758"/>
      <c r="M57" s="1758"/>
      <c r="N57" s="1758"/>
      <c r="O57" s="1758"/>
      <c r="P57" s="1758"/>
      <c r="Q57" s="1758"/>
      <c r="R57" s="1758"/>
      <c r="S57" s="1758"/>
      <c r="T57" s="1758"/>
      <c r="U57" s="1758"/>
      <c r="V57" s="1758"/>
      <c r="W57" s="1758"/>
      <c r="X57" s="1758"/>
      <c r="Y57" s="1758"/>
      <c r="Z57" s="1758"/>
      <c r="AA57" s="1758"/>
      <c r="AB57" s="1758"/>
      <c r="AC57" s="1758"/>
    </row>
    <row r="58" spans="1:29" s="1137" customFormat="1" ht="12.75">
      <c r="A58" s="584" t="s">
        <v>515</v>
      </c>
      <c r="B58" s="585" t="e">
        <f t="shared" si="16"/>
        <v>#DIV/0!</v>
      </c>
      <c r="C58" s="348">
        <f t="shared" si="15"/>
        <v>0</v>
      </c>
      <c r="D58" s="1821">
        <v>0.25</v>
      </c>
      <c r="E58" s="588">
        <f>'数据-汇总表'!E12</f>
        <v>0</v>
      </c>
      <c r="F58" s="1607" t="e">
        <f t="shared" si="14"/>
        <v>#DIV/0!</v>
      </c>
      <c r="G58" s="1603" t="s">
        <v>1210</v>
      </c>
      <c r="H58" s="1611">
        <f>IF(G58="商业",项目基本情况!B43,IF(G58="办公",项目基本情况!C43,IF(G58="住宅",项目基本情况!D43,项目基本情况!E43)))</f>
        <v>0</v>
      </c>
      <c r="I58" s="1610">
        <f>SUMIF(修正!$A$57:$A$68,H58,修正!F57:F68)</f>
        <v>0</v>
      </c>
      <c r="J58" s="1297"/>
      <c r="K58" s="2724"/>
      <c r="L58" s="1758"/>
      <c r="M58" s="1758"/>
      <c r="N58" s="1758"/>
      <c r="O58" s="1758"/>
      <c r="P58" s="1758"/>
      <c r="Q58" s="1758"/>
      <c r="R58" s="1758"/>
      <c r="S58" s="1758"/>
      <c r="T58" s="1758"/>
      <c r="U58" s="1758"/>
      <c r="V58" s="1758"/>
      <c r="W58" s="1758"/>
      <c r="X58" s="1758"/>
      <c r="Y58" s="1758"/>
      <c r="Z58" s="1758"/>
      <c r="AA58" s="1758"/>
      <c r="AB58" s="1758"/>
      <c r="AC58" s="1758"/>
    </row>
    <row r="59" spans="1:29" s="1137" customFormat="1" ht="12.75">
      <c r="A59" s="584" t="s">
        <v>516</v>
      </c>
      <c r="B59" s="585" t="e">
        <f t="shared" si="16"/>
        <v>#DIV/0!</v>
      </c>
      <c r="C59" s="348">
        <f t="shared" si="15"/>
        <v>0</v>
      </c>
      <c r="D59" s="1821">
        <v>0.25</v>
      </c>
      <c r="E59" s="588">
        <f>'数据-汇总表'!E13</f>
        <v>0</v>
      </c>
      <c r="F59" s="1607" t="e">
        <f t="shared" si="14"/>
        <v>#DIV/0!</v>
      </c>
      <c r="G59" s="1603" t="s">
        <v>849</v>
      </c>
      <c r="H59" s="1611">
        <f>IF(G59="商业",项目基本情况!B43,IF(G59="办公",项目基本情况!C43,IF(G59="住宅",项目基本情况!D43,项目基本情况!E43)))</f>
        <v>0</v>
      </c>
      <c r="I59" s="1610">
        <f>SUMIF(修正!$A$57:$A$68,H59,修正!G57:G68)</f>
        <v>0</v>
      </c>
      <c r="J59" s="1297"/>
      <c r="K59" s="2724"/>
      <c r="L59" s="1758"/>
      <c r="M59" s="1758"/>
      <c r="N59" s="1758"/>
      <c r="O59" s="1758"/>
      <c r="P59" s="1758"/>
      <c r="Q59" s="1758"/>
      <c r="R59" s="1758"/>
      <c r="S59" s="1758"/>
      <c r="T59" s="1758"/>
      <c r="U59" s="1758"/>
      <c r="V59" s="1758"/>
      <c r="W59" s="1758"/>
      <c r="X59" s="1758"/>
      <c r="Y59" s="1758"/>
      <c r="Z59" s="1758"/>
      <c r="AA59" s="1758"/>
      <c r="AB59" s="1758"/>
      <c r="AC59" s="1758"/>
    </row>
    <row r="60" spans="1:29" s="1137" customFormat="1" ht="12.75">
      <c r="A60" s="584" t="s">
        <v>517</v>
      </c>
      <c r="B60" s="585" t="e">
        <f t="shared" si="16"/>
        <v>#DIV/0!</v>
      </c>
      <c r="C60" s="348">
        <f t="shared" si="15"/>
        <v>0</v>
      </c>
      <c r="D60" s="1821">
        <v>0.25</v>
      </c>
      <c r="E60" s="588">
        <f>'数据-汇总表'!E14</f>
        <v>0</v>
      </c>
      <c r="F60" s="1607" t="e">
        <f t="shared" si="14"/>
        <v>#DIV/0!</v>
      </c>
      <c r="G60" s="1613" t="s">
        <v>1641</v>
      </c>
      <c r="H60" s="1612">
        <f>项目基本情况!B43</f>
        <v>0</v>
      </c>
      <c r="I60" s="1610">
        <f>SUMIF(修正!$A$57:$A$68,H60,修正!G57:G68)</f>
        <v>0</v>
      </c>
      <c r="J60" s="1297"/>
      <c r="K60" s="2724"/>
      <c r="L60" s="1758"/>
      <c r="M60" s="1758"/>
      <c r="N60" s="1758"/>
      <c r="O60" s="1758"/>
      <c r="P60" s="1758"/>
      <c r="Q60" s="1758"/>
      <c r="R60" s="1758"/>
      <c r="S60" s="1758"/>
      <c r="T60" s="1758"/>
      <c r="U60" s="1758"/>
      <c r="V60" s="1758"/>
      <c r="W60" s="1758"/>
      <c r="X60" s="1758"/>
      <c r="Y60" s="1758"/>
      <c r="Z60" s="1758"/>
      <c r="AA60" s="1758"/>
      <c r="AB60" s="1758"/>
      <c r="AC60" s="1758"/>
    </row>
    <row r="61" spans="1:29" s="1137" customFormat="1" ht="13.5" thickBot="1">
      <c r="A61" s="584" t="s">
        <v>518</v>
      </c>
      <c r="B61" s="585" t="e">
        <f t="shared" si="16"/>
        <v>#DIV/0!</v>
      </c>
      <c r="C61" s="348">
        <f t="shared" si="15"/>
        <v>0</v>
      </c>
      <c r="D61" s="1821">
        <v>0.25</v>
      </c>
      <c r="E61" s="588">
        <f>'数据-汇总表'!E15</f>
        <v>0</v>
      </c>
      <c r="F61" s="1607" t="e">
        <f t="shared" si="14"/>
        <v>#DIV/0!</v>
      </c>
      <c r="G61" s="1614" t="s">
        <v>1642</v>
      </c>
      <c r="H61" s="1615">
        <f>项目基本情况!C43</f>
        <v>0</v>
      </c>
      <c r="I61" s="1610">
        <f>SUMIF(修正!$A$57:$A$68,H61,修正!G57:G68)</f>
        <v>0</v>
      </c>
      <c r="J61" s="1297"/>
      <c r="K61" s="2724"/>
      <c r="L61" s="1758"/>
      <c r="M61" s="1758"/>
      <c r="N61" s="1758"/>
      <c r="O61" s="1758"/>
      <c r="P61" s="1758"/>
      <c r="Q61" s="1758"/>
      <c r="R61" s="1758"/>
      <c r="S61" s="1758"/>
      <c r="T61" s="1758"/>
      <c r="U61" s="1758"/>
      <c r="V61" s="1758"/>
      <c r="W61" s="1758"/>
      <c r="X61" s="1758"/>
      <c r="Y61" s="1758"/>
      <c r="Z61" s="1758"/>
      <c r="AA61" s="1758"/>
      <c r="AB61" s="1758"/>
      <c r="AC61" s="1758"/>
    </row>
    <row r="62" spans="1:29" s="1137" customFormat="1" ht="13.5" thickBot="1">
      <c r="A62" s="589" t="s">
        <v>519</v>
      </c>
      <c r="B62" s="590" t="s">
        <v>11</v>
      </c>
      <c r="C62" s="590" t="s">
        <v>12</v>
      </c>
      <c r="D62" s="590" t="s">
        <v>1649</v>
      </c>
      <c r="E62" s="590">
        <f>IF(B43="楼面地价",SUM(E53:E61),'数据-汇总表'!D3)</f>
        <v>16985.07</v>
      </c>
      <c r="F62" s="591" t="e">
        <f>IF(B43="楼面地价",SUM(F53:F61),ROUND(C45*E62/10000,0))</f>
        <v>#DIV/0!</v>
      </c>
      <c r="G62" s="1759"/>
      <c r="H62" s="1759"/>
      <c r="I62" s="1759"/>
      <c r="J62" s="1759"/>
      <c r="K62" s="2732"/>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2025-6-1</v>
      </c>
      <c r="D64" s="2109">
        <f>EDATE(C64,-3)</f>
        <v>45717</v>
      </c>
      <c r="E64" s="2109">
        <f t="shared" ref="E64:N64" si="17">EDATE(D64,-3)</f>
        <v>45627</v>
      </c>
      <c r="F64" s="2109">
        <f t="shared" si="17"/>
        <v>45536</v>
      </c>
      <c r="G64" s="2109">
        <f t="shared" si="17"/>
        <v>45444</v>
      </c>
      <c r="H64" s="2109">
        <f t="shared" si="17"/>
        <v>45352</v>
      </c>
      <c r="I64" s="2109">
        <f t="shared" si="17"/>
        <v>45261</v>
      </c>
      <c r="J64" s="2109">
        <f t="shared" si="17"/>
        <v>45170</v>
      </c>
      <c r="K64" s="2109">
        <f t="shared" si="17"/>
        <v>45078</v>
      </c>
      <c r="L64" s="2109">
        <f t="shared" si="17"/>
        <v>44986</v>
      </c>
      <c r="M64" s="2109">
        <f t="shared" si="17"/>
        <v>44896</v>
      </c>
      <c r="N64" s="2109">
        <f t="shared" si="17"/>
        <v>44805</v>
      </c>
      <c r="O64" s="1740"/>
      <c r="P64" s="1740"/>
      <c r="Q64" s="1740"/>
      <c r="R64" s="1740"/>
      <c r="S64" s="1740"/>
      <c r="T64" s="1740"/>
      <c r="U64" s="1740"/>
      <c r="V64" s="1740"/>
      <c r="W64" s="1740"/>
      <c r="X64" s="1740"/>
      <c r="Y64" s="1740"/>
      <c r="Z64" s="1740"/>
      <c r="AA64" s="1740"/>
      <c r="AB64" s="1740"/>
      <c r="AC64" s="1740"/>
    </row>
    <row r="65" spans="1:29" ht="21.75" thickBot="1">
      <c r="A65" s="1315" t="s">
        <v>520</v>
      </c>
      <c r="B65" s="799"/>
      <c r="C65" s="1314"/>
      <c r="D65" s="1314"/>
      <c r="E65" s="1314"/>
      <c r="F65" s="1316"/>
      <c r="G65" s="1316"/>
      <c r="H65" s="1314"/>
      <c r="I65" s="1314"/>
      <c r="J65" s="1314"/>
      <c r="K65" s="1317"/>
      <c r="L65" s="1313"/>
      <c r="M65" s="1314"/>
      <c r="N65" s="1314"/>
      <c r="O65" s="1760"/>
      <c r="P65" s="1760"/>
      <c r="Q65" s="1761"/>
      <c r="R65" s="1740"/>
      <c r="S65" s="1740"/>
      <c r="T65" s="1740"/>
      <c r="U65" s="1740"/>
      <c r="V65" s="1740"/>
      <c r="W65" s="1740"/>
      <c r="X65" s="1740"/>
      <c r="Y65" s="1740"/>
      <c r="Z65" s="1740"/>
      <c r="AA65" s="1740"/>
      <c r="AB65" s="1740"/>
      <c r="AC65" s="1740"/>
    </row>
    <row r="66" spans="1:29" s="1138" customFormat="1" ht="15">
      <c r="A66" s="2040" t="s">
        <v>1814</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2"/>
      <c r="P66" s="1763"/>
      <c r="Q66" s="1763"/>
      <c r="R66" s="1763"/>
      <c r="S66" s="1763"/>
      <c r="T66" s="1763"/>
      <c r="U66" s="1763"/>
      <c r="V66" s="1763"/>
      <c r="W66" s="1763"/>
      <c r="X66" s="1763"/>
      <c r="Y66" s="1763"/>
      <c r="Z66" s="1763"/>
      <c r="AA66" s="1763"/>
      <c r="AB66" s="1763"/>
      <c r="AC66" s="1763"/>
    </row>
    <row r="67" spans="1:29" s="1057" customFormat="1" ht="27.75" customHeight="1">
      <c r="A67" s="2108" t="s">
        <v>1929</v>
      </c>
      <c r="B67" s="448" t="str">
        <f>"北京市平均增长率"&amp;TEXT(基准地价!P28,"0.00%")</f>
        <v>北京市平均增长率0.00%</v>
      </c>
      <c r="C67" s="817">
        <v>100</v>
      </c>
      <c r="D67" s="79"/>
      <c r="E67" s="79"/>
      <c r="F67" s="79"/>
      <c r="G67" s="79"/>
      <c r="H67" s="79"/>
      <c r="I67" s="79"/>
      <c r="J67" s="79"/>
      <c r="K67" s="79"/>
      <c r="L67" s="79"/>
      <c r="M67" s="91"/>
      <c r="N67" s="534"/>
      <c r="O67" s="1764"/>
      <c r="P67" s="1761"/>
      <c r="Q67" s="1638"/>
      <c r="R67" s="1638"/>
      <c r="S67" s="1638"/>
      <c r="T67" s="1638"/>
      <c r="U67" s="1638"/>
      <c r="V67" s="1638"/>
      <c r="W67" s="1638"/>
      <c r="X67" s="1638"/>
      <c r="Y67" s="1638"/>
      <c r="Z67" s="1638"/>
      <c r="AA67" s="1638"/>
      <c r="AB67" s="1638"/>
      <c r="AC67" s="1638"/>
    </row>
    <row r="68" spans="1:29" s="1057" customFormat="1" ht="15.75" thickBot="1">
      <c r="A68" s="262" t="s">
        <v>521</v>
      </c>
      <c r="B68" s="598"/>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7" customFormat="1" ht="15">
      <c r="A69" s="603" t="s">
        <v>478</v>
      </c>
      <c r="B69" s="594"/>
      <c r="C69" s="604" t="s">
        <v>522</v>
      </c>
      <c r="D69" s="80"/>
      <c r="E69" s="80"/>
      <c r="F69" s="80"/>
      <c r="G69" s="80"/>
      <c r="H69" s="80"/>
      <c r="I69" s="80"/>
      <c r="J69" s="80"/>
      <c r="K69" s="80"/>
      <c r="L69" s="605"/>
      <c r="M69" s="606"/>
      <c r="N69" s="2733"/>
      <c r="O69" s="1764"/>
      <c r="P69" s="1645"/>
      <c r="Q69" s="1761"/>
      <c r="R69" s="1638"/>
      <c r="S69" s="1638"/>
      <c r="T69" s="1638"/>
      <c r="U69" s="1638"/>
      <c r="V69" s="1638"/>
      <c r="W69" s="1638"/>
      <c r="X69" s="1638"/>
      <c r="Y69" s="1638"/>
      <c r="Z69" s="1638"/>
      <c r="AA69" s="1638"/>
      <c r="AB69" s="1638"/>
      <c r="AC69" s="1638"/>
    </row>
    <row r="70" spans="1:29" s="1057" customFormat="1" ht="15.75" thickBot="1">
      <c r="A70" s="603"/>
      <c r="B70" s="594"/>
      <c r="C70" s="595">
        <v>100</v>
      </c>
      <c r="D70" s="596"/>
      <c r="E70" s="596"/>
      <c r="F70" s="596"/>
      <c r="G70" s="596"/>
      <c r="H70" s="596"/>
      <c r="I70" s="596"/>
      <c r="J70" s="596"/>
      <c r="K70" s="596"/>
      <c r="L70" s="596"/>
      <c r="M70" s="597"/>
      <c r="N70" s="2733"/>
      <c r="O70" s="1764"/>
      <c r="P70" s="1761"/>
      <c r="Q70" s="1761"/>
      <c r="R70" s="1638"/>
      <c r="S70" s="1638"/>
      <c r="T70" s="1638"/>
      <c r="U70" s="1638"/>
      <c r="V70" s="1638"/>
      <c r="W70" s="1638"/>
      <c r="X70" s="1638"/>
      <c r="Y70" s="1638"/>
      <c r="Z70" s="1638"/>
      <c r="AA70" s="1638"/>
      <c r="AB70" s="1638"/>
      <c r="AC70" s="1638"/>
    </row>
    <row r="71" spans="1:29">
      <c r="A71" s="607" t="s">
        <v>523</v>
      </c>
      <c r="B71" s="608" t="s">
        <v>481</v>
      </c>
      <c r="C71" s="547"/>
      <c r="D71" s="547"/>
      <c r="E71" s="547"/>
      <c r="F71" s="547"/>
      <c r="G71" s="547"/>
      <c r="H71" s="547"/>
      <c r="I71" s="547"/>
      <c r="J71" s="547"/>
      <c r="K71" s="609"/>
      <c r="L71" s="610"/>
      <c r="M71" s="611"/>
      <c r="N71" s="2734"/>
      <c r="O71" s="1765"/>
      <c r="P71" s="1764"/>
      <c r="Q71" s="1761"/>
      <c r="R71" s="1740"/>
      <c r="S71" s="1740"/>
      <c r="T71" s="1740"/>
      <c r="U71" s="1740"/>
      <c r="V71" s="1740"/>
      <c r="W71" s="1740"/>
      <c r="X71" s="1740"/>
      <c r="Y71" s="1740"/>
      <c r="Z71" s="1740"/>
      <c r="AA71" s="1740"/>
      <c r="AB71" s="1740"/>
      <c r="AC71" s="1740"/>
    </row>
    <row r="72" spans="1:29" ht="15.75" thickBot="1">
      <c r="A72" s="482"/>
      <c r="B72" s="612"/>
      <c r="C72" s="613"/>
      <c r="D72" s="613"/>
      <c r="E72" s="613"/>
      <c r="F72" s="613"/>
      <c r="G72" s="613"/>
      <c r="H72" s="613"/>
      <c r="I72" s="613"/>
      <c r="J72" s="613"/>
      <c r="K72" s="613"/>
      <c r="L72" s="613"/>
      <c r="M72" s="614"/>
      <c r="N72" s="2735"/>
      <c r="O72" s="1766"/>
      <c r="P72" s="1764"/>
      <c r="Q72" s="1761"/>
      <c r="R72" s="1740"/>
      <c r="S72" s="1740"/>
      <c r="T72" s="1740"/>
      <c r="U72" s="1740"/>
      <c r="V72" s="1740"/>
      <c r="W72" s="1740"/>
      <c r="X72" s="1740"/>
      <c r="Y72" s="1740"/>
      <c r="Z72" s="1740"/>
      <c r="AA72" s="1740"/>
      <c r="AB72" s="1740"/>
      <c r="AC72" s="1740"/>
    </row>
    <row r="73" spans="1:29" ht="27.75" thickTop="1">
      <c r="A73" s="482"/>
      <c r="B73" s="615" t="s">
        <v>484</v>
      </c>
      <c r="C73" s="616"/>
      <c r="D73" s="616"/>
      <c r="E73" s="616"/>
      <c r="F73" s="616"/>
      <c r="G73" s="616"/>
      <c r="H73" s="616"/>
      <c r="I73" s="616"/>
      <c r="J73" s="616"/>
      <c r="K73" s="617"/>
      <c r="L73" s="618"/>
      <c r="M73" s="619"/>
      <c r="N73" s="2734"/>
      <c r="O73" s="1765"/>
      <c r="P73" s="1764"/>
      <c r="Q73" s="1761"/>
      <c r="R73" s="1740"/>
      <c r="S73" s="1740"/>
      <c r="T73" s="1740"/>
      <c r="U73" s="1740"/>
      <c r="V73" s="1740"/>
      <c r="W73" s="1740"/>
      <c r="X73" s="1740"/>
      <c r="Y73" s="1740"/>
      <c r="Z73" s="1740"/>
      <c r="AA73" s="1740"/>
      <c r="AB73" s="1740"/>
      <c r="AC73" s="1740"/>
    </row>
    <row r="74" spans="1:29" ht="15.75" thickBot="1">
      <c r="A74" s="482"/>
      <c r="B74" s="620"/>
      <c r="C74" s="621"/>
      <c r="D74" s="621"/>
      <c r="E74" s="621"/>
      <c r="F74" s="621"/>
      <c r="G74" s="621"/>
      <c r="H74" s="621"/>
      <c r="I74" s="621"/>
      <c r="J74" s="621"/>
      <c r="K74" s="621"/>
      <c r="L74" s="621"/>
      <c r="M74" s="622"/>
      <c r="N74" s="2735"/>
      <c r="O74" s="1766"/>
      <c r="P74" s="1764"/>
      <c r="Q74" s="1761"/>
      <c r="R74" s="1740"/>
      <c r="S74" s="1740"/>
      <c r="T74" s="1740"/>
      <c r="U74" s="1740"/>
      <c r="V74" s="1740"/>
      <c r="W74" s="1740"/>
      <c r="X74" s="1740"/>
      <c r="Y74" s="1740"/>
      <c r="Z74" s="1740"/>
      <c r="AA74" s="1740"/>
      <c r="AB74" s="1740"/>
      <c r="AC74" s="1740"/>
    </row>
    <row r="75" spans="1:29" ht="15.75" thickTop="1">
      <c r="A75" s="482"/>
      <c r="B75" s="623" t="s">
        <v>485</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5"/>
      <c r="O75" s="1766"/>
      <c r="P75" s="1764"/>
      <c r="Q75" s="1761"/>
      <c r="R75" s="1740"/>
      <c r="S75" s="1740"/>
      <c r="T75" s="1740"/>
      <c r="U75" s="1740"/>
      <c r="V75" s="1740"/>
      <c r="W75" s="1740"/>
      <c r="X75" s="1740"/>
      <c r="Y75" s="1740"/>
      <c r="Z75" s="1740"/>
      <c r="AA75" s="1740"/>
      <c r="AB75" s="1740"/>
      <c r="AC75" s="1740"/>
    </row>
    <row r="76" spans="1:29" ht="15">
      <c r="A76" s="482"/>
      <c r="B76" s="625"/>
      <c r="C76" s="491"/>
      <c r="D76" s="491"/>
      <c r="E76" s="491"/>
      <c r="F76" s="491"/>
      <c r="G76" s="491"/>
      <c r="H76" s="491"/>
      <c r="I76" s="491"/>
      <c r="J76" s="491"/>
      <c r="K76" s="626"/>
      <c r="L76" s="627"/>
      <c r="M76" s="628"/>
      <c r="N76" s="2734"/>
      <c r="O76" s="1765"/>
      <c r="P76" s="1764"/>
      <c r="Q76" s="1761"/>
      <c r="R76" s="1740"/>
      <c r="S76" s="1740"/>
      <c r="T76" s="1740"/>
      <c r="U76" s="1740"/>
      <c r="V76" s="1740"/>
      <c r="W76" s="1740"/>
      <c r="X76" s="1740"/>
      <c r="Y76" s="1740"/>
      <c r="Z76" s="1740"/>
      <c r="AA76" s="1740"/>
      <c r="AB76" s="1740"/>
      <c r="AC76" s="1740"/>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5"/>
      <c r="O77" s="1766"/>
      <c r="P77" s="1764"/>
      <c r="Q77" s="1761"/>
      <c r="R77" s="1740"/>
      <c r="S77" s="1740"/>
      <c r="T77" s="1740"/>
      <c r="U77" s="1740"/>
      <c r="V77" s="1740"/>
      <c r="W77" s="1740"/>
      <c r="X77" s="1740"/>
      <c r="Y77" s="1740"/>
      <c r="Z77" s="1740"/>
      <c r="AA77" s="1740"/>
      <c r="AB77" s="1740"/>
      <c r="AC77" s="1740"/>
    </row>
    <row r="78" spans="1:29" s="1131" customFormat="1" ht="15.75" thickTop="1">
      <c r="A78" s="629"/>
      <c r="B78" s="615">
        <f>B14</f>
        <v>111</v>
      </c>
      <c r="C78" s="630"/>
      <c r="D78" s="630"/>
      <c r="E78" s="630"/>
      <c r="F78" s="630"/>
      <c r="G78" s="630"/>
      <c r="H78" s="631"/>
      <c r="I78" s="631"/>
      <c r="J78" s="631"/>
      <c r="K78" s="631"/>
      <c r="L78" s="632"/>
      <c r="M78" s="633"/>
      <c r="N78" s="2736"/>
      <c r="O78" s="1767"/>
      <c r="P78" s="1767"/>
      <c r="Q78" s="1768"/>
      <c r="R78" s="1769"/>
      <c r="S78" s="1769"/>
      <c r="T78" s="1769"/>
      <c r="U78" s="1769"/>
      <c r="V78" s="1769"/>
      <c r="W78" s="1769"/>
      <c r="X78" s="1769"/>
      <c r="Y78" s="1769"/>
      <c r="Z78" s="1769"/>
      <c r="AA78" s="1769"/>
      <c r="AB78" s="1769"/>
      <c r="AC78" s="1769"/>
    </row>
    <row r="79" spans="1:29" s="1131" customFormat="1" ht="15.75" thickBot="1">
      <c r="A79" s="629"/>
      <c r="B79" s="620"/>
      <c r="C79" s="634"/>
      <c r="D79" s="613"/>
      <c r="E79" s="613"/>
      <c r="F79" s="613"/>
      <c r="G79" s="613"/>
      <c r="H79" s="613"/>
      <c r="I79" s="613"/>
      <c r="J79" s="613"/>
      <c r="K79" s="613"/>
      <c r="L79" s="613"/>
      <c r="M79" s="614"/>
      <c r="N79" s="2735"/>
      <c r="O79" s="1766"/>
      <c r="P79" s="1767"/>
      <c r="Q79" s="1768"/>
      <c r="R79" s="1769"/>
      <c r="S79" s="1769"/>
      <c r="T79" s="1769"/>
      <c r="U79" s="1769"/>
      <c r="V79" s="1769"/>
      <c r="W79" s="1769"/>
      <c r="X79" s="1769"/>
      <c r="Y79" s="1769"/>
      <c r="Z79" s="1769"/>
      <c r="AA79" s="1769"/>
      <c r="AB79" s="1769"/>
      <c r="AC79" s="1769"/>
    </row>
    <row r="80" spans="1:29" s="1131" customFormat="1" ht="15.75" thickTop="1">
      <c r="A80" s="629"/>
      <c r="B80" s="615">
        <f>B15</f>
        <v>111</v>
      </c>
      <c r="C80" s="630"/>
      <c r="D80" s="630"/>
      <c r="E80" s="630"/>
      <c r="F80" s="630"/>
      <c r="G80" s="630"/>
      <c r="H80" s="631"/>
      <c r="I80" s="631"/>
      <c r="J80" s="631"/>
      <c r="K80" s="631"/>
      <c r="L80" s="632"/>
      <c r="M80" s="633"/>
      <c r="N80" s="2736"/>
      <c r="O80" s="1767"/>
      <c r="P80" s="1769"/>
      <c r="Q80" s="1770"/>
      <c r="R80" s="1769"/>
      <c r="S80" s="1769"/>
      <c r="T80" s="1769"/>
      <c r="U80" s="1769"/>
      <c r="V80" s="1769"/>
      <c r="W80" s="1769"/>
      <c r="X80" s="1769"/>
      <c r="Y80" s="1769"/>
      <c r="Z80" s="1769"/>
      <c r="AA80" s="1769"/>
      <c r="AB80" s="1769"/>
      <c r="AC80" s="1769"/>
    </row>
    <row r="81" spans="1:29" s="1131" customFormat="1" ht="15.75" thickBot="1">
      <c r="A81" s="629"/>
      <c r="B81" s="620"/>
      <c r="C81" s="634"/>
      <c r="D81" s="634"/>
      <c r="E81" s="634"/>
      <c r="F81" s="634"/>
      <c r="G81" s="634"/>
      <c r="H81" s="635"/>
      <c r="I81" s="635"/>
      <c r="J81" s="635"/>
      <c r="K81" s="635"/>
      <c r="L81" s="635"/>
      <c r="M81" s="636"/>
      <c r="N81" s="2736"/>
      <c r="O81" s="1767"/>
      <c r="P81" s="1767"/>
      <c r="Q81" s="1768"/>
      <c r="R81" s="1769"/>
      <c r="S81" s="1769"/>
      <c r="T81" s="1769"/>
      <c r="U81" s="1769"/>
      <c r="V81" s="1769"/>
      <c r="W81" s="1769"/>
      <c r="X81" s="1769"/>
      <c r="Y81" s="1769"/>
      <c r="Z81" s="1769"/>
      <c r="AA81" s="1769"/>
      <c r="AB81" s="1769"/>
      <c r="AC81" s="1769"/>
    </row>
    <row r="82" spans="1:29" s="1131" customFormat="1" ht="15.75" thickTop="1">
      <c r="A82" s="629"/>
      <c r="B82" s="623">
        <f>B16</f>
        <v>111</v>
      </c>
      <c r="C82" s="80"/>
      <c r="D82" s="80"/>
      <c r="E82" s="80"/>
      <c r="F82" s="80"/>
      <c r="G82" s="80"/>
      <c r="H82" s="637"/>
      <c r="I82" s="637"/>
      <c r="J82" s="637"/>
      <c r="K82" s="637"/>
      <c r="L82" s="638"/>
      <c r="M82" s="639"/>
      <c r="N82" s="2736"/>
      <c r="O82" s="1767"/>
      <c r="P82" s="1771"/>
      <c r="Q82" s="1768"/>
      <c r="R82" s="1769"/>
      <c r="S82" s="1769"/>
      <c r="T82" s="1769"/>
      <c r="U82" s="1769"/>
      <c r="V82" s="1769"/>
      <c r="W82" s="1769"/>
      <c r="X82" s="1769"/>
      <c r="Y82" s="1769"/>
      <c r="Z82" s="1769"/>
      <c r="AA82" s="1769"/>
      <c r="AB82" s="1769"/>
      <c r="AC82" s="1769"/>
    </row>
    <row r="83" spans="1:29" s="1131" customFormat="1" ht="15.75" thickBot="1">
      <c r="A83" s="640"/>
      <c r="B83" s="641"/>
      <c r="C83" s="642"/>
      <c r="D83" s="642"/>
      <c r="E83" s="642"/>
      <c r="F83" s="642"/>
      <c r="G83" s="642"/>
      <c r="H83" s="643"/>
      <c r="I83" s="643"/>
      <c r="J83" s="643"/>
      <c r="K83" s="643"/>
      <c r="L83" s="643"/>
      <c r="M83" s="644"/>
      <c r="N83" s="2736"/>
      <c r="O83" s="1767"/>
      <c r="P83" s="1767"/>
      <c r="Q83" s="1768"/>
      <c r="R83" s="1769"/>
      <c r="S83" s="1769"/>
      <c r="T83" s="1769"/>
      <c r="U83" s="1769"/>
      <c r="V83" s="1769"/>
      <c r="W83" s="1769"/>
      <c r="X83" s="1769"/>
      <c r="Y83" s="1769"/>
      <c r="Z83" s="1769"/>
      <c r="AA83" s="1769"/>
      <c r="AB83" s="1769"/>
      <c r="AC83" s="1769"/>
    </row>
    <row r="84" spans="1:29">
      <c r="A84" s="607" t="s">
        <v>486</v>
      </c>
      <c r="B84" s="608" t="s">
        <v>548</v>
      </c>
      <c r="C84" s="143" t="s">
        <v>525</v>
      </c>
      <c r="D84" s="143" t="s">
        <v>526</v>
      </c>
      <c r="E84" s="143" t="s">
        <v>527</v>
      </c>
      <c r="F84" s="143" t="s">
        <v>528</v>
      </c>
      <c r="G84" s="143" t="s">
        <v>529</v>
      </c>
      <c r="H84" s="645"/>
      <c r="I84" s="645"/>
      <c r="J84" s="645"/>
      <c r="K84" s="646"/>
      <c r="L84" s="647"/>
      <c r="M84" s="648"/>
      <c r="N84" s="2734"/>
      <c r="O84" s="1765"/>
      <c r="P84" s="1772"/>
      <c r="Q84" s="1761"/>
      <c r="R84" s="1740"/>
      <c r="S84" s="1740"/>
      <c r="T84" s="1740"/>
      <c r="U84" s="1740"/>
      <c r="V84" s="1740"/>
      <c r="W84" s="1740"/>
      <c r="X84" s="1740"/>
      <c r="Y84" s="1740"/>
      <c r="Z84" s="1740"/>
      <c r="AA84" s="1740"/>
      <c r="AB84" s="1740"/>
      <c r="AC84" s="1740"/>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5"/>
      <c r="O85" s="1766"/>
      <c r="P85" s="1764"/>
      <c r="Q85" s="1761"/>
      <c r="R85" s="1740"/>
      <c r="S85" s="1740"/>
      <c r="T85" s="1740"/>
      <c r="U85" s="1740"/>
      <c r="V85" s="1740"/>
      <c r="W85" s="1740"/>
      <c r="X85" s="1740"/>
      <c r="Y85" s="1740"/>
      <c r="Z85" s="1740"/>
      <c r="AA85" s="1740"/>
      <c r="AB85" s="1740"/>
      <c r="AC85" s="1740"/>
    </row>
    <row r="86" spans="1:29" ht="15.75" thickTop="1">
      <c r="A86" s="482"/>
      <c r="B86" s="615" t="s">
        <v>532</v>
      </c>
      <c r="C86" s="649" t="s">
        <v>525</v>
      </c>
      <c r="D86" s="649" t="s">
        <v>526</v>
      </c>
      <c r="E86" s="649" t="s">
        <v>527</v>
      </c>
      <c r="F86" s="649" t="s">
        <v>528</v>
      </c>
      <c r="G86" s="649" t="s">
        <v>529</v>
      </c>
      <c r="H86" s="616"/>
      <c r="I86" s="616"/>
      <c r="J86" s="616"/>
      <c r="K86" s="617"/>
      <c r="L86" s="618"/>
      <c r="M86" s="619"/>
      <c r="N86" s="2734"/>
      <c r="O86" s="1765"/>
      <c r="P86" s="1764"/>
      <c r="Q86" s="1761"/>
      <c r="R86" s="1740"/>
      <c r="S86" s="1740"/>
      <c r="T86" s="1740"/>
      <c r="U86" s="1740"/>
      <c r="V86" s="1740"/>
      <c r="W86" s="1740"/>
      <c r="X86" s="1740"/>
      <c r="Y86" s="1740"/>
      <c r="Z86" s="1740"/>
      <c r="AA86" s="1740"/>
      <c r="AB86" s="1740"/>
      <c r="AC86" s="1740"/>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5"/>
      <c r="O87" s="1766"/>
      <c r="P87" s="1764"/>
      <c r="Q87" s="1761"/>
      <c r="R87" s="1740"/>
      <c r="S87" s="1740"/>
      <c r="T87" s="1740"/>
      <c r="U87" s="1740"/>
      <c r="V87" s="1740"/>
      <c r="W87" s="1740"/>
      <c r="X87" s="1740"/>
      <c r="Y87" s="1740"/>
      <c r="Z87" s="1740"/>
      <c r="AA87" s="1740"/>
      <c r="AB87" s="1740"/>
      <c r="AC87" s="1740"/>
    </row>
    <row r="88" spans="1:29" s="1057" customFormat="1" ht="27.75" thickTop="1">
      <c r="A88" s="486"/>
      <c r="B88" s="615" t="s">
        <v>533</v>
      </c>
      <c r="C88" s="649" t="s">
        <v>525</v>
      </c>
      <c r="D88" s="649" t="s">
        <v>526</v>
      </c>
      <c r="E88" s="649" t="s">
        <v>527</v>
      </c>
      <c r="F88" s="649" t="s">
        <v>528</v>
      </c>
      <c r="G88" s="649" t="s">
        <v>529</v>
      </c>
      <c r="H88" s="649"/>
      <c r="I88" s="649"/>
      <c r="J88" s="649"/>
      <c r="K88" s="649"/>
      <c r="L88" s="650"/>
      <c r="M88" s="651"/>
      <c r="N88" s="2733"/>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52">
        <v>100</v>
      </c>
      <c r="D89" s="621">
        <f>C89-$K21</f>
        <v>100</v>
      </c>
      <c r="E89" s="621">
        <f>D89-$K21</f>
        <v>100</v>
      </c>
      <c r="F89" s="621">
        <f>E89-$K21</f>
        <v>100</v>
      </c>
      <c r="G89" s="621">
        <f>F89-$K21</f>
        <v>100</v>
      </c>
      <c r="H89" s="621"/>
      <c r="I89" s="621"/>
      <c r="J89" s="621"/>
      <c r="K89" s="621"/>
      <c r="L89" s="621"/>
      <c r="M89" s="622"/>
      <c r="N89" s="2735"/>
      <c r="O89" s="1766"/>
      <c r="P89" s="1764"/>
      <c r="Q89" s="1761"/>
      <c r="R89" s="1638"/>
      <c r="S89" s="1638"/>
      <c r="T89" s="1638"/>
      <c r="U89" s="1638"/>
      <c r="V89" s="1638"/>
      <c r="W89" s="1638"/>
      <c r="X89" s="1638"/>
      <c r="Y89" s="1638"/>
      <c r="Z89" s="1638"/>
      <c r="AA89" s="1638"/>
      <c r="AB89" s="1638"/>
      <c r="AC89" s="1638"/>
    </row>
    <row r="90" spans="1:29" s="1057" customFormat="1" ht="27.75" thickTop="1">
      <c r="A90" s="486"/>
      <c r="B90" s="615" t="s">
        <v>534</v>
      </c>
      <c r="C90" s="143" t="s">
        <v>525</v>
      </c>
      <c r="D90" s="143" t="s">
        <v>526</v>
      </c>
      <c r="E90" s="143" t="s">
        <v>527</v>
      </c>
      <c r="F90" s="143" t="s">
        <v>528</v>
      </c>
      <c r="G90" s="143" t="s">
        <v>529</v>
      </c>
      <c r="H90" s="649"/>
      <c r="I90" s="649"/>
      <c r="J90" s="649"/>
      <c r="K90" s="649"/>
      <c r="L90" s="649"/>
      <c r="M90" s="651"/>
      <c r="N90" s="2733"/>
      <c r="O90" s="1764"/>
      <c r="P90" s="1764"/>
      <c r="Q90" s="1761"/>
      <c r="R90" s="1638"/>
      <c r="S90" s="1638"/>
      <c r="T90" s="1638"/>
      <c r="U90" s="1638"/>
      <c r="V90" s="1638"/>
      <c r="W90" s="1638"/>
      <c r="X90" s="1638"/>
      <c r="Y90" s="1638"/>
      <c r="Z90" s="1638"/>
      <c r="AA90" s="1638"/>
      <c r="AB90" s="1638"/>
      <c r="AC90" s="1638"/>
    </row>
    <row r="91" spans="1:29" s="1057" customFormat="1" ht="15.75" thickBot="1">
      <c r="A91" s="486"/>
      <c r="B91" s="620"/>
      <c r="C91" s="621">
        <v>100</v>
      </c>
      <c r="D91" s="621">
        <f>C91-$K23</f>
        <v>100</v>
      </c>
      <c r="E91" s="621">
        <f>D91-$K23</f>
        <v>100</v>
      </c>
      <c r="F91" s="621">
        <f>E91-$K23</f>
        <v>100</v>
      </c>
      <c r="G91" s="621">
        <f>F91-$K23</f>
        <v>100</v>
      </c>
      <c r="H91" s="621"/>
      <c r="I91" s="621"/>
      <c r="J91" s="621"/>
      <c r="K91" s="621"/>
      <c r="L91" s="621"/>
      <c r="M91" s="622"/>
      <c r="N91" s="2735"/>
      <c r="O91" s="1766"/>
      <c r="P91" s="1764"/>
      <c r="Q91" s="1761"/>
      <c r="R91" s="1638"/>
      <c r="S91" s="1638"/>
      <c r="T91" s="1638"/>
      <c r="U91" s="1638"/>
      <c r="V91" s="1638"/>
      <c r="W91" s="1638"/>
      <c r="X91" s="1638"/>
      <c r="Y91" s="1638"/>
      <c r="Z91" s="1638"/>
      <c r="AA91" s="1638"/>
      <c r="AB91" s="1638"/>
      <c r="AC91" s="1638"/>
    </row>
    <row r="92" spans="1:29" s="1131" customFormat="1" ht="15.75" thickTop="1">
      <c r="A92" s="629"/>
      <c r="B92" s="1553" t="s">
        <v>1829</v>
      </c>
      <c r="C92" s="143" t="s">
        <v>525</v>
      </c>
      <c r="D92" s="143" t="s">
        <v>526</v>
      </c>
      <c r="E92" s="143" t="s">
        <v>527</v>
      </c>
      <c r="F92" s="143" t="s">
        <v>528</v>
      </c>
      <c r="G92" s="143" t="s">
        <v>529</v>
      </c>
      <c r="H92" s="653"/>
      <c r="I92" s="653"/>
      <c r="J92" s="653"/>
      <c r="K92" s="653"/>
      <c r="L92" s="654"/>
      <c r="M92" s="655"/>
      <c r="N92" s="2736"/>
      <c r="O92" s="1767"/>
      <c r="P92" s="1767"/>
      <c r="Q92" s="1768"/>
      <c r="R92" s="1769"/>
      <c r="S92" s="1769"/>
      <c r="T92" s="1769"/>
      <c r="U92" s="1769"/>
      <c r="V92" s="1769"/>
      <c r="W92" s="1769"/>
      <c r="X92" s="1769"/>
      <c r="Y92" s="1769"/>
      <c r="Z92" s="1769"/>
      <c r="AA92" s="1769"/>
      <c r="AB92" s="1769"/>
      <c r="AC92" s="1769"/>
    </row>
    <row r="93" spans="1:29" s="1131" customFormat="1" ht="15.75" thickBot="1">
      <c r="A93" s="629"/>
      <c r="B93" s="620"/>
      <c r="C93" s="621">
        <v>100</v>
      </c>
      <c r="D93" s="621">
        <f>C93-$K25</f>
        <v>100</v>
      </c>
      <c r="E93" s="621">
        <f>D93-$K25</f>
        <v>100</v>
      </c>
      <c r="F93" s="621">
        <f>E93-$K25</f>
        <v>100</v>
      </c>
      <c r="G93" s="621">
        <f>F93-$K25</f>
        <v>100</v>
      </c>
      <c r="H93" s="656"/>
      <c r="I93" s="656"/>
      <c r="J93" s="656"/>
      <c r="K93" s="656"/>
      <c r="L93" s="656"/>
      <c r="M93" s="657"/>
      <c r="N93" s="2736"/>
      <c r="O93" s="1767"/>
      <c r="P93" s="1767"/>
      <c r="Q93" s="1768"/>
      <c r="R93" s="1769"/>
      <c r="S93" s="1769"/>
      <c r="T93" s="1769"/>
      <c r="U93" s="1769"/>
      <c r="V93" s="1769"/>
      <c r="W93" s="1769"/>
      <c r="X93" s="1769"/>
      <c r="Y93" s="1769"/>
      <c r="Z93" s="1769"/>
      <c r="AA93" s="1769"/>
      <c r="AB93" s="1769"/>
      <c r="AC93" s="1769"/>
    </row>
    <row r="94" spans="1:29" s="1131" customFormat="1" ht="15.75" thickTop="1">
      <c r="A94" s="629"/>
      <c r="B94" s="2054" t="s">
        <v>1831</v>
      </c>
      <c r="C94" s="2055" t="s">
        <v>1832</v>
      </c>
      <c r="D94" s="2055" t="s">
        <v>1833</v>
      </c>
      <c r="E94" s="2055" t="s">
        <v>1834</v>
      </c>
      <c r="F94" s="2055" t="s">
        <v>1835</v>
      </c>
      <c r="G94" s="2055" t="s">
        <v>1836</v>
      </c>
      <c r="H94" s="653"/>
      <c r="I94" s="653"/>
      <c r="J94" s="653"/>
      <c r="K94" s="653"/>
      <c r="L94" s="653"/>
      <c r="M94" s="655"/>
      <c r="N94" s="2736"/>
      <c r="O94" s="1767"/>
      <c r="P94" s="1767"/>
      <c r="Q94" s="1768"/>
      <c r="R94" s="1769"/>
      <c r="S94" s="1769"/>
      <c r="T94" s="1769"/>
      <c r="U94" s="1769"/>
      <c r="V94" s="1769"/>
      <c r="W94" s="1769"/>
      <c r="X94" s="1769"/>
      <c r="Y94" s="1769"/>
      <c r="Z94" s="1769"/>
      <c r="AA94" s="1769"/>
      <c r="AB94" s="1769"/>
      <c r="AC94" s="1769"/>
    </row>
    <row r="95" spans="1:29" s="1131" customFormat="1" ht="15.75" thickBot="1">
      <c r="A95" s="629"/>
      <c r="B95" s="623"/>
      <c r="C95" s="621">
        <v>100</v>
      </c>
      <c r="D95" s="621">
        <f>C95-$K27</f>
        <v>100</v>
      </c>
      <c r="E95" s="621">
        <f>D95-$K27</f>
        <v>100</v>
      </c>
      <c r="F95" s="621">
        <f>E95-$K27</f>
        <v>100</v>
      </c>
      <c r="G95" s="621">
        <f>F95-$K27</f>
        <v>100</v>
      </c>
      <c r="H95" s="625"/>
      <c r="I95" s="625"/>
      <c r="J95" s="625"/>
      <c r="K95" s="625"/>
      <c r="L95" s="625"/>
      <c r="M95" s="2047"/>
      <c r="N95" s="2736"/>
      <c r="O95" s="1767"/>
      <c r="P95" s="1767"/>
      <c r="Q95" s="1768"/>
      <c r="R95" s="1769"/>
      <c r="S95" s="1769"/>
      <c r="T95" s="1769"/>
      <c r="U95" s="1769"/>
      <c r="V95" s="1769"/>
      <c r="W95" s="1769"/>
      <c r="X95" s="1769"/>
      <c r="Y95" s="1769"/>
      <c r="Z95" s="1769"/>
      <c r="AA95" s="1769"/>
      <c r="AB95" s="1769"/>
      <c r="AC95" s="1769"/>
    </row>
    <row r="96" spans="1:29" ht="15.75" thickTop="1">
      <c r="A96" s="482"/>
      <c r="B96" s="615" t="str">
        <f>B29</f>
        <v>临街状况</v>
      </c>
      <c r="C96" s="616" t="s">
        <v>535</v>
      </c>
      <c r="D96" s="616" t="s">
        <v>536</v>
      </c>
      <c r="E96" s="616" t="s">
        <v>537</v>
      </c>
      <c r="F96" s="616" t="s">
        <v>538</v>
      </c>
      <c r="G96" s="616"/>
      <c r="H96" s="616"/>
      <c r="I96" s="616"/>
      <c r="J96" s="616"/>
      <c r="K96" s="617"/>
      <c r="L96" s="618"/>
      <c r="M96" s="619"/>
      <c r="N96" s="2734"/>
      <c r="O96" s="1765"/>
      <c r="P96" s="1764"/>
      <c r="Q96" s="1761"/>
      <c r="R96" s="1740"/>
      <c r="S96" s="1740"/>
      <c r="T96" s="1740"/>
      <c r="U96" s="1740"/>
      <c r="V96" s="1740"/>
      <c r="W96" s="1740"/>
      <c r="X96" s="1740"/>
      <c r="Y96" s="1740"/>
      <c r="Z96" s="1740"/>
      <c r="AA96" s="1740"/>
      <c r="AB96" s="1740"/>
      <c r="AC96" s="1740"/>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5"/>
      <c r="O97" s="1766"/>
      <c r="P97" s="1764"/>
      <c r="Q97" s="1761"/>
      <c r="R97" s="1740"/>
      <c r="S97" s="1740"/>
      <c r="T97" s="1740"/>
      <c r="U97" s="1740"/>
      <c r="V97" s="1740"/>
      <c r="W97" s="1740"/>
      <c r="X97" s="1740"/>
      <c r="Y97" s="1740"/>
      <c r="Z97" s="1740"/>
      <c r="AA97" s="1740"/>
      <c r="AB97" s="1740"/>
      <c r="AC97" s="1740"/>
    </row>
    <row r="98" spans="1:29" ht="27.75" thickTop="1">
      <c r="A98" s="482"/>
      <c r="B98" s="615" t="s">
        <v>495</v>
      </c>
      <c r="C98" s="630"/>
      <c r="D98" s="630"/>
      <c r="E98" s="630"/>
      <c r="F98" s="630"/>
      <c r="G98" s="630"/>
      <c r="H98" s="658"/>
      <c r="I98" s="658"/>
      <c r="J98" s="658"/>
      <c r="K98" s="659"/>
      <c r="L98" s="660"/>
      <c r="M98" s="661"/>
      <c r="N98" s="2734"/>
      <c r="O98" s="1765"/>
      <c r="P98" s="1764"/>
      <c r="Q98" s="1761"/>
      <c r="R98" s="1740"/>
      <c r="S98" s="1740"/>
      <c r="T98" s="1740"/>
      <c r="U98" s="1740"/>
      <c r="V98" s="1740"/>
      <c r="W98" s="1740"/>
      <c r="X98" s="1740"/>
      <c r="Y98" s="1740"/>
      <c r="Z98" s="1740"/>
      <c r="AA98" s="1740"/>
      <c r="AB98" s="1740"/>
      <c r="AC98" s="1740"/>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5"/>
      <c r="O99" s="1766"/>
      <c r="P99" s="1764"/>
      <c r="Q99" s="1761"/>
      <c r="R99" s="1740"/>
      <c r="S99" s="1740"/>
      <c r="T99" s="1740"/>
      <c r="U99" s="1740"/>
      <c r="V99" s="1740"/>
      <c r="W99" s="1740"/>
      <c r="X99" s="1740"/>
      <c r="Y99" s="1740"/>
      <c r="Z99" s="1740"/>
      <c r="AA99" s="1740"/>
      <c r="AB99" s="1740"/>
      <c r="AC99" s="1740"/>
    </row>
    <row r="100" spans="1:29" ht="15.75" thickTop="1">
      <c r="A100" s="482"/>
      <c r="B100" s="615" t="s">
        <v>496</v>
      </c>
      <c r="C100" s="658"/>
      <c r="D100" s="658"/>
      <c r="E100" s="658"/>
      <c r="F100" s="658"/>
      <c r="G100" s="658"/>
      <c r="H100" s="658"/>
      <c r="I100" s="658"/>
      <c r="J100" s="658"/>
      <c r="K100" s="659"/>
      <c r="L100" s="660"/>
      <c r="M100" s="661"/>
      <c r="N100" s="2734"/>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5"/>
      <c r="O101" s="1766"/>
      <c r="P101" s="1764"/>
      <c r="Q101" s="1761"/>
      <c r="R101" s="1740"/>
      <c r="S101" s="1740"/>
      <c r="T101" s="1740"/>
      <c r="U101" s="1740"/>
      <c r="V101" s="1740"/>
      <c r="W101" s="1740"/>
      <c r="X101" s="1740"/>
      <c r="Y101" s="1740"/>
      <c r="Z101" s="1740"/>
      <c r="AA101" s="1740"/>
      <c r="AB101" s="1740"/>
      <c r="AC101" s="1740"/>
    </row>
    <row r="102" spans="1:29" ht="15.75" thickTop="1">
      <c r="A102" s="482"/>
      <c r="B102" s="623">
        <f>B33</f>
        <v>111</v>
      </c>
      <c r="C102" s="630"/>
      <c r="D102" s="630"/>
      <c r="E102" s="630"/>
      <c r="F102" s="630"/>
      <c r="G102" s="662"/>
      <c r="H102" s="662"/>
      <c r="I102" s="662"/>
      <c r="J102" s="662"/>
      <c r="K102" s="663"/>
      <c r="L102" s="664"/>
      <c r="M102" s="665"/>
      <c r="N102" s="2734"/>
      <c r="O102" s="1765"/>
      <c r="P102" s="1764"/>
      <c r="Q102" s="1761"/>
      <c r="R102" s="1740"/>
      <c r="S102" s="1740"/>
      <c r="T102" s="1740"/>
      <c r="U102" s="1740"/>
      <c r="V102" s="1740"/>
      <c r="W102" s="1740"/>
      <c r="X102" s="1740"/>
      <c r="Y102" s="1740"/>
      <c r="Z102" s="1740"/>
      <c r="AA102" s="1740"/>
      <c r="AB102" s="1740"/>
      <c r="AC102" s="1740"/>
    </row>
    <row r="103" spans="1:29" ht="15.75" thickBot="1">
      <c r="A103" s="482"/>
      <c r="B103" s="641"/>
      <c r="C103" s="634"/>
      <c r="D103" s="613"/>
      <c r="E103" s="613"/>
      <c r="F103" s="613"/>
      <c r="G103" s="666"/>
      <c r="H103" s="666"/>
      <c r="I103" s="666"/>
      <c r="J103" s="666"/>
      <c r="K103" s="666"/>
      <c r="L103" s="666"/>
      <c r="M103" s="667"/>
      <c r="N103" s="2735"/>
      <c r="O103" s="1766"/>
      <c r="P103" s="1764"/>
      <c r="Q103" s="1761"/>
      <c r="R103" s="1740"/>
      <c r="S103" s="1740"/>
      <c r="T103" s="1740"/>
      <c r="U103" s="1740"/>
      <c r="V103" s="1740"/>
      <c r="W103" s="1740"/>
      <c r="X103" s="1740"/>
      <c r="Y103" s="1740"/>
      <c r="Z103" s="1740"/>
      <c r="AA103" s="1740"/>
      <c r="AB103" s="1740"/>
      <c r="AC103" s="1740"/>
    </row>
    <row r="104" spans="1:29" ht="15" thickTop="1">
      <c r="A104" s="536"/>
      <c r="B104" s="615">
        <f>B34</f>
        <v>111</v>
      </c>
      <c r="C104" s="630"/>
      <c r="D104" s="630"/>
      <c r="E104" s="630"/>
      <c r="F104" s="630"/>
      <c r="G104" s="658"/>
      <c r="H104" s="658"/>
      <c r="I104" s="658"/>
      <c r="J104" s="658"/>
      <c r="K104" s="659"/>
      <c r="L104" s="660"/>
      <c r="M104" s="661"/>
      <c r="N104" s="2734"/>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34"/>
      <c r="D105" s="634"/>
      <c r="E105" s="634"/>
      <c r="F105" s="634"/>
      <c r="G105" s="613"/>
      <c r="H105" s="613"/>
      <c r="I105" s="613"/>
      <c r="J105" s="613"/>
      <c r="K105" s="613"/>
      <c r="L105" s="613"/>
      <c r="M105" s="614"/>
      <c r="N105" s="2735"/>
      <c r="O105" s="1766"/>
      <c r="P105" s="1764"/>
      <c r="Q105" s="1761"/>
      <c r="R105" s="1740"/>
      <c r="S105" s="1740"/>
      <c r="T105" s="1740"/>
      <c r="U105" s="1740"/>
      <c r="V105" s="1740"/>
      <c r="W105" s="1740"/>
      <c r="X105" s="1740"/>
      <c r="Y105" s="1740"/>
      <c r="Z105" s="1740"/>
      <c r="AA105" s="1740"/>
      <c r="AB105" s="1740"/>
      <c r="AC105" s="1740"/>
    </row>
    <row r="106" spans="1:29" s="1131" customFormat="1" ht="15" thickTop="1">
      <c r="A106" s="552"/>
      <c r="B106" s="668">
        <f>B35</f>
        <v>111</v>
      </c>
      <c r="C106" s="80"/>
      <c r="D106" s="80"/>
      <c r="E106" s="80"/>
      <c r="F106" s="80"/>
      <c r="G106" s="79"/>
      <c r="H106" s="79"/>
      <c r="I106" s="79"/>
      <c r="J106" s="669"/>
      <c r="K106" s="669"/>
      <c r="L106" s="670"/>
      <c r="M106" s="671"/>
      <c r="N106" s="2736"/>
      <c r="O106" s="1767"/>
      <c r="P106" s="1767"/>
      <c r="Q106" s="1768"/>
      <c r="R106" s="1769"/>
      <c r="S106" s="1769"/>
      <c r="T106" s="1769"/>
      <c r="U106" s="1769"/>
      <c r="V106" s="1769"/>
      <c r="W106" s="1769"/>
      <c r="X106" s="1769"/>
      <c r="Y106" s="1769"/>
      <c r="Z106" s="1769"/>
      <c r="AA106" s="1769"/>
      <c r="AB106" s="1769"/>
      <c r="AC106" s="1769"/>
    </row>
    <row r="107" spans="1:29" s="1131" customFormat="1" ht="15.75" thickBot="1">
      <c r="A107" s="629"/>
      <c r="B107" s="623"/>
      <c r="C107" s="642"/>
      <c r="D107" s="642"/>
      <c r="E107" s="642"/>
      <c r="F107" s="642"/>
      <c r="G107" s="541"/>
      <c r="H107" s="541"/>
      <c r="I107" s="541"/>
      <c r="J107" s="541"/>
      <c r="K107" s="541"/>
      <c r="L107" s="541"/>
      <c r="M107" s="672"/>
      <c r="N107" s="2735"/>
      <c r="O107" s="1766"/>
      <c r="P107" s="1767"/>
      <c r="Q107" s="1768"/>
      <c r="R107" s="1769"/>
      <c r="S107" s="1769"/>
      <c r="T107" s="1769"/>
      <c r="U107" s="1769"/>
      <c r="V107" s="1769"/>
      <c r="W107" s="1769"/>
      <c r="X107" s="1769"/>
      <c r="Y107" s="1769"/>
      <c r="Z107" s="1769"/>
      <c r="AA107" s="1769"/>
      <c r="AB107" s="1769"/>
      <c r="AC107" s="1769"/>
    </row>
    <row r="108" spans="1:29">
      <c r="A108" s="607" t="s">
        <v>498</v>
      </c>
      <c r="B108" s="608" t="s">
        <v>539</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6" t="str">
        <f t="shared" si="24"/>
        <v>(含)-</v>
      </c>
      <c r="L108" s="2347" t="str">
        <f t="shared" si="24"/>
        <v>(含)-</v>
      </c>
      <c r="M108" s="145" t="str">
        <f>M109&amp;"(含)"&amp;"-"&amp;P109</f>
        <v>(含)-</v>
      </c>
      <c r="N108" s="2734"/>
      <c r="O108" s="1765"/>
      <c r="P108" s="1764"/>
      <c r="Q108" s="1761"/>
      <c r="R108" s="1740"/>
      <c r="S108" s="1740"/>
      <c r="T108" s="1740"/>
      <c r="U108" s="1740"/>
      <c r="V108" s="1740"/>
      <c r="W108" s="1740"/>
      <c r="X108" s="1740"/>
      <c r="Y108" s="1740"/>
      <c r="Z108" s="1740"/>
      <c r="AA108" s="1740"/>
      <c r="AB108" s="1740"/>
      <c r="AC108" s="1740"/>
    </row>
    <row r="109" spans="1:29" ht="15">
      <c r="A109" s="482"/>
      <c r="B109" s="623"/>
      <c r="C109" s="79"/>
      <c r="D109" s="79"/>
      <c r="E109" s="79"/>
      <c r="F109" s="79"/>
      <c r="G109" s="79"/>
      <c r="H109" s="79"/>
      <c r="I109" s="79"/>
      <c r="J109" s="669"/>
      <c r="K109" s="669"/>
      <c r="L109" s="670"/>
      <c r="M109" s="671"/>
      <c r="N109" s="2734"/>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42"/>
      <c r="D110" s="666"/>
      <c r="E110" s="666"/>
      <c r="F110" s="666"/>
      <c r="G110" s="666"/>
      <c r="H110" s="666"/>
      <c r="I110" s="666"/>
      <c r="J110" s="666"/>
      <c r="K110" s="666"/>
      <c r="L110" s="666"/>
      <c r="M110" s="667"/>
      <c r="N110" s="2735"/>
      <c r="O110" s="1766"/>
      <c r="P110" s="1764"/>
      <c r="Q110" s="1761"/>
      <c r="R110" s="1740"/>
      <c r="S110" s="1740"/>
      <c r="T110" s="1740"/>
      <c r="U110" s="1740"/>
      <c r="V110" s="1740"/>
      <c r="W110" s="1740"/>
      <c r="X110" s="1740"/>
      <c r="Y110" s="1740"/>
      <c r="Z110" s="1740"/>
      <c r="AA110" s="1740"/>
      <c r="AB110" s="1740"/>
      <c r="AC110" s="1740"/>
    </row>
    <row r="111" spans="1:29" ht="15" thickTop="1">
      <c r="A111" s="543"/>
      <c r="B111" s="615" t="s">
        <v>540</v>
      </c>
      <c r="C111" s="658"/>
      <c r="D111" s="658"/>
      <c r="E111" s="658"/>
      <c r="F111" s="658"/>
      <c r="G111" s="658"/>
      <c r="H111" s="658"/>
      <c r="I111" s="658"/>
      <c r="J111" s="658"/>
      <c r="K111" s="659"/>
      <c r="L111" s="660"/>
      <c r="M111" s="661"/>
      <c r="N111" s="2734"/>
      <c r="O111" s="1765"/>
      <c r="P111" s="1764"/>
      <c r="Q111" s="1761"/>
      <c r="R111" s="1740"/>
      <c r="S111" s="1740"/>
      <c r="T111" s="1740"/>
      <c r="U111" s="1740"/>
      <c r="V111" s="1740"/>
      <c r="W111" s="1740"/>
      <c r="X111" s="1740"/>
      <c r="Y111" s="1740"/>
      <c r="Z111" s="1740"/>
      <c r="AA111" s="1740"/>
      <c r="AB111" s="1740"/>
      <c r="AC111" s="1740"/>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5"/>
      <c r="O112" s="1766"/>
      <c r="P112" s="1764"/>
      <c r="Q112" s="1761"/>
      <c r="R112" s="1740"/>
      <c r="S112" s="1740"/>
      <c r="T112" s="1740"/>
      <c r="U112" s="1740"/>
      <c r="V112" s="1740"/>
      <c r="W112" s="1740"/>
      <c r="X112" s="1740"/>
      <c r="Y112" s="1740"/>
      <c r="Z112" s="1740"/>
      <c r="AA112" s="1740"/>
      <c r="AB112" s="1740"/>
      <c r="AC112" s="1740"/>
    </row>
    <row r="113" spans="1:29" s="1131" customFormat="1" ht="15" thickTop="1">
      <c r="A113" s="552"/>
      <c r="B113" s="1553" t="s">
        <v>1775</v>
      </c>
      <c r="C113" s="1164"/>
      <c r="D113" s="1164"/>
      <c r="E113" s="1164"/>
      <c r="F113" s="1164"/>
      <c r="G113" s="1164"/>
      <c r="H113" s="658"/>
      <c r="I113" s="658"/>
      <c r="J113" s="658"/>
      <c r="K113" s="659"/>
      <c r="L113" s="660"/>
      <c r="M113" s="661"/>
      <c r="N113" s="2736"/>
      <c r="O113" s="1767"/>
      <c r="P113" s="1767"/>
      <c r="Q113" s="1768"/>
      <c r="R113" s="1769"/>
      <c r="S113" s="1769"/>
      <c r="T113" s="1769"/>
      <c r="U113" s="1769"/>
      <c r="V113" s="1769"/>
      <c r="W113" s="1769"/>
      <c r="X113" s="1769"/>
      <c r="Y113" s="1769"/>
      <c r="Z113" s="1769"/>
      <c r="AA113" s="1769"/>
      <c r="AB113" s="1769"/>
      <c r="AC113" s="1769"/>
    </row>
    <row r="114" spans="1:29" s="1131"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6"/>
      <c r="O114" s="1767"/>
      <c r="P114" s="1767"/>
      <c r="Q114" s="1768"/>
      <c r="R114" s="1769"/>
      <c r="S114" s="1769"/>
      <c r="T114" s="1769"/>
      <c r="U114" s="1769"/>
      <c r="V114" s="1769"/>
      <c r="W114" s="1769"/>
      <c r="X114" s="1769"/>
      <c r="Y114" s="1769"/>
      <c r="Z114" s="1769"/>
      <c r="AA114" s="1769"/>
      <c r="AB114" s="1769"/>
      <c r="AC114" s="1769"/>
    </row>
    <row r="115" spans="1:29" ht="15" thickTop="1">
      <c r="A115" s="543"/>
      <c r="B115" s="615" t="s">
        <v>542</v>
      </c>
      <c r="C115" s="630"/>
      <c r="D115" s="630"/>
      <c r="E115" s="658"/>
      <c r="F115" s="658"/>
      <c r="G115" s="658"/>
      <c r="H115" s="658"/>
      <c r="I115" s="658"/>
      <c r="J115" s="658"/>
      <c r="K115" s="659"/>
      <c r="L115" s="660"/>
      <c r="M115" s="661"/>
      <c r="N115" s="2734"/>
      <c r="O115" s="1765"/>
      <c r="P115" s="1764"/>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5"/>
      <c r="O116" s="1766"/>
      <c r="P116" s="1764"/>
      <c r="Q116" s="1761"/>
      <c r="R116" s="1740"/>
      <c r="S116" s="1740"/>
      <c r="T116" s="1740"/>
      <c r="U116" s="1740"/>
      <c r="V116" s="1740"/>
      <c r="W116" s="1740"/>
      <c r="X116" s="1740"/>
      <c r="Y116" s="1740"/>
      <c r="Z116" s="1740"/>
      <c r="AA116" s="1740"/>
      <c r="AB116" s="1740"/>
      <c r="AC116" s="1740"/>
    </row>
    <row r="117" spans="1:29" ht="15" thickTop="1">
      <c r="A117" s="543"/>
      <c r="B117" s="615">
        <f>B40</f>
        <v>111</v>
      </c>
      <c r="C117" s="630"/>
      <c r="D117" s="630"/>
      <c r="E117" s="630"/>
      <c r="F117" s="630"/>
      <c r="G117" s="630"/>
      <c r="H117" s="658"/>
      <c r="I117" s="658"/>
      <c r="J117" s="658"/>
      <c r="K117" s="659"/>
      <c r="L117" s="660"/>
      <c r="M117" s="661"/>
      <c r="N117" s="2734"/>
      <c r="O117" s="1765"/>
      <c r="P117" s="1764"/>
      <c r="Q117" s="1761"/>
      <c r="R117" s="1740"/>
      <c r="S117" s="1740"/>
      <c r="T117" s="1740"/>
      <c r="U117" s="1740"/>
      <c r="V117" s="1740"/>
      <c r="W117" s="1740"/>
      <c r="X117" s="1740"/>
      <c r="Y117" s="1740"/>
      <c r="Z117" s="1740"/>
      <c r="AA117" s="1740"/>
      <c r="AB117" s="1740"/>
      <c r="AC117" s="1740"/>
    </row>
    <row r="118" spans="1:29" ht="15.75" thickBot="1">
      <c r="A118" s="482"/>
      <c r="B118" s="620"/>
      <c r="C118" s="634"/>
      <c r="D118" s="613"/>
      <c r="E118" s="613"/>
      <c r="F118" s="613"/>
      <c r="G118" s="613"/>
      <c r="H118" s="613"/>
      <c r="I118" s="613"/>
      <c r="J118" s="613"/>
      <c r="K118" s="613"/>
      <c r="L118" s="613"/>
      <c r="M118" s="614"/>
      <c r="N118" s="2735"/>
      <c r="O118" s="1766"/>
      <c r="P118" s="1764"/>
      <c r="Q118" s="1761"/>
      <c r="R118" s="1740"/>
      <c r="S118" s="1740"/>
      <c r="T118" s="1740"/>
      <c r="U118" s="1740"/>
      <c r="V118" s="1740"/>
      <c r="W118" s="1740"/>
      <c r="X118" s="1740"/>
      <c r="Y118" s="1740"/>
      <c r="Z118" s="1740"/>
      <c r="AA118" s="1740"/>
      <c r="AB118" s="1740"/>
      <c r="AC118" s="1740"/>
    </row>
    <row r="119" spans="1:29" ht="15" thickTop="1">
      <c r="A119" s="543"/>
      <c r="B119" s="615">
        <f>B41</f>
        <v>111</v>
      </c>
      <c r="C119" s="630"/>
      <c r="D119" s="630"/>
      <c r="E119" s="630"/>
      <c r="F119" s="630"/>
      <c r="G119" s="658"/>
      <c r="H119" s="658"/>
      <c r="I119" s="658"/>
      <c r="J119" s="658"/>
      <c r="K119" s="659"/>
      <c r="L119" s="660"/>
      <c r="M119" s="661"/>
      <c r="N119" s="2734"/>
      <c r="O119" s="1765"/>
      <c r="P119" s="1764"/>
      <c r="Q119" s="1761"/>
      <c r="R119" s="1740"/>
      <c r="S119" s="1740"/>
      <c r="T119" s="1740"/>
      <c r="U119" s="1740"/>
      <c r="V119" s="1740"/>
      <c r="W119" s="1740"/>
      <c r="X119" s="1740"/>
      <c r="Y119" s="1740"/>
      <c r="Z119" s="1740"/>
      <c r="AA119" s="1740"/>
      <c r="AB119" s="1740"/>
      <c r="AC119" s="1740"/>
    </row>
    <row r="120" spans="1:29" ht="15.75" thickBot="1">
      <c r="A120" s="482"/>
      <c r="B120" s="620"/>
      <c r="C120" s="634"/>
      <c r="D120" s="634"/>
      <c r="E120" s="634"/>
      <c r="F120" s="634"/>
      <c r="G120" s="613"/>
      <c r="H120" s="613"/>
      <c r="I120" s="613"/>
      <c r="J120" s="613"/>
      <c r="K120" s="613"/>
      <c r="L120" s="613"/>
      <c r="M120" s="614"/>
      <c r="N120" s="2735"/>
      <c r="O120" s="1766"/>
      <c r="P120" s="1764"/>
      <c r="Q120" s="1761"/>
      <c r="R120" s="1740"/>
      <c r="S120" s="1740"/>
      <c r="T120" s="1740"/>
      <c r="U120" s="1740"/>
      <c r="V120" s="1740"/>
      <c r="W120" s="1740"/>
      <c r="X120" s="1740"/>
      <c r="Y120" s="1740"/>
      <c r="Z120" s="1740"/>
      <c r="AA120" s="1740"/>
      <c r="AB120" s="1740"/>
      <c r="AC120" s="1740"/>
    </row>
    <row r="121" spans="1:29" s="1131" customFormat="1" ht="15" thickTop="1">
      <c r="A121" s="552"/>
      <c r="B121" s="615">
        <f>B42</f>
        <v>111</v>
      </c>
      <c r="C121" s="80"/>
      <c r="D121" s="80"/>
      <c r="E121" s="80"/>
      <c r="F121" s="80"/>
      <c r="G121" s="631"/>
      <c r="H121" s="631"/>
      <c r="I121" s="631"/>
      <c r="J121" s="631"/>
      <c r="K121" s="631"/>
      <c r="L121" s="632"/>
      <c r="M121" s="633"/>
      <c r="N121" s="2736"/>
      <c r="O121" s="1767"/>
      <c r="P121" s="1767"/>
      <c r="Q121" s="1768"/>
      <c r="R121" s="1769"/>
      <c r="S121" s="1769"/>
      <c r="T121" s="1769"/>
      <c r="U121" s="1769"/>
      <c r="V121" s="1769"/>
      <c r="W121" s="1769"/>
      <c r="X121" s="1769"/>
      <c r="Y121" s="1769"/>
      <c r="Z121" s="1769"/>
      <c r="AA121" s="1769"/>
      <c r="AB121" s="1769"/>
      <c r="AC121" s="1769"/>
    </row>
    <row r="122" spans="1:29" s="1131" customFormat="1" ht="15.75" thickBot="1">
      <c r="A122" s="640"/>
      <c r="B122" s="673"/>
      <c r="C122" s="642"/>
      <c r="D122" s="642"/>
      <c r="E122" s="642"/>
      <c r="F122" s="642"/>
      <c r="G122" s="666"/>
      <c r="H122" s="666"/>
      <c r="I122" s="666"/>
      <c r="J122" s="666"/>
      <c r="K122" s="666"/>
      <c r="L122" s="666"/>
      <c r="M122" s="667"/>
      <c r="N122" s="2736"/>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186" customWidth="1"/>
    <col min="2" max="2" width="24.625" style="1272" customWidth="1"/>
    <col min="3" max="4" width="12" style="1187"/>
    <col min="5" max="5" width="14.625" style="1187" customWidth="1"/>
    <col min="6" max="8" width="12" style="1187"/>
    <col min="9" max="9" width="12.25" style="1187" bestFit="1" customWidth="1"/>
    <col min="10" max="10" width="12" style="1187"/>
    <col min="11" max="11" width="9.625" style="1184" customWidth="1"/>
    <col min="12" max="12" width="15.75" style="1187" customWidth="1"/>
    <col min="13" max="14" width="10.625" style="1187" customWidth="1"/>
    <col min="15" max="17" width="12" style="1187"/>
    <col min="18" max="18" width="12" style="1186"/>
    <col min="19" max="22" width="15.5" style="1186" customWidth="1"/>
    <col min="23" max="28" width="12" style="1187"/>
    <col min="29" max="29" width="9.375" style="1186" customWidth="1"/>
    <col min="30" max="35" width="9.375" style="1185" customWidth="1"/>
    <col min="36" max="39" width="9.375" style="1186" customWidth="1"/>
    <col min="40" max="41" width="9.375" style="1187" customWidth="1"/>
    <col min="42" max="16384" width="12" style="1187"/>
  </cols>
  <sheetData>
    <row r="1" spans="1:39" ht="20.25">
      <c r="A1" s="1181" t="s">
        <v>1225</v>
      </c>
      <c r="B1" s="1182"/>
      <c r="C1" s="1188" t="s">
        <v>1776</v>
      </c>
      <c r="D1" s="1265">
        <f>SUM(D33:D34,D37:D42)</f>
        <v>0</v>
      </c>
      <c r="E1" s="1188" t="s">
        <v>1777</v>
      </c>
      <c r="F1" s="1250"/>
      <c r="G1" s="1183"/>
      <c r="H1" s="1183"/>
      <c r="I1" s="1183"/>
      <c r="J1" s="1183"/>
      <c r="K1" s="1787"/>
      <c r="L1" s="1539" t="s">
        <v>1595</v>
      </c>
      <c r="M1" s="1540">
        <f>SUMPRODUCT((区片价!B5:B9=I2)*(区片价!C3:G3=E2)*(区片价!C5:G9))</f>
        <v>0</v>
      </c>
      <c r="N1" s="1541">
        <f>SUMPRODUCT((因素修正幅度!B5:B9=I2)*(因素修正幅度!C3:G3=E2)*(因素修正幅度!C5:G9))</f>
        <v>0</v>
      </c>
      <c r="O1" s="1787"/>
      <c r="P1" s="1787"/>
      <c r="Q1" s="1787"/>
      <c r="R1" s="2230" t="s">
        <v>2041</v>
      </c>
      <c r="S1" s="2230" t="s">
        <v>2042</v>
      </c>
      <c r="T1" s="2230" t="s">
        <v>2059</v>
      </c>
      <c r="U1" s="2230" t="s">
        <v>2060</v>
      </c>
      <c r="V1" s="2230" t="s">
        <v>2061</v>
      </c>
      <c r="W1" s="1787"/>
      <c r="X1" s="1787"/>
      <c r="Y1" s="1787"/>
      <c r="Z1" s="1787"/>
      <c r="AA1" s="1787"/>
      <c r="AB1" s="1787"/>
      <c r="AC1" s="1788"/>
    </row>
    <row r="2" spans="1:39" ht="15.75">
      <c r="A2" s="1188" t="s">
        <v>846</v>
      </c>
      <c r="B2" s="938" t="e">
        <f>C30</f>
        <v>#DIV/0!</v>
      </c>
      <c r="C2" s="1189" t="s">
        <v>847</v>
      </c>
      <c r="D2" s="1190" t="s">
        <v>848</v>
      </c>
      <c r="E2" s="1191"/>
      <c r="F2" s="1190" t="s">
        <v>850</v>
      </c>
      <c r="G2" s="1370">
        <f>IF(E2="商业",项目基本情况!B43,IF(E2="办公",项目基本情况!C43,IF(E2="住宅",项目基本情况!D43,IF(E2="工业",项目基本情况!E43,项目基本情况!F43))))</f>
        <v>0</v>
      </c>
      <c r="H2" s="1190" t="s">
        <v>852</v>
      </c>
      <c r="I2" s="943">
        <f>IF(E2="商业",项目基本情况!B44,IF(E2="办公",项目基本情况!C44,IF(E2="住宅",项目基本情况!D44,IF(E2="工业",项目基本情况!E44,项目基本情况!F44))))</f>
        <v>0</v>
      </c>
      <c r="J2" s="1183"/>
      <c r="K2" s="1787"/>
      <c r="L2" s="1542" t="s">
        <v>1596</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2" t="s">
        <v>1218</v>
      </c>
      <c r="B3" s="938" t="e">
        <f>ROUND(B2*10000/D1,0)</f>
        <v>#DIV/0!</v>
      </c>
      <c r="C3" s="1189" t="s">
        <v>853</v>
      </c>
      <c r="D3" s="1190" t="s">
        <v>854</v>
      </c>
      <c r="E3" s="1193"/>
      <c r="F3" s="1194"/>
      <c r="G3" s="939">
        <f>IF(F3="宗地容积率",'数据-汇总表'!I4,IF(F3="估价对象容积率",'数据-汇总表'!I6,'数据-汇总表'!I7))</f>
        <v>0</v>
      </c>
      <c r="H3" s="1190" t="s">
        <v>855</v>
      </c>
      <c r="I3" s="940"/>
      <c r="J3" s="1183" t="s">
        <v>856</v>
      </c>
      <c r="K3" s="1787"/>
      <c r="L3" s="1542" t="s">
        <v>1597</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1636</v>
      </c>
      <c r="B4" s="1968" t="e">
        <f>ROUND(B2*10000/F1,0)</f>
        <v>#DIV/0!</v>
      </c>
      <c r="C4" s="1551" t="s">
        <v>1611</v>
      </c>
      <c r="D4" s="1551" t="e">
        <f>ROUND(B2/(F1/666.67),0)</f>
        <v>#DIV/0!</v>
      </c>
      <c r="E4" s="1551" t="s">
        <v>1612</v>
      </c>
      <c r="F4" s="1549"/>
      <c r="G4" s="1549"/>
      <c r="H4" s="1549"/>
      <c r="I4" s="1549"/>
      <c r="J4" s="1550"/>
      <c r="K4" s="2737"/>
      <c r="L4" s="1542" t="s">
        <v>1598</v>
      </c>
      <c r="M4" s="1543">
        <f>SUMPRODUCT((区片价!B55:B86=I2)*(区片价!C3:G3=E2)*(区片价!C55:G86))</f>
        <v>0</v>
      </c>
      <c r="N4" s="1544">
        <f>SUMPRODUCT((因素修正幅度!B55:B86=I2)*(因素修正幅度!C3:G3=E2)*(因素修正幅度!C55:G86))</f>
        <v>0</v>
      </c>
      <c r="O4" s="2737"/>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1" customFormat="1" ht="15.75" thickBot="1">
      <c r="A5" s="1357" t="s">
        <v>1350</v>
      </c>
      <c r="B5" s="1195" t="s">
        <v>857</v>
      </c>
      <c r="C5" s="941" t="e">
        <f>ROUND(IF(E2="商业",C6*C7*C17+C20,(IF(E2="住宅",C6*C13*C17+C20,IF(E2="办公",C6*C12*C17+C20,C6+C20)))),0)</f>
        <v>#DIV/0!</v>
      </c>
      <c r="D5" s="2356" t="e">
        <f>ROUND(C6*C17+C20,0)</f>
        <v>#DIV/0!</v>
      </c>
      <c r="E5" s="2356"/>
      <c r="F5" s="1196"/>
      <c r="G5" s="1197"/>
      <c r="H5" s="1197"/>
      <c r="I5" s="1197"/>
      <c r="J5" s="1198"/>
      <c r="K5" s="2738"/>
      <c r="L5" s="1542" t="s">
        <v>1599</v>
      </c>
      <c r="M5" s="1543">
        <f>SUMPRODUCT((区片价!B87:B126=I2)*(区片价!C3:G3=E2)*(区片价!C87:G126))</f>
        <v>0</v>
      </c>
      <c r="N5" s="1544">
        <f>SUMPRODUCT((因素修正幅度!B87:B126=I2)*(因素修正幅度!C3:G3=E2)*(因素修正幅度!C87:G126))</f>
        <v>0</v>
      </c>
      <c r="O5" s="2738"/>
      <c r="P5" s="2740"/>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199"/>
      <c r="AE5" s="1199"/>
      <c r="AF5" s="1199"/>
      <c r="AG5" s="1199"/>
      <c r="AH5" s="1199"/>
      <c r="AI5" s="1199"/>
      <c r="AJ5" s="1200"/>
      <c r="AK5" s="1200"/>
      <c r="AL5" s="1200"/>
      <c r="AM5" s="1200"/>
    </row>
    <row r="6" spans="1:39" ht="15.75" thickBot="1">
      <c r="A6" s="3249" t="s">
        <v>1393</v>
      </c>
      <c r="B6" s="1202" t="s">
        <v>857</v>
      </c>
      <c r="C6" s="3250">
        <f>SUMIF(L1:L12,G2,M1:M12)</f>
        <v>0</v>
      </c>
      <c r="D6" s="3251" t="s">
        <v>1226</v>
      </c>
      <c r="E6" s="1202"/>
      <c r="F6" s="1202"/>
      <c r="G6" s="3252"/>
      <c r="H6" s="3252"/>
      <c r="I6" s="3252"/>
      <c r="J6" s="3253"/>
      <c r="K6" s="1787"/>
      <c r="L6" s="1542" t="s">
        <v>1600</v>
      </c>
      <c r="M6" s="1543">
        <f>SUMPRODUCT((区片价!B127:B189=I2)*(区片价!C3:G3=E2)*(区片价!C127:G189))</f>
        <v>0</v>
      </c>
      <c r="N6" s="1544">
        <f>SUMPRODUCT((因素修正幅度!B127:B189=I2)*(因素修正幅度!C3:G3=E2)*(因素修正幅度!C127:G189))</f>
        <v>0</v>
      </c>
      <c r="O6" s="1787"/>
      <c r="P6" s="2741"/>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199"/>
      <c r="AE6" s="1199"/>
      <c r="AF6" s="1199"/>
      <c r="AG6" s="1199"/>
      <c r="AH6" s="1199"/>
      <c r="AI6" s="1199"/>
      <c r="AJ6" s="1200"/>
    </row>
    <row r="7" spans="1:39" ht="24.75" thickBot="1">
      <c r="A7" s="3254" t="s">
        <v>3179</v>
      </c>
      <c r="B7" s="1203" t="s">
        <v>858</v>
      </c>
      <c r="C7" s="3255" t="e">
        <f>IF(C8="不临65条商业街",1,ROUND(1+(1.6*E8+1.2*E9+0.8*E10+0.4*E11)*C9,4))</f>
        <v>#DIV/0!</v>
      </c>
      <c r="D7" s="3256" t="s">
        <v>859</v>
      </c>
      <c r="E7" s="3257"/>
      <c r="F7" s="3258"/>
      <c r="G7" s="3258"/>
      <c r="H7" s="3258"/>
      <c r="I7" s="3258"/>
      <c r="J7" s="3259"/>
      <c r="K7" s="1787"/>
      <c r="L7" s="1542" t="s">
        <v>1601</v>
      </c>
      <c r="M7" s="1543">
        <f>SUMPRODUCT((区片价!B190:B233=I2)*(区片价!C3:G3=E2)*(区片价!C190:G233))</f>
        <v>0</v>
      </c>
      <c r="N7" s="1544">
        <f>SUMPRODUCT((因素修正幅度!B190:B233=I2)*(因素修正幅度!C3:G3=E2)*(因素修正幅度!C190:G233))</f>
        <v>0</v>
      </c>
      <c r="O7" s="1787"/>
      <c r="P7" s="2741"/>
      <c r="Q7" s="1787"/>
      <c r="R7" s="2231">
        <v>6</v>
      </c>
      <c r="S7" s="2221"/>
      <c r="T7" s="2231" t="e">
        <f t="shared" si="0"/>
        <v>#DIV/0!</v>
      </c>
      <c r="U7" s="2221"/>
      <c r="V7" s="2231" t="e">
        <f t="shared" si="1"/>
        <v>#DIV/0!</v>
      </c>
      <c r="W7" s="2229" t="s">
        <v>2044</v>
      </c>
      <c r="X7" s="2222">
        <f>G2</f>
        <v>0</v>
      </c>
      <c r="Y7" s="2222" t="s">
        <v>2045</v>
      </c>
      <c r="Z7" s="2223">
        <f>G3</f>
        <v>0</v>
      </c>
      <c r="AA7" s="1790"/>
      <c r="AB7" s="1790"/>
      <c r="AC7" s="1791"/>
      <c r="AD7" s="2224"/>
      <c r="AE7" s="2224"/>
      <c r="AF7" s="2224"/>
      <c r="AG7" s="2224"/>
      <c r="AH7" s="2224"/>
      <c r="AI7" s="2224"/>
      <c r="AJ7" s="2225"/>
    </row>
    <row r="8" spans="1:39" ht="15">
      <c r="A8" s="3260"/>
      <c r="B8" s="1190" t="s">
        <v>860</v>
      </c>
      <c r="C8" s="3261"/>
      <c r="D8" s="3262" t="s">
        <v>861</v>
      </c>
      <c r="E8" s="3263" t="e">
        <f>ROUND(C11/E7,4)</f>
        <v>#DIV/0!</v>
      </c>
      <c r="F8" s="3264" t="s">
        <v>862</v>
      </c>
      <c r="G8" s="3265"/>
      <c r="H8" s="3265"/>
      <c r="I8" s="3265"/>
      <c r="J8" s="3266"/>
      <c r="K8" s="1787"/>
      <c r="L8" s="1542" t="s">
        <v>1602</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649" t="s">
        <v>2058</v>
      </c>
      <c r="X8" s="3650"/>
      <c r="Y8" s="1536" t="s">
        <v>2046</v>
      </c>
      <c r="Z8" s="1536" t="s">
        <v>2047</v>
      </c>
      <c r="AA8" s="1536" t="s">
        <v>2048</v>
      </c>
      <c r="AB8" s="1536" t="s">
        <v>2049</v>
      </c>
      <c r="AC8" s="1536" t="s">
        <v>2050</v>
      </c>
      <c r="AD8" s="1536" t="s">
        <v>2051</v>
      </c>
      <c r="AE8" s="1536" t="s">
        <v>2052</v>
      </c>
      <c r="AF8" s="1536" t="s">
        <v>2053</v>
      </c>
      <c r="AG8" s="1536" t="s">
        <v>2054</v>
      </c>
      <c r="AH8" s="1536" t="s">
        <v>2055</v>
      </c>
      <c r="AI8" s="1536" t="s">
        <v>2056</v>
      </c>
      <c r="AJ8" s="1536" t="s">
        <v>2057</v>
      </c>
    </row>
    <row r="9" spans="1:39" ht="15">
      <c r="A9" s="3260"/>
      <c r="B9" s="1190" t="s">
        <v>863</v>
      </c>
      <c r="C9" s="3267">
        <f>SUMIF(修正!C71:C139,C8,修正!E71:E139)</f>
        <v>0</v>
      </c>
      <c r="D9" s="3268" t="s">
        <v>864</v>
      </c>
      <c r="E9" s="3268" t="e">
        <f>ROUND(C11/E7,4)</f>
        <v>#DIV/0!</v>
      </c>
      <c r="F9" s="3264" t="s">
        <v>865</v>
      </c>
      <c r="G9" s="3265"/>
      <c r="H9" s="3265"/>
      <c r="I9" s="3265"/>
      <c r="J9" s="3266"/>
      <c r="K9" s="1787"/>
      <c r="L9" s="1542" t="s">
        <v>1603</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648"/>
      <c r="X9" s="2226" t="s">
        <v>3202</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60"/>
      <c r="B10" s="1190" t="s">
        <v>866</v>
      </c>
      <c r="C10" s="3268">
        <f>SUMIF(修正!C71:C139,C8,修正!F71:F139)</f>
        <v>0</v>
      </c>
      <c r="D10" s="3268" t="s">
        <v>867</v>
      </c>
      <c r="E10" s="3268" t="e">
        <f>ROUND(C11/E7,4)</f>
        <v>#DIV/0!</v>
      </c>
      <c r="F10" s="3264" t="s">
        <v>868</v>
      </c>
      <c r="G10" s="3265"/>
      <c r="H10" s="3265"/>
      <c r="I10" s="3265"/>
      <c r="J10" s="3266"/>
      <c r="K10" s="1787"/>
      <c r="L10" s="1542" t="s">
        <v>1604</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648"/>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60"/>
      <c r="B11" s="1207" t="s">
        <v>869</v>
      </c>
      <c r="C11" s="3269">
        <f>C10/4</f>
        <v>0</v>
      </c>
      <c r="D11" s="3269" t="s">
        <v>870</v>
      </c>
      <c r="E11" s="3269" t="e">
        <f>ROUND(C11/E7,4)</f>
        <v>#DIV/0!</v>
      </c>
      <c r="F11" s="3270" t="s">
        <v>871</v>
      </c>
      <c r="G11" s="3271"/>
      <c r="H11" s="3271"/>
      <c r="I11" s="3271"/>
      <c r="J11" s="3272"/>
      <c r="K11" s="1787"/>
      <c r="L11" s="1542" t="s">
        <v>1605</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4" t="s">
        <v>3180</v>
      </c>
      <c r="B12" s="3236" t="s">
        <v>3181</v>
      </c>
      <c r="C12" s="3242">
        <v>1.02</v>
      </c>
      <c r="D12" s="3237" t="s">
        <v>3182</v>
      </c>
      <c r="E12" s="3238" t="s">
        <v>3183</v>
      </c>
      <c r="F12" s="3239"/>
      <c r="G12" s="3240"/>
      <c r="H12" s="3240"/>
      <c r="I12" s="3240"/>
      <c r="J12" s="3241"/>
      <c r="K12" s="1787"/>
      <c r="L12" s="1545" t="s">
        <v>1606</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4" t="s">
        <v>3184</v>
      </c>
      <c r="B13" s="1208" t="s">
        <v>872</v>
      </c>
      <c r="C13" s="3255">
        <f>ROUND(C16*D16*E16*F16*G16*H16*I16*J16,4)</f>
        <v>0</v>
      </c>
      <c r="D13" s="3273" t="s">
        <v>3185</v>
      </c>
      <c r="E13" s="3274"/>
      <c r="F13" s="3274"/>
      <c r="G13" s="3274"/>
      <c r="H13" s="3274"/>
      <c r="I13" s="3274"/>
      <c r="J13" s="3275"/>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6"/>
      <c r="B14" s="1212" t="s">
        <v>1227</v>
      </c>
      <c r="C14" s="3192" t="s">
        <v>1228</v>
      </c>
      <c r="D14" s="1214" t="s">
        <v>1229</v>
      </c>
      <c r="E14" s="750" t="s">
        <v>3186</v>
      </c>
      <c r="F14" s="3277" t="s">
        <v>1176</v>
      </c>
      <c r="G14" s="3277" t="s">
        <v>1176</v>
      </c>
      <c r="H14" s="3278" t="s">
        <v>1176</v>
      </c>
      <c r="I14" s="3278" t="s">
        <v>1176</v>
      </c>
      <c r="J14" s="3278" t="s">
        <v>1176</v>
      </c>
      <c r="K14" s="2739"/>
      <c r="L14" s="2739"/>
      <c r="M14" s="2739"/>
      <c r="N14" s="2739"/>
      <c r="O14" s="2739"/>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6"/>
      <c r="B15" s="1214"/>
      <c r="C15" s="3279"/>
      <c r="D15" s="3280"/>
      <c r="E15" s="3281"/>
      <c r="F15" s="3281"/>
      <c r="G15" s="1035" t="s">
        <v>3187</v>
      </c>
      <c r="H15" s="3245"/>
      <c r="I15" s="3246"/>
      <c r="J15" s="3247"/>
      <c r="K15" s="3248"/>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6"/>
      <c r="B16" s="2404" t="s">
        <v>1230</v>
      </c>
      <c r="C16" s="3243"/>
      <c r="D16" s="3243"/>
      <c r="E16" s="3243"/>
      <c r="F16" s="3243"/>
      <c r="G16" s="3243">
        <v>1</v>
      </c>
      <c r="H16" s="3243">
        <v>1</v>
      </c>
      <c r="I16" s="3243">
        <v>1</v>
      </c>
      <c r="J16" s="3244">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3" t="s">
        <v>3188</v>
      </c>
      <c r="B17" s="3284" t="s">
        <v>3189</v>
      </c>
      <c r="C17" s="3292">
        <f>ROUND(IF(OR(E2="工业",E2="公共服务"),1,IF(AND(E18=0,E19=0),1,IF(AND(E18=J24,E19=G19),0.8,IF(E19=0,1+E17*(-0.2),1+E17*G17*(-0.2))))),4)</f>
        <v>1</v>
      </c>
      <c r="D17" s="3285" t="s">
        <v>3190</v>
      </c>
      <c r="E17" s="3292" t="e">
        <f>ROUND(G18/I18,2)</f>
        <v>#DIV/0!</v>
      </c>
      <c r="F17" s="3285" t="s">
        <v>3193</v>
      </c>
      <c r="G17" s="3292" t="e">
        <f>ROUND(E19/G19,2)</f>
        <v>#DIV/0!</v>
      </c>
      <c r="H17" s="3292"/>
      <c r="I17" s="3292"/>
      <c r="J17" s="3371"/>
      <c r="K17" s="1791"/>
      <c r="L17" s="1791"/>
      <c r="M17" s="1791"/>
      <c r="N17" s="1791"/>
      <c r="O17" s="1791"/>
      <c r="P17" s="1787"/>
      <c r="Q17" s="1787"/>
      <c r="R17" s="1791"/>
      <c r="S17" s="1791"/>
      <c r="T17" s="1791"/>
      <c r="U17" s="1791"/>
      <c r="V17" s="1791"/>
      <c r="W17" s="1790"/>
      <c r="X17" s="1790"/>
      <c r="Y17" s="1790"/>
      <c r="Z17" s="1790"/>
      <c r="AA17" s="1790"/>
      <c r="AB17" s="1790"/>
      <c r="AC17" s="1791"/>
      <c r="AH17" s="1184"/>
      <c r="AI17" s="1184"/>
      <c r="AJ17" s="1187"/>
      <c r="AK17" s="1187"/>
      <c r="AL17" s="1187"/>
      <c r="AM17" s="1187"/>
    </row>
    <row r="18" spans="1:40" s="1201" customFormat="1" ht="14.25">
      <c r="A18" s="3276"/>
      <c r="B18" s="3156"/>
      <c r="C18" s="3290"/>
      <c r="D18" s="3286" t="s">
        <v>3191</v>
      </c>
      <c r="E18" s="3291"/>
      <c r="F18" s="3288" t="s">
        <v>3194</v>
      </c>
      <c r="G18" s="3290">
        <f>ROUND(1-(1/(POWER(1+G24,E18))),4)</f>
        <v>0</v>
      </c>
      <c r="H18" s="3288" t="s">
        <v>3196</v>
      </c>
      <c r="I18" s="3290">
        <f>ROUND(1-(1/(POWER(1+G24,J24))),4)</f>
        <v>0</v>
      </c>
      <c r="J18" s="3372"/>
      <c r="K18" s="1791"/>
      <c r="L18" s="1791"/>
      <c r="M18" s="1791"/>
      <c r="N18" s="1791"/>
      <c r="O18" s="1791"/>
      <c r="P18" s="1787"/>
      <c r="Q18" s="1787"/>
      <c r="R18" s="1792"/>
      <c r="S18" s="1792"/>
      <c r="T18" s="1792"/>
      <c r="U18" s="1792"/>
      <c r="V18" s="1792"/>
      <c r="W18" s="1791"/>
      <c r="X18" s="1791"/>
      <c r="Y18" s="1791"/>
      <c r="Z18" s="1791"/>
      <c r="AA18" s="1790"/>
      <c r="AB18" s="1790"/>
      <c r="AC18" s="1793"/>
      <c r="AD18" s="1219"/>
      <c r="AE18" s="1219"/>
      <c r="AF18" s="1219"/>
      <c r="AG18" s="1219"/>
      <c r="AH18" s="1185"/>
      <c r="AI18" s="1185"/>
      <c r="AJ18" s="1186"/>
      <c r="AK18" s="1186"/>
      <c r="AL18" s="1186"/>
    </row>
    <row r="19" spans="1:40" s="1201" customFormat="1" ht="15" thickBot="1">
      <c r="A19" s="3282"/>
      <c r="B19" s="3159"/>
      <c r="C19" s="3287"/>
      <c r="D19" s="3287" t="s">
        <v>3192</v>
      </c>
      <c r="E19" s="3293"/>
      <c r="F19" s="3289" t="s">
        <v>3195</v>
      </c>
      <c r="G19" s="3293"/>
      <c r="H19" s="3287"/>
      <c r="I19" s="3287"/>
      <c r="J19" s="3373"/>
      <c r="K19" s="1791"/>
      <c r="L19" s="1791"/>
      <c r="M19" s="1791"/>
      <c r="N19" s="1791"/>
      <c r="O19" s="1791"/>
      <c r="P19" s="1787"/>
      <c r="Q19" s="1787"/>
      <c r="R19" s="1793"/>
      <c r="S19" s="1793"/>
      <c r="T19" s="1793"/>
      <c r="U19" s="1793"/>
      <c r="V19" s="1793"/>
      <c r="W19" s="1793"/>
      <c r="X19" s="1793"/>
      <c r="Y19" s="1185"/>
      <c r="Z19" s="1185"/>
      <c r="AA19" s="1185"/>
      <c r="AB19" s="1185"/>
      <c r="AC19" s="1219"/>
      <c r="AD19" s="1220"/>
      <c r="AE19" s="1224"/>
      <c r="AF19" s="1186"/>
      <c r="AG19" s="1200"/>
      <c r="AH19" s="1200"/>
      <c r="AI19" s="1200"/>
    </row>
    <row r="20" spans="1:40" s="1201" customFormat="1" ht="14.25">
      <c r="A20" s="3659" t="s">
        <v>1368</v>
      </c>
      <c r="B20" s="1203" t="s">
        <v>873</v>
      </c>
      <c r="C20" s="945" t="e">
        <f>ROUND(IF(F21="与级别开发程度一致",0,(G21-E21)/C21),0)</f>
        <v>#DIV/0!</v>
      </c>
      <c r="D20" s="3654" t="s">
        <v>877</v>
      </c>
      <c r="E20" s="3655"/>
      <c r="F20" s="3654" t="s">
        <v>874</v>
      </c>
      <c r="G20" s="3655"/>
      <c r="H20" s="1215"/>
      <c r="I20" s="1215"/>
      <c r="J20" s="1215"/>
      <c r="K20" s="1215"/>
      <c r="L20" s="1215"/>
      <c r="M20" s="1215"/>
      <c r="N20" s="1215"/>
      <c r="O20" s="2409"/>
      <c r="P20" s="1787"/>
      <c r="Q20" s="1790"/>
      <c r="R20" s="1793"/>
      <c r="S20" s="1793"/>
      <c r="T20" s="1793"/>
      <c r="U20" s="1793"/>
      <c r="V20" s="1793"/>
      <c r="W20" s="1793"/>
      <c r="X20" s="1793"/>
      <c r="Y20" s="1219"/>
      <c r="Z20" s="1219"/>
      <c r="AA20" s="1219"/>
      <c r="AB20" s="1219"/>
      <c r="AC20" s="1219"/>
      <c r="AD20" s="1219"/>
    </row>
    <row r="21" spans="1:40" s="1201" customFormat="1" ht="15" thickBot="1">
      <c r="A21" s="3660"/>
      <c r="B21" s="2410" t="s">
        <v>876</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4">
        <f>SUMPRODUCT((七通一平=H20)*(修正!B1:M1=G2)*(修正!B8:M16))</f>
        <v>0</v>
      </c>
      <c r="I21" s="944">
        <f>SUMPRODUCT((七通一平=I20)*(修正!B1:M1=G2)*(修正!B8:M16))</f>
        <v>0</v>
      </c>
      <c r="J21" s="944">
        <f>SUMPRODUCT((七通一平=J20)*(修正!B1:M1=G2)*(修正!B8:M16))</f>
        <v>0</v>
      </c>
      <c r="K21" s="944">
        <f>SUMPRODUCT((七通一平=K20)*(修正!B1:M1=G2)*(修正!B8:M16))</f>
        <v>0</v>
      </c>
      <c r="L21" s="944">
        <f>SUMPRODUCT((七通一平=L20)*(修正!B1:M1=G2)*(修正!B8:M16))</f>
        <v>0</v>
      </c>
      <c r="M21" s="944">
        <f>SUMPRODUCT((七通一平=M20)*(修正!B1:M1=G2)*(修正!B8:M16))</f>
        <v>0</v>
      </c>
      <c r="N21" s="944">
        <f>SUMPRODUCT((七通一平=N20)*(修正!B1:M1=G2)*(修正!B8:M16))</f>
        <v>0</v>
      </c>
      <c r="O21" s="2413">
        <f>SUMPRODUCT((七通一平=O20)*(修正!B1:M1=G2)*(修正!B8:M16))</f>
        <v>0</v>
      </c>
      <c r="P21" s="1787"/>
      <c r="Q21" s="1790"/>
      <c r="R21" s="1793"/>
      <c r="S21" s="1793"/>
      <c r="T21" s="1793"/>
      <c r="U21" s="1793"/>
      <c r="V21" s="1793"/>
      <c r="W21" s="1793"/>
      <c r="X21" s="1793"/>
      <c r="Y21" s="1185"/>
      <c r="Z21" s="1185"/>
      <c r="AA21" s="1185"/>
      <c r="AB21" s="1185"/>
      <c r="AC21" s="1219"/>
      <c r="AD21" s="1219"/>
    </row>
    <row r="22" spans="1:40" s="1201" customFormat="1" ht="15.75" thickBot="1">
      <c r="A22" s="2093" t="s">
        <v>1356</v>
      </c>
      <c r="B22" s="2405" t="s">
        <v>878</v>
      </c>
      <c r="C22" s="2406">
        <f>SUMIF(修正!C20:C51,E3,修正!E20:E51)</f>
        <v>0</v>
      </c>
      <c r="D22" s="2407"/>
      <c r="E22" s="2408"/>
      <c r="F22" s="2395"/>
      <c r="G22" s="1228"/>
      <c r="H22" s="1228"/>
      <c r="I22" s="1228"/>
      <c r="J22" s="2400"/>
      <c r="K22" s="2738"/>
      <c r="L22" s="1228"/>
      <c r="M22" s="1228"/>
      <c r="N22" s="1228"/>
      <c r="O22" s="1228"/>
      <c r="P22" s="2738"/>
      <c r="Q22" s="1792"/>
      <c r="R22" s="1793"/>
      <c r="S22" s="1793"/>
      <c r="T22" s="1793"/>
      <c r="U22" s="1793"/>
      <c r="V22" s="1793"/>
      <c r="W22" s="1793"/>
      <c r="X22" s="1793"/>
      <c r="Y22" s="1219"/>
      <c r="Z22" s="1219"/>
      <c r="AA22" s="1219"/>
      <c r="AB22" s="1219"/>
      <c r="AC22" s="1219"/>
      <c r="AD22" s="1219"/>
    </row>
    <row r="23" spans="1:40" ht="27.75" thickBot="1">
      <c r="A23" s="1358" t="s">
        <v>1362</v>
      </c>
      <c r="B23" s="1218" t="s">
        <v>879</v>
      </c>
      <c r="C23" s="9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1" t="s">
        <v>880</v>
      </c>
      <c r="E23" s="947">
        <v>44197</v>
      </c>
      <c r="F23" s="1221" t="s">
        <v>881</v>
      </c>
      <c r="G23" s="948">
        <f>'数据-取费表'!B2</f>
        <v>45817</v>
      </c>
      <c r="H23" s="1222" t="s">
        <v>2235</v>
      </c>
      <c r="I23" s="2099" t="str">
        <f>IF(H23="季度增幅（自定义）",SUMIF(N25:N28,E2,O25:O28),"")</f>
        <v/>
      </c>
      <c r="J23" s="3294" t="s">
        <v>3246</v>
      </c>
      <c r="K23" s="2738"/>
      <c r="L23" s="2321" t="s">
        <v>2114</v>
      </c>
      <c r="M23" s="2322">
        <f>ROUND(SUMIF(地价!B2:F2,E2,地价!B41:F41),0)</f>
        <v>0</v>
      </c>
      <c r="N23" s="2101" t="s">
        <v>1209</v>
      </c>
      <c r="O23" s="2100">
        <f>ROUNDDOWN(DATEDIF(E23,G23,"M")/3,0)</f>
        <v>17</v>
      </c>
      <c r="P23" s="1791"/>
      <c r="Q23" s="2220"/>
      <c r="R23" s="1793"/>
      <c r="S23" s="1793"/>
      <c r="T23" s="1793"/>
      <c r="U23" s="1793"/>
      <c r="V23" s="1793"/>
      <c r="W23" s="1793"/>
      <c r="X23" s="1793"/>
      <c r="Y23" s="1185"/>
      <c r="Z23" s="1185"/>
      <c r="AA23" s="1185"/>
      <c r="AB23" s="1185"/>
      <c r="AC23" s="1185"/>
      <c r="AE23" s="1186"/>
      <c r="AF23" s="1186"/>
      <c r="AG23" s="1186"/>
      <c r="AH23" s="1186"/>
      <c r="AI23" s="1186"/>
      <c r="AJ23" s="1187"/>
      <c r="AK23" s="1187"/>
      <c r="AL23" s="1187"/>
      <c r="AM23" s="1187"/>
    </row>
    <row r="24" spans="1:40" s="1201" customFormat="1" ht="27.75" thickBot="1">
      <c r="A24" s="2093" t="s">
        <v>1363</v>
      </c>
      <c r="B24" s="2094" t="s">
        <v>894</v>
      </c>
      <c r="C24" s="2095" t="e">
        <f>ROUND(POWER(1+G24,J24-I24)*(POWER(1+G24,I24)-1)/(POWER(1+G24,J24)-1),4)</f>
        <v>#DIV/0!</v>
      </c>
      <c r="D24" s="2096" t="s">
        <v>895</v>
      </c>
      <c r="E24" s="2348">
        <f>存贷款利率!E28/100</f>
        <v>4.3499999999999997E-2</v>
      </c>
      <c r="F24" s="2096" t="s">
        <v>896</v>
      </c>
      <c r="G24" s="2097">
        <f>SUMIF(M30:Q30,E2,M33:Q33)</f>
        <v>0</v>
      </c>
      <c r="H24" s="2096" t="s">
        <v>897</v>
      </c>
      <c r="I24" s="2092" t="e">
        <f>SUMIF('数据-取费表'!C6:C15,E2,'数据-取费表'!F6:F15)/COUNTIF('数据-取费表'!C6:C15,E2)</f>
        <v>#DIV/0!</v>
      </c>
      <c r="J24" s="2098">
        <f>IF(E2="住宅",70,IF(E2="商业",40,50))</f>
        <v>50</v>
      </c>
      <c r="K24" s="1791"/>
      <c r="L24" s="2323" t="s">
        <v>2115</v>
      </c>
      <c r="M24" s="2397">
        <f>ROUND(SUMPRODUCT((地价!A4:A41=YEAR(G23)&amp;"-"&amp;ROUNDUP(MONTH(G23)/3,0))*(地价!B2:F2=E2)*(地价!B4:F41)),0)</f>
        <v>0</v>
      </c>
      <c r="N24" s="2104" t="s">
        <v>1925</v>
      </c>
      <c r="O24" s="2102" t="s">
        <v>1924</v>
      </c>
      <c r="P24" s="2103" t="s">
        <v>1930</v>
      </c>
      <c r="Q24" s="2220"/>
      <c r="R24" s="1793"/>
      <c r="S24" s="1793"/>
      <c r="T24" s="1793"/>
      <c r="U24" s="1793"/>
      <c r="V24" s="1793"/>
      <c r="W24" s="1793"/>
      <c r="X24" s="1793"/>
      <c r="Y24" s="1219"/>
      <c r="Z24" s="1219"/>
      <c r="AA24" s="1219"/>
      <c r="AB24" s="1219"/>
      <c r="AC24" s="1219"/>
      <c r="AD24" s="1219"/>
    </row>
    <row r="25" spans="1:40" ht="14.25">
      <c r="A25" s="1360" t="s">
        <v>1364</v>
      </c>
      <c r="B25" s="1227" t="s">
        <v>2263</v>
      </c>
      <c r="C25" s="1001">
        <f>IF(B25="容积率修正",IF(G3&lt;10,D26,J26),C27)</f>
        <v>0</v>
      </c>
      <c r="D25" s="1228"/>
      <c r="E25" s="1228"/>
      <c r="F25" s="1228"/>
      <c r="G25" s="1228"/>
      <c r="H25" s="1228"/>
      <c r="I25" s="1228"/>
      <c r="J25" s="1229"/>
      <c r="K25" s="2738"/>
      <c r="L25" s="1228"/>
      <c r="M25" s="1228"/>
      <c r="N25" s="1225" t="s">
        <v>898</v>
      </c>
      <c r="O25" s="1285"/>
      <c r="P25" s="2091">
        <f>SUMPRODUCT((地价!A3:A41=YEAR(G23)&amp;"-"&amp;ROUNDUP(MONTH(G23)/3,0))*(地价!AD2:AH2=N25)*(地价!AD3:AH41))</f>
        <v>0</v>
      </c>
      <c r="Q25" s="2220"/>
      <c r="R25" s="1793"/>
      <c r="S25" s="1793"/>
      <c r="T25" s="1793"/>
      <c r="U25" s="1793"/>
      <c r="V25" s="1793"/>
      <c r="W25" s="1793"/>
      <c r="X25" s="1793"/>
      <c r="Y25" s="1185"/>
      <c r="Z25" s="1185"/>
      <c r="AA25" s="1185"/>
      <c r="AB25" s="1185"/>
      <c r="AC25" s="1185"/>
      <c r="AE25" s="1186"/>
      <c r="AF25" s="1186"/>
      <c r="AG25" s="1186"/>
      <c r="AH25" s="1186"/>
      <c r="AI25" s="1187"/>
      <c r="AJ25" s="1187"/>
      <c r="AK25" s="1187"/>
      <c r="AL25" s="1187"/>
      <c r="AM25" s="1187"/>
    </row>
    <row r="26" spans="1:40" ht="14.25">
      <c r="A26" s="1361" t="s">
        <v>1393</v>
      </c>
      <c r="B26" s="1230" t="s">
        <v>899</v>
      </c>
      <c r="C26" s="3295" t="s">
        <v>3197</v>
      </c>
      <c r="D26" s="949">
        <f>IF(E26=G26,F26,IF(G3&lt;10,ROUND(F26+(H26-F26)*(G3-E26)/(G26-E26),4),"——"))</f>
        <v>0</v>
      </c>
      <c r="E26" s="939">
        <f>ROUNDDOWN(G3,1)</f>
        <v>0</v>
      </c>
      <c r="F26" s="9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9">
        <f>ROUNDUP(G3,1)</f>
        <v>0</v>
      </c>
      <c r="H26" s="9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3198</v>
      </c>
      <c r="J26" s="949" t="str">
        <f>IF(G3&gt;=10,D116,"——")</f>
        <v>——</v>
      </c>
      <c r="K26" s="2220"/>
      <c r="L26" s="1228"/>
      <c r="M26" s="1228"/>
      <c r="N26" s="1225" t="s">
        <v>900</v>
      </c>
      <c r="O26" s="1285"/>
      <c r="P26" s="2091">
        <f>SUMPRODUCT((地价!A3:A41=YEAR(G23)&amp;"-"&amp;ROUNDUP(MONTH(G23)/3,0))*(地价!AD2:AH2=N26)*(地价!AD3:AH41))</f>
        <v>0</v>
      </c>
      <c r="Q26" s="2220"/>
      <c r="R26" s="1793"/>
      <c r="S26" s="1793"/>
      <c r="T26" s="1793"/>
      <c r="U26" s="1793"/>
      <c r="V26" s="1793"/>
      <c r="W26" s="1793"/>
      <c r="X26" s="1793"/>
      <c r="Y26" s="1219"/>
      <c r="Z26" s="1219"/>
      <c r="AA26" s="1219"/>
      <c r="AB26" s="1219"/>
      <c r="AC26" s="1185"/>
      <c r="AE26" s="1186"/>
      <c r="AF26" s="1186"/>
      <c r="AG26" s="1186"/>
      <c r="AH26" s="1186"/>
      <c r="AI26" s="1187"/>
      <c r="AJ26" s="1187"/>
      <c r="AK26" s="1187"/>
      <c r="AL26" s="1187"/>
      <c r="AM26" s="1187"/>
    </row>
    <row r="27" spans="1:40" ht="15.75" thickBot="1">
      <c r="A27" s="1361" t="s">
        <v>1394</v>
      </c>
      <c r="B27" s="1230" t="s">
        <v>901</v>
      </c>
      <c r="C27" s="950">
        <f>ROUND(IF(I3&lt;6,SUMPRODUCT((B107:B111=I3)*(C106:N106=G2)*(C107:N111)),SUMIF(C106:N106,G2,C113:N113)),4)</f>
        <v>0</v>
      </c>
      <c r="D27" s="1273"/>
      <c r="E27" s="1273"/>
      <c r="F27" s="1274"/>
      <c r="G27" s="1275"/>
      <c r="H27" s="1276"/>
      <c r="I27" s="1277"/>
      <c r="J27" s="1277"/>
      <c r="K27" s="1793"/>
      <c r="L27" s="1183"/>
      <c r="M27" s="1183"/>
      <c r="N27" s="1225" t="s">
        <v>849</v>
      </c>
      <c r="O27" s="1285"/>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59" t="s">
        <v>1395</v>
      </c>
      <c r="B28" s="1195" t="s">
        <v>902</v>
      </c>
      <c r="C28" s="951">
        <f>SUMIF(A47:A101,E2,B47:B101)</f>
        <v>0</v>
      </c>
      <c r="D28" s="1278"/>
      <c r="E28" s="1279"/>
      <c r="F28" s="1279"/>
      <c r="G28" s="1279"/>
      <c r="H28" s="1279"/>
      <c r="I28" s="1279"/>
      <c r="J28" s="1279"/>
      <c r="K28" s="1793"/>
      <c r="L28" s="1228"/>
      <c r="M28" s="1228"/>
      <c r="N28" s="1225" t="s">
        <v>903</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19"/>
      <c r="AE28" s="1219"/>
      <c r="AF28" s="1219"/>
      <c r="AG28" s="1219"/>
    </row>
    <row r="29" spans="1:40" ht="15" thickBot="1">
      <c r="A29" s="1359" t="s">
        <v>1396</v>
      </c>
      <c r="B29" s="1232" t="s">
        <v>904</v>
      </c>
      <c r="C29" s="1233"/>
      <c r="D29" s="1205"/>
      <c r="E29" s="1205"/>
      <c r="F29" s="1234"/>
      <c r="G29" s="1205"/>
      <c r="H29" s="1205"/>
      <c r="I29" s="1205"/>
      <c r="J29" s="1206"/>
      <c r="K29" s="1787"/>
      <c r="L29" s="1793"/>
      <c r="M29" s="1793"/>
      <c r="N29" s="2398" t="s">
        <v>1928</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5"/>
      <c r="AK29" s="1185"/>
      <c r="AL29" s="1185"/>
      <c r="AM29" s="1184"/>
      <c r="AN29" s="1184"/>
    </row>
    <row r="30" spans="1:40" ht="13.5">
      <c r="A30" s="1235"/>
      <c r="B30" s="1230" t="s">
        <v>908</v>
      </c>
      <c r="C30" s="2551" t="e">
        <f>IF(B25="容积率修正",E33+SUM(E37:E42),SUM(V2:V16)+SUM(E37:E42))</f>
        <v>#DIV/0!</v>
      </c>
      <c r="D30" s="1236"/>
      <c r="E30" s="1183"/>
      <c r="F30" s="1237"/>
      <c r="G30" s="1183"/>
      <c r="H30" s="1183"/>
      <c r="I30" s="1183"/>
      <c r="J30" s="1238"/>
      <c r="K30" s="1787"/>
      <c r="L30" s="1324" t="s">
        <v>831</v>
      </c>
      <c r="M30" s="1204" t="s">
        <v>905</v>
      </c>
      <c r="N30" s="1204" t="s">
        <v>906</v>
      </c>
      <c r="O30" s="1204" t="s">
        <v>833</v>
      </c>
      <c r="P30" s="1223" t="s">
        <v>907</v>
      </c>
      <c r="Q30" s="1223" t="s">
        <v>3224</v>
      </c>
      <c r="R30" s="1787"/>
      <c r="S30" s="1787"/>
      <c r="T30" s="1787"/>
      <c r="U30" s="1787"/>
      <c r="V30" s="1787"/>
      <c r="W30" s="1788"/>
      <c r="X30" s="1788"/>
      <c r="Y30" s="1788"/>
      <c r="Z30" s="1788"/>
      <c r="AA30" s="1788"/>
      <c r="AB30" s="1787"/>
      <c r="AC30" s="1787"/>
      <c r="AD30" s="1787"/>
      <c r="AE30" s="1787"/>
      <c r="AF30" s="1787"/>
      <c r="AG30" s="1787"/>
      <c r="AH30" s="1787"/>
      <c r="AI30" s="1219"/>
      <c r="AJ30" s="1219"/>
      <c r="AK30" s="1219"/>
      <c r="AL30" s="1219"/>
      <c r="AM30" s="1184"/>
      <c r="AN30" s="1184"/>
    </row>
    <row r="31" spans="1:40" ht="14.25" thickBot="1">
      <c r="A31" s="1235"/>
      <c r="B31" s="1239" t="s">
        <v>910</v>
      </c>
      <c r="C31" s="953" t="e">
        <f>E34+SUM(I37:I42)</f>
        <v>#DIV/0!</v>
      </c>
      <c r="D31" s="1240"/>
      <c r="E31" s="1241"/>
      <c r="F31" s="1242"/>
      <c r="G31" s="1241"/>
      <c r="H31" s="1241"/>
      <c r="I31" s="1241"/>
      <c r="J31" s="1243"/>
      <c r="K31" s="1787"/>
      <c r="L31" s="1216" t="s">
        <v>909</v>
      </c>
      <c r="M31" s="942">
        <v>0.25</v>
      </c>
      <c r="N31" s="942">
        <v>0.2</v>
      </c>
      <c r="O31" s="942">
        <v>0.15</v>
      </c>
      <c r="P31" s="1282">
        <v>0.1</v>
      </c>
      <c r="Q31" s="1282">
        <v>0.15</v>
      </c>
      <c r="R31" s="1787"/>
      <c r="S31" s="1787"/>
      <c r="T31" s="1787"/>
      <c r="U31" s="1787"/>
      <c r="V31" s="1787"/>
      <c r="W31" s="1788"/>
      <c r="X31" s="1788"/>
      <c r="Y31" s="1788"/>
      <c r="Z31" s="1788"/>
      <c r="AA31" s="1788"/>
      <c r="AB31" s="1787"/>
      <c r="AC31" s="1787"/>
      <c r="AD31" s="1787"/>
      <c r="AE31" s="1787"/>
      <c r="AF31" s="1787"/>
      <c r="AG31" s="1787"/>
      <c r="AH31" s="1787"/>
      <c r="AJ31" s="1185"/>
      <c r="AK31" s="1185"/>
      <c r="AL31" s="1185"/>
      <c r="AM31" s="1184"/>
      <c r="AN31" s="1184"/>
    </row>
    <row r="32" spans="1:40" ht="14.25" thickBot="1">
      <c r="A32" s="1231"/>
      <c r="B32" s="1244" t="s">
        <v>911</v>
      </c>
      <c r="C32" s="1245" t="s">
        <v>912</v>
      </c>
      <c r="D32" s="1245" t="s">
        <v>913</v>
      </c>
      <c r="E32" s="1246" t="s">
        <v>914</v>
      </c>
      <c r="F32" s="1247"/>
      <c r="G32" s="1210"/>
      <c r="H32" s="1210"/>
      <c r="I32" s="1210"/>
      <c r="J32" s="1211"/>
      <c r="K32" s="1787"/>
      <c r="L32" s="1217" t="s">
        <v>896</v>
      </c>
      <c r="M32" s="1283">
        <f>ROUND($E$24*(1+M31),3)</f>
        <v>5.3999999999999999E-2</v>
      </c>
      <c r="N32" s="1283">
        <f>ROUND($E$24*(1+N31),3)</f>
        <v>5.1999999999999998E-2</v>
      </c>
      <c r="O32" s="1283">
        <f>ROUND($E$24*(1+O31),3)</f>
        <v>0.05</v>
      </c>
      <c r="P32" s="1284">
        <f>ROUND($E$24*(1+P31),3)</f>
        <v>4.8000000000000001E-2</v>
      </c>
      <c r="Q32" s="1284">
        <f>ROUND($E$24*(1+Q31),3)</f>
        <v>0.05</v>
      </c>
      <c r="R32" s="1787"/>
      <c r="S32" s="1787"/>
      <c r="T32" s="1787"/>
      <c r="U32" s="1787"/>
      <c r="V32" s="1787"/>
      <c r="W32" s="1788"/>
      <c r="X32" s="1788"/>
      <c r="Y32" s="1788"/>
      <c r="Z32" s="1788"/>
      <c r="AA32" s="1788"/>
      <c r="AB32" s="1787"/>
      <c r="AC32" s="1787"/>
      <c r="AD32" s="1787"/>
      <c r="AE32" s="1787"/>
      <c r="AF32" s="1787"/>
      <c r="AG32" s="1787"/>
      <c r="AH32" s="1787"/>
      <c r="AI32" s="1184"/>
      <c r="AJ32" s="1184"/>
      <c r="AK32" s="1184"/>
      <c r="AL32" s="1184"/>
      <c r="AM32" s="1184"/>
      <c r="AN32" s="1184"/>
    </row>
    <row r="33" spans="1:44" ht="12.75">
      <c r="A33" s="1248"/>
      <c r="B33" s="1249" t="s">
        <v>915</v>
      </c>
      <c r="C33" s="952" t="e">
        <f>ROUND(C5*C22*C23*C24*C25*C28,0)</f>
        <v>#DIV/0!</v>
      </c>
      <c r="D33" s="1250"/>
      <c r="E33" s="1536" t="e">
        <f>ROUND(C33*D33/10000,0)</f>
        <v>#DIV/0!</v>
      </c>
      <c r="F33" s="3296" t="s">
        <v>3199</v>
      </c>
      <c r="G33" s="1251"/>
      <c r="H33" s="1251"/>
      <c r="I33" s="1251"/>
      <c r="J33" s="1252"/>
      <c r="K33" s="2742"/>
      <c r="L33" s="3364" t="s">
        <v>3225</v>
      </c>
      <c r="M33" s="3365">
        <v>5.5E-2</v>
      </c>
      <c r="N33" s="3365">
        <v>5.5E-2</v>
      </c>
      <c r="O33" s="3365">
        <v>0.05</v>
      </c>
      <c r="P33" s="3365">
        <v>0.05</v>
      </c>
      <c r="Q33" s="3365">
        <v>0.05</v>
      </c>
      <c r="R33" s="1787"/>
      <c r="S33" s="1787"/>
      <c r="T33" s="1787"/>
      <c r="U33" s="1787"/>
      <c r="V33" s="1787"/>
      <c r="W33" s="1788"/>
      <c r="X33" s="1788"/>
      <c r="Y33" s="1788"/>
      <c r="Z33" s="1788"/>
      <c r="AA33" s="1788"/>
      <c r="AB33" s="1787"/>
      <c r="AC33" s="1787"/>
      <c r="AD33" s="1787"/>
      <c r="AE33" s="1787"/>
      <c r="AF33" s="1787"/>
      <c r="AG33" s="1787"/>
      <c r="AH33" s="1788"/>
      <c r="AJ33" s="1185"/>
      <c r="AK33" s="1185"/>
      <c r="AL33" s="1185"/>
      <c r="AM33" s="1185"/>
      <c r="AN33" s="1185"/>
      <c r="AO33" s="1186"/>
      <c r="AP33" s="1186"/>
      <c r="AQ33" s="1186"/>
      <c r="AR33" s="1186"/>
    </row>
    <row r="34" spans="1:44" ht="24.75" thickBot="1">
      <c r="A34" s="1253"/>
      <c r="B34" s="1254" t="s">
        <v>916</v>
      </c>
      <c r="C34" s="944" t="e">
        <f>ROUND(IF(E2="工业",C33*M42,IF(B25="楼层修正",SUM(V2:V16)*M41*10000/D34,C33*M41)),0)</f>
        <v>#DIV/0!</v>
      </c>
      <c r="D34" s="1255"/>
      <c r="E34" s="1536" t="e">
        <f>ROUND(IF(B25="楼层修正",SUM(V2:V16)*#REF!,C34*D34/10000),0)</f>
        <v>#DIV/0!</v>
      </c>
      <c r="F34" s="3297" t="s">
        <v>3200</v>
      </c>
      <c r="G34" s="1256"/>
      <c r="H34" s="1256"/>
      <c r="I34" s="1256"/>
      <c r="J34" s="1257"/>
      <c r="K34" s="1787"/>
      <c r="L34" s="3364" t="s">
        <v>3226</v>
      </c>
      <c r="M34" s="3365">
        <v>6.5000000000000002E-2</v>
      </c>
      <c r="N34" s="3365">
        <v>6.5000000000000002E-2</v>
      </c>
      <c r="O34" s="3365">
        <v>0.06</v>
      </c>
      <c r="P34" s="3365">
        <v>0.06</v>
      </c>
      <c r="Q34" s="3365">
        <v>0.06</v>
      </c>
      <c r="R34" s="1787"/>
      <c r="S34" s="1787"/>
      <c r="T34" s="1787"/>
      <c r="U34" s="1787"/>
      <c r="V34" s="1787"/>
      <c r="W34" s="1788"/>
      <c r="X34" s="1788"/>
      <c r="Y34" s="1788"/>
      <c r="Z34" s="1788"/>
      <c r="AA34" s="1788"/>
      <c r="AB34" s="1787"/>
      <c r="AC34" s="1787"/>
      <c r="AD34" s="1787"/>
      <c r="AE34" s="1787"/>
      <c r="AF34" s="1787"/>
      <c r="AG34" s="1787"/>
      <c r="AH34" s="1788"/>
      <c r="AJ34" s="1185"/>
      <c r="AK34" s="1185"/>
      <c r="AL34" s="1185"/>
      <c r="AM34" s="1185"/>
      <c r="AN34" s="1185"/>
      <c r="AO34" s="1186"/>
      <c r="AP34" s="1186"/>
      <c r="AQ34" s="1186"/>
      <c r="AR34" s="1186"/>
    </row>
    <row r="35" spans="1:44">
      <c r="A35" s="1258"/>
      <c r="B35" s="1259" t="s">
        <v>918</v>
      </c>
      <c r="C35" s="1260" t="s">
        <v>919</v>
      </c>
      <c r="D35" s="1210"/>
      <c r="E35" s="1260"/>
      <c r="F35" s="1260"/>
      <c r="G35" s="1209" t="s">
        <v>917</v>
      </c>
      <c r="H35" s="1210"/>
      <c r="I35" s="1261"/>
      <c r="J35" s="1211"/>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5"/>
      <c r="AK35" s="1185"/>
      <c r="AL35" s="1185"/>
      <c r="AM35" s="1185"/>
      <c r="AN35" s="1185"/>
      <c r="AO35" s="1186"/>
      <c r="AP35" s="1186"/>
      <c r="AQ35" s="1186"/>
      <c r="AR35" s="1186"/>
    </row>
    <row r="36" spans="1:44" ht="24.75" thickBot="1">
      <c r="A36" s="1248"/>
      <c r="B36" s="1262"/>
      <c r="C36" s="1263" t="s">
        <v>912</v>
      </c>
      <c r="D36" s="1264" t="s">
        <v>913</v>
      </c>
      <c r="E36" s="1264" t="s">
        <v>914</v>
      </c>
      <c r="F36" s="1265" t="s">
        <v>920</v>
      </c>
      <c r="G36" s="1226" t="s">
        <v>912</v>
      </c>
      <c r="H36" s="1226" t="s">
        <v>913</v>
      </c>
      <c r="I36" s="1226" t="s">
        <v>914</v>
      </c>
      <c r="J36" s="1266"/>
      <c r="K36" s="3366" t="s">
        <v>3227</v>
      </c>
      <c r="L36" s="3368">
        <f ca="1">'数据-取费表'!B40</f>
        <v>0.03</v>
      </c>
      <c r="M36" s="3369">
        <f ca="1">ROUND($L$36*(1+M31),3)</f>
        <v>3.7999999999999999E-2</v>
      </c>
      <c r="N36" s="3369">
        <f ca="1">ROUND($L$36*(1+N31),3)</f>
        <v>3.5999999999999997E-2</v>
      </c>
      <c r="O36" s="3369">
        <f ca="1">ROUND($L$36*(1+O31),3)</f>
        <v>3.5000000000000003E-2</v>
      </c>
      <c r="P36" s="3369">
        <f ca="1">ROUND($L$36*(1+P31),3)</f>
        <v>3.3000000000000002E-2</v>
      </c>
      <c r="Q36" s="3369">
        <f ca="1">ROUND($L$36*(1+Q31),3)</f>
        <v>3.5000000000000003E-2</v>
      </c>
      <c r="R36" s="1787"/>
      <c r="S36" s="1787"/>
      <c r="T36" s="1787"/>
      <c r="U36" s="1787"/>
      <c r="V36" s="1787"/>
      <c r="W36" s="1788"/>
      <c r="X36" s="1788"/>
      <c r="Y36" s="1788"/>
      <c r="Z36" s="1788"/>
      <c r="AA36" s="1788"/>
      <c r="AB36" s="1787"/>
      <c r="AC36" s="1787"/>
      <c r="AD36" s="1787"/>
      <c r="AE36" s="1787"/>
      <c r="AF36" s="1787"/>
      <c r="AG36" s="1787"/>
      <c r="AH36" s="1788"/>
      <c r="AJ36" s="1185"/>
      <c r="AK36" s="1185"/>
      <c r="AL36" s="1185"/>
      <c r="AM36" s="1185"/>
      <c r="AN36" s="1185"/>
      <c r="AO36" s="1186"/>
      <c r="AP36" s="1186"/>
      <c r="AQ36" s="1186"/>
      <c r="AR36" s="1186"/>
    </row>
    <row r="37" spans="1:44" ht="13.5" thickBot="1">
      <c r="A37" s="3656"/>
      <c r="B37" s="1268" t="s">
        <v>921</v>
      </c>
      <c r="C37" s="952" t="e">
        <f>ROUND(D5*C22*C23*C24*C28*F37,0)</f>
        <v>#DIV/0!</v>
      </c>
      <c r="D37" s="1280"/>
      <c r="E37" s="943" t="e">
        <f>ROUND(C37*D37/10000,0)</f>
        <v>#DIV/0!</v>
      </c>
      <c r="F37" s="943">
        <f>SUMIF(修正!A57:A68,G2,修正!B57:B68)</f>
        <v>0</v>
      </c>
      <c r="G37" s="943" t="e">
        <f>ROUND(IF(E2="工业",C37*$M$42,C37*$M$41),0)</f>
        <v>#DIV/0!</v>
      </c>
      <c r="H37" s="943">
        <f>D37</f>
        <v>0</v>
      </c>
      <c r="I37" s="943" t="e">
        <f>ROUND(G37*H37/10000,0)</f>
        <v>#DIV/0!</v>
      </c>
      <c r="J37" s="3656"/>
      <c r="K37" s="3367" t="s">
        <v>3228</v>
      </c>
      <c r="L37" s="3368">
        <f ca="1">L36+K38</f>
        <v>3.4999999999999996E-2</v>
      </c>
      <c r="M37" s="3369">
        <f ca="1">ROUND($L$37*(1+M31),3)</f>
        <v>4.3999999999999997E-2</v>
      </c>
      <c r="N37" s="3369">
        <f t="shared" ref="N37:Q37" ca="1" si="3">ROUND($L$37*(1+N31),3)</f>
        <v>4.2000000000000003E-2</v>
      </c>
      <c r="O37" s="3369">
        <f t="shared" ca="1" si="3"/>
        <v>0.04</v>
      </c>
      <c r="P37" s="3369">
        <f t="shared" ca="1" si="3"/>
        <v>3.9E-2</v>
      </c>
      <c r="Q37" s="3369">
        <f t="shared" ca="1" si="3"/>
        <v>0.04</v>
      </c>
      <c r="R37" s="1788"/>
      <c r="S37" s="1788"/>
      <c r="T37" s="1788"/>
      <c r="U37" s="1788"/>
      <c r="V37" s="1788"/>
      <c r="W37" s="1787"/>
      <c r="X37" s="1787"/>
      <c r="Y37" s="1787"/>
      <c r="Z37" s="1787"/>
      <c r="AA37" s="1787"/>
      <c r="AB37" s="1787"/>
      <c r="AC37" s="1788"/>
    </row>
    <row r="38" spans="1:44" ht="12.75">
      <c r="A38" s="3657"/>
      <c r="B38" s="1213" t="s">
        <v>922</v>
      </c>
      <c r="C38" s="952" t="e">
        <f>ROUND(D5*C22*C23*C24*C28*F38,0)</f>
        <v>#DIV/0!</v>
      </c>
      <c r="D38" s="1280"/>
      <c r="E38" s="943" t="e">
        <f t="shared" ref="E38:E42" si="4">ROUND(C38*D38/10000,0)</f>
        <v>#DIV/0!</v>
      </c>
      <c r="F38" s="943">
        <f>SUMIF(修正!A57:A68,G2,修正!C57:C68)</f>
        <v>0</v>
      </c>
      <c r="G38" s="943" t="e">
        <f>ROUND(IF(E2="工业",C38*$M$42,C38*$M$41),0)</f>
        <v>#DIV/0!</v>
      </c>
      <c r="H38" s="943">
        <f t="shared" ref="H38:H42" si="5">D38</f>
        <v>0</v>
      </c>
      <c r="I38" s="943" t="e">
        <f t="shared" ref="I38:I42" si="6">ROUND(G38*H38/10000,0)</f>
        <v>#DIV/0!</v>
      </c>
      <c r="J38" s="3657"/>
      <c r="K38" s="3366">
        <v>5.0000000000000001E-3</v>
      </c>
      <c r="L38" s="3366"/>
      <c r="M38" s="3366"/>
      <c r="N38" s="3366"/>
      <c r="O38" s="3366"/>
      <c r="P38" s="3366"/>
      <c r="Q38" s="3366"/>
      <c r="R38" s="1788"/>
      <c r="S38" s="1788"/>
      <c r="T38" s="1788"/>
      <c r="U38" s="1788"/>
      <c r="V38" s="1788"/>
      <c r="W38" s="1787"/>
      <c r="X38" s="1787"/>
      <c r="Y38" s="1787"/>
      <c r="Z38" s="1787"/>
      <c r="AA38" s="1787"/>
      <c r="AB38" s="1787"/>
      <c r="AC38" s="1788"/>
    </row>
    <row r="39" spans="1:44" ht="13.5" thickBot="1">
      <c r="A39" s="3657"/>
      <c r="B39" s="3298" t="s">
        <v>3201</v>
      </c>
      <c r="C39" s="952" t="e">
        <f>ROUND(D5*C22*C23*C24*C28*F39,0)</f>
        <v>#DIV/0!</v>
      </c>
      <c r="D39" s="1280"/>
      <c r="E39" s="943" t="e">
        <f t="shared" si="4"/>
        <v>#DIV/0!</v>
      </c>
      <c r="F39" s="943">
        <f>SUMIF(修正!A57:A68,G2,修正!D57:D68)</f>
        <v>0</v>
      </c>
      <c r="G39" s="943" t="e">
        <f>ROUND(IF(E2="工业",C39*$M$42,C39*$M$41),0)</f>
        <v>#DIV/0!</v>
      </c>
      <c r="H39" s="943">
        <f t="shared" si="5"/>
        <v>0</v>
      </c>
      <c r="I39" s="943" t="e">
        <f t="shared" si="6"/>
        <v>#DIV/0!</v>
      </c>
      <c r="J39" s="3657"/>
      <c r="K39" s="1788"/>
      <c r="L39" s="1788"/>
      <c r="M39" s="1788"/>
      <c r="N39" s="1788"/>
      <c r="O39" s="1788"/>
      <c r="P39" s="1787"/>
      <c r="Q39" s="1787"/>
      <c r="R39" s="1788"/>
      <c r="S39" s="1788"/>
      <c r="T39" s="1788"/>
      <c r="U39" s="1788"/>
      <c r="V39" s="1788"/>
      <c r="W39" s="1787"/>
      <c r="X39" s="1787"/>
      <c r="Y39" s="1787"/>
      <c r="Z39" s="1787"/>
      <c r="AA39" s="1787"/>
      <c r="AB39" s="1787"/>
      <c r="AC39" s="1788"/>
    </row>
    <row r="40" spans="1:44" s="1184" customFormat="1" ht="12.75">
      <c r="A40" s="1267"/>
      <c r="B40" s="1213" t="s">
        <v>923</v>
      </c>
      <c r="C40" s="943" t="e">
        <f>ROUND(D5*C22*C23*C24*C28*F40,0)</f>
        <v>#DIV/0!</v>
      </c>
      <c r="D40" s="1280"/>
      <c r="E40" s="943" t="e">
        <f t="shared" si="4"/>
        <v>#DIV/0!</v>
      </c>
      <c r="F40" s="952">
        <f>SUMIF(修正!A57:A68,G2,修正!E57:E68)</f>
        <v>0</v>
      </c>
      <c r="G40" s="943" t="e">
        <f>ROUND(IF(E2="工业",C40*$M$42,C40*$M$41),0)</f>
        <v>#DIV/0!</v>
      </c>
      <c r="H40" s="943">
        <f t="shared" si="5"/>
        <v>0</v>
      </c>
      <c r="I40" s="943" t="e">
        <f t="shared" si="6"/>
        <v>#DIV/0!</v>
      </c>
      <c r="J40" s="1269"/>
      <c r="K40" s="1787"/>
      <c r="L40" s="1286" t="s">
        <v>1231</v>
      </c>
      <c r="M40" s="1287"/>
      <c r="N40" s="1787"/>
      <c r="O40" s="1787"/>
      <c r="P40" s="1787"/>
      <c r="Q40" s="1787"/>
      <c r="R40" s="1795"/>
      <c r="S40" s="1795"/>
      <c r="T40" s="1795"/>
      <c r="U40" s="1795"/>
      <c r="V40" s="1795"/>
      <c r="W40" s="1794"/>
      <c r="X40" s="1794"/>
      <c r="Y40" s="1794"/>
      <c r="Z40" s="1794"/>
      <c r="AA40" s="1794"/>
      <c r="AB40" s="1794"/>
      <c r="AC40" s="1795"/>
      <c r="AD40" s="1185"/>
      <c r="AE40" s="1185"/>
      <c r="AF40" s="1185"/>
      <c r="AG40" s="1185"/>
      <c r="AH40" s="1185"/>
      <c r="AI40" s="1185"/>
      <c r="AJ40" s="1185"/>
      <c r="AK40" s="1185"/>
      <c r="AL40" s="1185"/>
      <c r="AM40" s="1185"/>
    </row>
    <row r="41" spans="1:44" s="1184" customFormat="1" ht="12.75">
      <c r="A41" s="1267"/>
      <c r="B41" s="1213" t="s">
        <v>924</v>
      </c>
      <c r="C41" s="943" t="e">
        <f>ROUND(D5*C22*C23*C44*C28*F41,0)</f>
        <v>#DIV/0!</v>
      </c>
      <c r="D41" s="1280"/>
      <c r="E41" s="943" t="e">
        <f t="shared" si="4"/>
        <v>#DIV/0!</v>
      </c>
      <c r="F41" s="952">
        <f>SUMIF(修正!A57:A68,G2,修正!F57:F68)</f>
        <v>0</v>
      </c>
      <c r="G41" s="943" t="e">
        <f>ROUND(IF(E2="工业",C41*$M$42,C41*$M$41),0)</f>
        <v>#DIV/0!</v>
      </c>
      <c r="H41" s="943">
        <f t="shared" si="5"/>
        <v>0</v>
      </c>
      <c r="I41" s="943" t="e">
        <f t="shared" si="6"/>
        <v>#DIV/0!</v>
      </c>
      <c r="J41" s="1269"/>
      <c r="K41" s="1787"/>
      <c r="L41" s="3370" t="s">
        <v>3229</v>
      </c>
      <c r="M41" s="1288">
        <v>0.25</v>
      </c>
      <c r="N41" s="1787"/>
      <c r="O41" s="1787"/>
      <c r="P41" s="1787"/>
      <c r="Q41" s="1787"/>
      <c r="R41" s="1795"/>
      <c r="S41" s="1795"/>
      <c r="T41" s="1795"/>
      <c r="U41" s="1795"/>
      <c r="V41" s="1795"/>
      <c r="W41" s="1794"/>
      <c r="X41" s="1794"/>
      <c r="Y41" s="1794"/>
      <c r="Z41" s="1794"/>
      <c r="AA41" s="1794"/>
      <c r="AB41" s="1794"/>
      <c r="AC41" s="1795"/>
      <c r="AD41" s="1185"/>
      <c r="AE41" s="1185"/>
      <c r="AF41" s="1185"/>
      <c r="AG41" s="1185"/>
      <c r="AH41" s="1185"/>
      <c r="AI41" s="1185"/>
      <c r="AJ41" s="1185"/>
      <c r="AK41" s="1185"/>
      <c r="AL41" s="1185"/>
      <c r="AM41" s="1185"/>
    </row>
    <row r="42" spans="1:44" s="1184" customFormat="1" ht="13.5" thickBot="1">
      <c r="A42" s="1253"/>
      <c r="B42" s="1270" t="s">
        <v>925</v>
      </c>
      <c r="C42" s="944" t="e">
        <f>ROUND(D5*C22*C23*C44*C28*F42,0)</f>
        <v>#DIV/0!</v>
      </c>
      <c r="D42" s="1281"/>
      <c r="E42" s="944" t="e">
        <f t="shared" si="4"/>
        <v>#DIV/0!</v>
      </c>
      <c r="F42" s="954">
        <f>SUMIF(修正!A57:A68,G2,修正!G57:G68)</f>
        <v>0</v>
      </c>
      <c r="G42" s="944" t="e">
        <f>ROUND(IF(E2="工业",C42*$M$42,C42*$M$41),0)</f>
        <v>#DIV/0!</v>
      </c>
      <c r="H42" s="944">
        <f t="shared" si="5"/>
        <v>0</v>
      </c>
      <c r="I42" s="944" t="e">
        <f t="shared" si="6"/>
        <v>#DIV/0!</v>
      </c>
      <c r="J42" s="1271"/>
      <c r="K42" s="1787"/>
      <c r="L42" s="1289" t="s">
        <v>1232</v>
      </c>
      <c r="M42" s="1290">
        <v>0.15</v>
      </c>
      <c r="N42" s="1787"/>
      <c r="O42" s="1787"/>
      <c r="P42" s="1787"/>
      <c r="Q42" s="1787"/>
      <c r="R42" s="1795"/>
      <c r="S42" s="1795"/>
      <c r="T42" s="1795"/>
      <c r="U42" s="1795"/>
      <c r="V42" s="1795"/>
      <c r="W42" s="1794"/>
      <c r="X42" s="1794"/>
      <c r="Y42" s="1794"/>
      <c r="Z42" s="1794"/>
      <c r="AA42" s="1794"/>
      <c r="AB42" s="1794"/>
      <c r="AC42" s="1795"/>
      <c r="AD42" s="1185"/>
      <c r="AE42" s="1185"/>
      <c r="AF42" s="1185"/>
      <c r="AG42" s="1185"/>
      <c r="AH42" s="1185"/>
      <c r="AI42" s="1185"/>
      <c r="AJ42" s="1185"/>
      <c r="AK42" s="1185"/>
      <c r="AL42" s="1185"/>
      <c r="AM42" s="1185"/>
    </row>
    <row r="43" spans="1:44" s="1184"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5"/>
      <c r="AE43" s="1185"/>
      <c r="AF43" s="1185"/>
      <c r="AG43" s="1185"/>
      <c r="AH43" s="1185"/>
      <c r="AI43" s="1185"/>
      <c r="AJ43" s="1185"/>
      <c r="AK43" s="1185"/>
      <c r="AL43" s="1185"/>
      <c r="AM43" s="1185"/>
    </row>
    <row r="44" spans="1:44" s="1184" customFormat="1" ht="12.75">
      <c r="A44" s="1185"/>
      <c r="B44" s="2394" t="s">
        <v>2231</v>
      </c>
      <c r="C44" s="773" t="e">
        <f>ROUND(POWER(1+E44,H44-G44)*(POWER(1+E44,G44)-1)/(POWER(1+E44,H44)-1),4)</f>
        <v>#DIV/0!</v>
      </c>
      <c r="D44" s="348" t="s">
        <v>2229</v>
      </c>
      <c r="E44" s="2393">
        <f>G24</f>
        <v>0</v>
      </c>
      <c r="F44" s="348" t="s">
        <v>2230</v>
      </c>
      <c r="G44" s="366"/>
      <c r="H44" s="348">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5"/>
      <c r="AE44" s="1185"/>
      <c r="AF44" s="1185"/>
      <c r="AG44" s="1185"/>
      <c r="AH44" s="1185"/>
      <c r="AI44" s="1185"/>
      <c r="AJ44" s="1185"/>
      <c r="AK44" s="1185"/>
      <c r="AL44" s="1185"/>
      <c r="AM44" s="1185"/>
    </row>
    <row r="45" spans="1:44" s="1184" customFormat="1">
      <c r="A45" s="1185"/>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5"/>
      <c r="AF45" s="1185"/>
      <c r="AG45" s="1185"/>
      <c r="AH45" s="1185"/>
      <c r="AI45" s="1185"/>
      <c r="AJ45" s="1185"/>
      <c r="AK45" s="1185"/>
      <c r="AL45" s="1185"/>
      <c r="AM45" s="1185"/>
      <c r="AN45" s="1185"/>
    </row>
    <row r="46" spans="1:44" s="1184" customFormat="1">
      <c r="A46" s="1185"/>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5"/>
      <c r="AF46" s="1185"/>
      <c r="AG46" s="1185"/>
      <c r="AH46" s="1185"/>
      <c r="AI46" s="1185"/>
      <c r="AJ46" s="1185"/>
      <c r="AK46" s="1185"/>
      <c r="AL46" s="1185"/>
      <c r="AM46" s="1185"/>
      <c r="AN46" s="1185"/>
    </row>
    <row r="47" spans="1:44" s="3311" customFormat="1" ht="15" thickBot="1">
      <c r="A47" s="3307" t="s">
        <v>926</v>
      </c>
      <c r="B47" s="3308"/>
      <c r="C47" s="3309"/>
      <c r="D47" s="3310"/>
      <c r="E47" s="3310"/>
      <c r="F47" s="3310"/>
      <c r="G47" s="3166"/>
      <c r="H47" s="3310"/>
      <c r="I47" s="3166"/>
      <c r="J47" s="3166"/>
      <c r="K47" s="3166"/>
      <c r="L47" s="3166"/>
      <c r="M47" s="3166"/>
      <c r="O47" s="1796"/>
      <c r="P47" s="1796"/>
      <c r="Q47" s="1796"/>
      <c r="R47" s="1796"/>
      <c r="S47" s="1796"/>
      <c r="T47" s="1796"/>
      <c r="U47" s="1796"/>
      <c r="V47" s="1796"/>
      <c r="W47" s="1796"/>
      <c r="X47" s="1796"/>
      <c r="Y47" s="1796"/>
      <c r="Z47" s="1796"/>
      <c r="AA47" s="1796"/>
      <c r="AB47" s="1796"/>
      <c r="AC47" s="1796"/>
      <c r="AD47" s="1796"/>
    </row>
    <row r="48" spans="1:44" s="3311" customFormat="1" ht="15">
      <c r="A48" s="3312" t="s">
        <v>927</v>
      </c>
      <c r="B48" s="3374">
        <f>1+E50</f>
        <v>1</v>
      </c>
      <c r="C48" s="3313"/>
      <c r="D48" s="3314"/>
      <c r="E48" s="3315"/>
      <c r="F48" s="3307"/>
      <c r="G48" s="3310"/>
      <c r="H48" s="3310"/>
      <c r="I48" s="3166"/>
      <c r="J48" s="3166"/>
      <c r="K48" s="3166"/>
      <c r="L48" s="3166"/>
      <c r="M48" s="3166"/>
      <c r="O48" s="1796"/>
      <c r="P48" s="1796"/>
      <c r="Q48" s="1796"/>
      <c r="R48" s="1796"/>
      <c r="S48" s="1796"/>
      <c r="T48" s="1796"/>
      <c r="U48" s="1796"/>
      <c r="V48" s="1796"/>
      <c r="W48" s="1796"/>
      <c r="X48" s="1796"/>
      <c r="Y48" s="1796"/>
      <c r="Z48" s="1796"/>
      <c r="AA48" s="1796"/>
      <c r="AB48" s="1796"/>
      <c r="AC48" s="1796"/>
      <c r="AD48" s="1796"/>
    </row>
    <row r="49" spans="1:30" s="3311" customFormat="1" ht="24">
      <c r="A49" s="3316" t="s">
        <v>928</v>
      </c>
      <c r="B49" s="3317" t="s">
        <v>929</v>
      </c>
      <c r="C49" s="3318" t="s">
        <v>930</v>
      </c>
      <c r="D49" s="3319" t="s">
        <v>931</v>
      </c>
      <c r="E49" s="3320" t="s">
        <v>933</v>
      </c>
      <c r="F49" s="3194" t="s">
        <v>1607</v>
      </c>
      <c r="G49" s="3319" t="s">
        <v>934</v>
      </c>
      <c r="H49" s="3321" t="s">
        <v>1770</v>
      </c>
      <c r="I49" s="3319" t="s">
        <v>932</v>
      </c>
      <c r="J49" s="3322" t="s">
        <v>935</v>
      </c>
      <c r="K49" s="3322" t="s">
        <v>936</v>
      </c>
      <c r="L49" s="3322" t="s">
        <v>937</v>
      </c>
      <c r="M49" s="3322" t="s">
        <v>938</v>
      </c>
      <c r="N49" s="3322" t="s">
        <v>939</v>
      </c>
      <c r="P49" s="1796"/>
      <c r="Q49" s="1796"/>
      <c r="R49" s="1796"/>
      <c r="S49" s="1796"/>
      <c r="T49" s="1796"/>
      <c r="U49" s="1796"/>
      <c r="V49" s="1796"/>
      <c r="W49" s="1796"/>
      <c r="X49" s="1796"/>
      <c r="Y49" s="1796"/>
      <c r="Z49" s="1796"/>
      <c r="AA49" s="1796"/>
      <c r="AB49" s="1796"/>
      <c r="AC49" s="1796"/>
      <c r="AD49" s="1796"/>
    </row>
    <row r="50" spans="1:30" s="3311" customFormat="1" ht="24">
      <c r="A50" s="3316" t="s">
        <v>940</v>
      </c>
      <c r="B50" s="3323">
        <f>估价对象房地状况!C16</f>
        <v>0</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6"/>
      <c r="Q50" s="1796"/>
      <c r="R50" s="1796"/>
      <c r="S50" s="1796"/>
      <c r="T50" s="1796"/>
      <c r="U50" s="1796"/>
      <c r="V50" s="1796"/>
      <c r="W50" s="1796"/>
      <c r="X50" s="1796"/>
      <c r="Y50" s="1796"/>
      <c r="Z50" s="1796"/>
      <c r="AA50" s="1796"/>
      <c r="AB50" s="1796"/>
      <c r="AC50" s="1796"/>
      <c r="AD50" s="1796"/>
    </row>
    <row r="51" spans="1:30" s="3311" customFormat="1" ht="14.25">
      <c r="A51" s="3316" t="s">
        <v>941</v>
      </c>
      <c r="B51" s="3317">
        <f>估价对象房地状况!C18</f>
        <v>0</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6"/>
      <c r="Q51" s="1796"/>
      <c r="R51" s="1796"/>
      <c r="S51" s="1796"/>
      <c r="T51" s="1796"/>
      <c r="U51" s="1796"/>
      <c r="V51" s="1796"/>
      <c r="W51" s="1796"/>
      <c r="X51" s="1796"/>
      <c r="Y51" s="1796"/>
      <c r="Z51" s="1796"/>
      <c r="AA51" s="1796"/>
      <c r="AB51" s="1796"/>
      <c r="AC51" s="1796"/>
      <c r="AD51" s="1796"/>
    </row>
    <row r="52" spans="1:30" s="3311" customFormat="1" ht="36">
      <c r="A52" s="3299" t="s">
        <v>3203</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6"/>
      <c r="Q52" s="1796"/>
      <c r="R52" s="1796"/>
      <c r="S52" s="1796"/>
      <c r="T52" s="1796"/>
      <c r="U52" s="1796"/>
      <c r="V52" s="1796"/>
      <c r="W52" s="1796"/>
      <c r="X52" s="1796"/>
      <c r="Y52" s="1796"/>
      <c r="Z52" s="1796"/>
      <c r="AA52" s="1796"/>
      <c r="AB52" s="1796"/>
      <c r="AC52" s="1796"/>
      <c r="AD52" s="1796"/>
    </row>
    <row r="53" spans="1:30" s="3311" customFormat="1" ht="36">
      <c r="A53" s="3316" t="s">
        <v>943</v>
      </c>
      <c r="B53" s="3332" t="s">
        <v>2188</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6"/>
      <c r="Q53" s="1796"/>
      <c r="R53" s="1796"/>
      <c r="S53" s="1796"/>
      <c r="T53" s="1796"/>
      <c r="U53" s="1796"/>
      <c r="V53" s="1796"/>
      <c r="W53" s="1796"/>
      <c r="X53" s="1796"/>
      <c r="Y53" s="1796"/>
      <c r="Z53" s="1796"/>
      <c r="AA53" s="1796"/>
      <c r="AB53" s="1796"/>
      <c r="AC53" s="1796"/>
      <c r="AD53" s="1796"/>
    </row>
    <row r="54" spans="1:30" s="3311" customFormat="1" ht="24">
      <c r="A54" s="3316" t="s">
        <v>944</v>
      </c>
      <c r="B54" s="3317">
        <f>估价对象房地状况!C24</f>
        <v>0</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6"/>
      <c r="Q54" s="1796"/>
      <c r="R54" s="1796"/>
      <c r="S54" s="1796"/>
      <c r="T54" s="1796"/>
      <c r="U54" s="1796"/>
      <c r="V54" s="1796"/>
      <c r="W54" s="1796"/>
      <c r="X54" s="1796"/>
      <c r="Y54" s="1796"/>
      <c r="Z54" s="1796"/>
      <c r="AA54" s="1796"/>
      <c r="AB54" s="1796"/>
      <c r="AC54" s="1796"/>
      <c r="AD54" s="1796"/>
    </row>
    <row r="55" spans="1:30" s="3311" customFormat="1" ht="24">
      <c r="A55" s="3316" t="s">
        <v>945</v>
      </c>
      <c r="B55" s="3333" t="s">
        <v>2187</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6"/>
      <c r="Q55" s="1796"/>
      <c r="R55" s="1796"/>
      <c r="S55" s="1796"/>
      <c r="T55" s="1796"/>
      <c r="U55" s="1796"/>
      <c r="V55" s="1796"/>
      <c r="W55" s="1796"/>
      <c r="X55" s="1796"/>
      <c r="Y55" s="1796"/>
      <c r="Z55" s="1796"/>
      <c r="AA55" s="1796"/>
      <c r="AB55" s="1796"/>
      <c r="AC55" s="1796"/>
      <c r="AD55" s="1796"/>
    </row>
    <row r="56" spans="1:30" s="3311" customFormat="1" ht="24">
      <c r="A56" s="3334" t="s">
        <v>946</v>
      </c>
      <c r="B56" s="3335">
        <f>估价对象房地状况!C21</f>
        <v>0</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6"/>
      <c r="Q56" s="1796"/>
      <c r="R56" s="1796"/>
      <c r="S56" s="1796"/>
      <c r="T56" s="1796"/>
      <c r="U56" s="1796"/>
      <c r="V56" s="1796"/>
      <c r="W56" s="1796"/>
      <c r="X56" s="1796"/>
      <c r="Y56" s="1796"/>
      <c r="Z56" s="1796"/>
      <c r="AA56" s="1796"/>
      <c r="AB56" s="1796"/>
      <c r="AC56" s="1796"/>
      <c r="AD56" s="1796"/>
    </row>
    <row r="57" spans="1:30" s="3311" customFormat="1" ht="24">
      <c r="A57" s="3334" t="s">
        <v>947</v>
      </c>
      <c r="B57" s="3317">
        <f>估价对象房地状况!C22</f>
        <v>0</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6"/>
      <c r="Q57" s="1796"/>
      <c r="R57" s="1796"/>
      <c r="S57" s="1796"/>
      <c r="T57" s="1796"/>
      <c r="U57" s="1796"/>
      <c r="V57" s="1796"/>
      <c r="W57" s="1796"/>
      <c r="X57" s="1796"/>
      <c r="Y57" s="1796"/>
      <c r="Z57" s="1796"/>
      <c r="AA57" s="1796"/>
      <c r="AB57" s="1796"/>
      <c r="AC57" s="1796"/>
      <c r="AD57" s="1796"/>
    </row>
    <row r="58" spans="1:30" s="3311" customFormat="1" ht="24.75" thickBot="1">
      <c r="A58" s="3336" t="s">
        <v>948</v>
      </c>
      <c r="B58" s="3337">
        <f>估价对象房地状况!C20</f>
        <v>0</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6"/>
      <c r="Q58" s="1796"/>
      <c r="R58" s="1796"/>
      <c r="S58" s="1796"/>
      <c r="T58" s="1796"/>
      <c r="U58" s="1796"/>
      <c r="V58" s="1796"/>
      <c r="W58" s="1796"/>
      <c r="X58" s="1796"/>
      <c r="Y58" s="1796"/>
      <c r="Z58" s="1796"/>
      <c r="AA58" s="1796"/>
      <c r="AB58" s="1796"/>
      <c r="AC58" s="1796"/>
      <c r="AD58" s="1796"/>
    </row>
    <row r="59" spans="1:30" s="3311" customFormat="1" ht="15">
      <c r="A59" s="3312" t="s">
        <v>949</v>
      </c>
      <c r="B59" s="3374">
        <f>1+E61</f>
        <v>1</v>
      </c>
      <c r="C59" s="3339"/>
      <c r="D59" s="3314"/>
      <c r="E59" s="3315"/>
      <c r="F59" s="3307"/>
      <c r="G59" s="3310"/>
      <c r="H59" s="3310"/>
      <c r="I59" s="3310"/>
      <c r="J59" s="3166"/>
      <c r="K59" s="3166"/>
      <c r="L59" s="3166"/>
      <c r="M59" s="3166"/>
      <c r="N59" s="3166"/>
      <c r="P59" s="1796"/>
      <c r="Q59" s="1796"/>
      <c r="R59" s="1796"/>
      <c r="S59" s="1796"/>
      <c r="T59" s="1796"/>
      <c r="U59" s="1796"/>
      <c r="V59" s="1796"/>
      <c r="W59" s="1796"/>
      <c r="X59" s="1796"/>
      <c r="Y59" s="1796"/>
      <c r="Z59" s="1796"/>
      <c r="AA59" s="1796"/>
      <c r="AB59" s="1796"/>
      <c r="AC59" s="1796"/>
      <c r="AD59" s="1796"/>
    </row>
    <row r="60" spans="1:30" s="3311" customFormat="1" ht="24">
      <c r="A60" s="3316" t="s">
        <v>928</v>
      </c>
      <c r="B60" s="3317"/>
      <c r="C60" s="3318" t="s">
        <v>930</v>
      </c>
      <c r="D60" s="3319" t="s">
        <v>931</v>
      </c>
      <c r="E60" s="3320" t="s">
        <v>933</v>
      </c>
      <c r="F60" s="3194" t="s">
        <v>1608</v>
      </c>
      <c r="G60" s="3319" t="s">
        <v>934</v>
      </c>
      <c r="H60" s="3321" t="s">
        <v>1770</v>
      </c>
      <c r="I60" s="3319" t="s">
        <v>932</v>
      </c>
      <c r="J60" s="3322" t="s">
        <v>935</v>
      </c>
      <c r="K60" s="3322" t="s">
        <v>936</v>
      </c>
      <c r="L60" s="3322" t="s">
        <v>937</v>
      </c>
      <c r="M60" s="3322" t="s">
        <v>938</v>
      </c>
      <c r="N60" s="3322" t="s">
        <v>939</v>
      </c>
      <c r="P60" s="1796"/>
      <c r="Q60" s="1796"/>
      <c r="R60" s="1796"/>
      <c r="S60" s="1796"/>
      <c r="T60" s="1796"/>
      <c r="U60" s="1796"/>
      <c r="V60" s="1796"/>
      <c r="W60" s="1796"/>
      <c r="X60" s="1796"/>
      <c r="Y60" s="1796"/>
      <c r="Z60" s="1796"/>
      <c r="AA60" s="1796"/>
      <c r="AB60" s="1796"/>
      <c r="AC60" s="1796"/>
      <c r="AD60" s="1796"/>
    </row>
    <row r="61" spans="1:30" s="3311" customFormat="1" ht="24">
      <c r="A61" s="3316" t="s">
        <v>950</v>
      </c>
      <c r="B61" s="3323">
        <f>估价对象房地状况!C17</f>
        <v>0</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6"/>
      <c r="Q61" s="1796"/>
      <c r="R61" s="1796"/>
      <c r="S61" s="1796"/>
      <c r="T61" s="1796"/>
      <c r="U61" s="1796"/>
      <c r="V61" s="1796"/>
      <c r="W61" s="1796"/>
      <c r="X61" s="1796"/>
      <c r="Y61" s="1796"/>
      <c r="Z61" s="1796"/>
      <c r="AA61" s="1796"/>
      <c r="AB61" s="1796"/>
      <c r="AC61" s="1796"/>
      <c r="AD61" s="1796"/>
    </row>
    <row r="62" spans="1:30" s="3311" customFormat="1" ht="14.25">
      <c r="A62" s="3316" t="s">
        <v>941</v>
      </c>
      <c r="B62" s="3317">
        <f>估价对象房地状况!C18</f>
        <v>0</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6"/>
      <c r="Q62" s="1796"/>
      <c r="R62" s="1796"/>
      <c r="S62" s="1796"/>
      <c r="T62" s="1796"/>
      <c r="U62" s="1796"/>
      <c r="V62" s="1796"/>
      <c r="W62" s="1796"/>
      <c r="X62" s="1796"/>
      <c r="Y62" s="1796"/>
      <c r="Z62" s="1796"/>
      <c r="AA62" s="1796"/>
      <c r="AB62" s="1796"/>
      <c r="AC62" s="1796"/>
      <c r="AD62" s="1796"/>
    </row>
    <row r="63" spans="1:30" s="3311" customFormat="1" ht="36">
      <c r="A63" s="3299" t="s">
        <v>3203</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6"/>
      <c r="Q63" s="1796"/>
      <c r="R63" s="1796"/>
      <c r="S63" s="1796"/>
      <c r="T63" s="1796"/>
      <c r="U63" s="1796"/>
      <c r="V63" s="1796"/>
      <c r="W63" s="1796"/>
      <c r="X63" s="1796"/>
      <c r="Y63" s="1796"/>
      <c r="Z63" s="1796"/>
      <c r="AA63" s="1796"/>
      <c r="AB63" s="1796"/>
      <c r="AC63" s="1796"/>
      <c r="AD63" s="1796"/>
    </row>
    <row r="64" spans="1:30" s="3311" customFormat="1" ht="36">
      <c r="A64" s="3316" t="s">
        <v>943</v>
      </c>
      <c r="B64" s="3332" t="s">
        <v>2189</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6"/>
      <c r="Q64" s="1796"/>
      <c r="R64" s="1796"/>
      <c r="S64" s="1796"/>
      <c r="T64" s="1796"/>
      <c r="U64" s="1796"/>
      <c r="V64" s="1796"/>
      <c r="W64" s="1796"/>
      <c r="X64" s="1796"/>
      <c r="Y64" s="1796"/>
      <c r="Z64" s="1796"/>
      <c r="AA64" s="1796"/>
      <c r="AB64" s="1796"/>
      <c r="AC64" s="1796"/>
      <c r="AD64" s="1796"/>
    </row>
    <row r="65" spans="1:36" s="3311" customFormat="1" ht="24">
      <c r="A65" s="3316" t="s">
        <v>944</v>
      </c>
      <c r="B65" s="3317">
        <f>估价对象房地状况!C24</f>
        <v>0</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6"/>
      <c r="Q65" s="1796"/>
      <c r="R65" s="1796"/>
      <c r="S65" s="1796"/>
      <c r="T65" s="1796"/>
      <c r="U65" s="1796"/>
      <c r="V65" s="1796"/>
      <c r="W65" s="1796"/>
      <c r="X65" s="1796"/>
      <c r="Y65" s="1796"/>
      <c r="Z65" s="1796"/>
      <c r="AA65" s="1796"/>
      <c r="AB65" s="1796"/>
      <c r="AC65" s="1796"/>
      <c r="AD65" s="1796"/>
    </row>
    <row r="66" spans="1:36" s="3311" customFormat="1" ht="24">
      <c r="A66" s="3316" t="s">
        <v>945</v>
      </c>
      <c r="B66" s="3333" t="s">
        <v>2187</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6"/>
      <c r="Q66" s="1796"/>
      <c r="R66" s="1796"/>
      <c r="S66" s="1796"/>
      <c r="T66" s="1796"/>
      <c r="U66" s="1796"/>
      <c r="V66" s="1796"/>
      <c r="W66" s="1796"/>
      <c r="X66" s="1796"/>
      <c r="Y66" s="1796"/>
      <c r="Z66" s="1796"/>
      <c r="AA66" s="1796"/>
      <c r="AB66" s="1796"/>
      <c r="AC66" s="1796"/>
      <c r="AD66" s="1796"/>
    </row>
    <row r="67" spans="1:36" s="3311" customFormat="1" ht="24">
      <c r="A67" s="3316" t="s">
        <v>946</v>
      </c>
      <c r="B67" s="3335">
        <f>估价对象房地状况!C21</f>
        <v>0</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6"/>
      <c r="Q67" s="1796"/>
      <c r="R67" s="1796"/>
      <c r="S67" s="1796"/>
      <c r="T67" s="1796"/>
      <c r="U67" s="1796"/>
      <c r="V67" s="1796"/>
      <c r="W67" s="1796"/>
      <c r="X67" s="1796"/>
      <c r="Y67" s="1796"/>
      <c r="Z67" s="1796"/>
      <c r="AA67" s="1796"/>
      <c r="AB67" s="1796"/>
      <c r="AC67" s="1796"/>
      <c r="AD67" s="1796"/>
    </row>
    <row r="68" spans="1:36" s="3311" customFormat="1" ht="24">
      <c r="A68" s="3316" t="s">
        <v>947</v>
      </c>
      <c r="B68" s="3335">
        <f>估价对象房地状况!C22</f>
        <v>0</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6"/>
      <c r="Q68" s="1796"/>
      <c r="R68" s="1796"/>
      <c r="S68" s="1796"/>
      <c r="T68" s="1796"/>
      <c r="U68" s="1796"/>
      <c r="V68" s="1796"/>
      <c r="W68" s="1796"/>
      <c r="X68" s="1796"/>
      <c r="Y68" s="1796"/>
      <c r="Z68" s="1796"/>
      <c r="AA68" s="1796"/>
      <c r="AB68" s="1796"/>
      <c r="AC68" s="1796"/>
      <c r="AD68" s="1796"/>
    </row>
    <row r="69" spans="1:36" s="3311" customFormat="1" ht="24.75" thickBot="1">
      <c r="A69" s="3336" t="s">
        <v>948</v>
      </c>
      <c r="B69" s="3340">
        <f>估价对象房地状况!C20</f>
        <v>0</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6"/>
      <c r="Q69" s="1796"/>
      <c r="R69" s="1796"/>
      <c r="S69" s="1796"/>
      <c r="T69" s="1796"/>
      <c r="U69" s="1796"/>
      <c r="V69" s="1796"/>
      <c r="W69" s="1796"/>
      <c r="X69" s="1796"/>
      <c r="Y69" s="1796"/>
      <c r="Z69" s="1796"/>
      <c r="AA69" s="1796"/>
      <c r="AB69" s="1796"/>
      <c r="AC69" s="1796"/>
      <c r="AD69" s="1796"/>
    </row>
    <row r="70" spans="1:36" s="3311" customFormat="1" ht="15">
      <c r="A70" s="3312" t="s">
        <v>951</v>
      </c>
      <c r="B70" s="3374">
        <f>1+E72</f>
        <v>1</v>
      </c>
      <c r="C70" s="3339"/>
      <c r="D70" s="3314"/>
      <c r="E70" s="3315"/>
      <c r="F70" s="3307"/>
      <c r="G70" s="3310"/>
      <c r="H70" s="3310"/>
      <c r="I70" s="3310"/>
      <c r="J70" s="3166"/>
      <c r="K70" s="3166"/>
      <c r="L70" s="3166"/>
      <c r="M70" s="3166"/>
      <c r="N70" s="3166"/>
      <c r="P70" s="1796"/>
      <c r="Q70" s="1796"/>
      <c r="R70" s="1796"/>
      <c r="S70" s="1796"/>
      <c r="T70" s="1796"/>
      <c r="U70" s="1796"/>
      <c r="V70" s="1796"/>
      <c r="W70" s="1796"/>
      <c r="X70" s="1796"/>
      <c r="Y70" s="1796"/>
      <c r="Z70" s="1796"/>
      <c r="AA70" s="1796"/>
      <c r="AB70" s="1796"/>
      <c r="AC70" s="1796"/>
      <c r="AD70" s="1796"/>
    </row>
    <row r="71" spans="1:36" s="3311" customFormat="1" ht="24">
      <c r="A71" s="3316" t="s">
        <v>928</v>
      </c>
      <c r="B71" s="3317"/>
      <c r="C71" s="3318" t="s">
        <v>930</v>
      </c>
      <c r="D71" s="3319" t="s">
        <v>931</v>
      </c>
      <c r="E71" s="3320" t="s">
        <v>933</v>
      </c>
      <c r="F71" s="3194" t="s">
        <v>1609</v>
      </c>
      <c r="G71" s="3319" t="s">
        <v>934</v>
      </c>
      <c r="H71" s="3321" t="s">
        <v>1770</v>
      </c>
      <c r="I71" s="3319" t="s">
        <v>932</v>
      </c>
      <c r="J71" s="3322" t="s">
        <v>935</v>
      </c>
      <c r="K71" s="3322" t="s">
        <v>936</v>
      </c>
      <c r="L71" s="3322" t="s">
        <v>937</v>
      </c>
      <c r="M71" s="3322" t="s">
        <v>938</v>
      </c>
      <c r="N71" s="3322" t="s">
        <v>939</v>
      </c>
      <c r="P71" s="1796"/>
      <c r="Q71" s="1796"/>
      <c r="R71" s="1796"/>
      <c r="S71" s="1796"/>
      <c r="T71" s="1796"/>
      <c r="U71" s="1796"/>
      <c r="V71" s="1796"/>
      <c r="W71" s="1796"/>
      <c r="X71" s="1796"/>
      <c r="Y71" s="1796"/>
      <c r="Z71" s="1796"/>
      <c r="AA71" s="1796"/>
      <c r="AB71" s="1796"/>
      <c r="AC71" s="1796"/>
      <c r="AD71" s="1796"/>
    </row>
    <row r="72" spans="1:36" s="3311" customFormat="1" ht="24">
      <c r="A72" s="3316" t="s">
        <v>952</v>
      </c>
      <c r="B72" s="3317">
        <f>估价对象房地状况!C15</f>
        <v>0</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6"/>
      <c r="Q72" s="1796"/>
      <c r="R72" s="1796"/>
      <c r="S72" s="1796"/>
      <c r="T72" s="1796"/>
      <c r="U72" s="1796"/>
      <c r="V72" s="1796"/>
      <c r="W72" s="1796"/>
      <c r="X72" s="1796"/>
      <c r="Y72" s="1796"/>
      <c r="Z72" s="1796"/>
      <c r="AA72" s="1796"/>
      <c r="AB72" s="1796"/>
      <c r="AC72" s="1796"/>
      <c r="AD72" s="1796"/>
    </row>
    <row r="73" spans="1:36" s="3311" customFormat="1" ht="14.25">
      <c r="A73" s="3316" t="s">
        <v>953</v>
      </c>
      <c r="B73" s="3317">
        <f>估价对象房地状况!C18</f>
        <v>0</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6"/>
      <c r="Q73" s="1796"/>
      <c r="R73" s="1796"/>
      <c r="S73" s="1796"/>
      <c r="T73" s="1796"/>
      <c r="U73" s="1796"/>
      <c r="V73" s="1796"/>
      <c r="W73" s="1796"/>
      <c r="X73" s="1796"/>
      <c r="Y73" s="1796"/>
      <c r="Z73" s="1796"/>
      <c r="AA73" s="1796"/>
      <c r="AB73" s="1796"/>
      <c r="AC73" s="1796"/>
      <c r="AD73" s="1796"/>
    </row>
    <row r="74" spans="1:36" s="3311" customFormat="1" ht="36">
      <c r="A74" s="3299" t="s">
        <v>3203</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6"/>
      <c r="Q74" s="1796"/>
      <c r="R74" s="1796"/>
      <c r="S74" s="1796"/>
      <c r="T74" s="1796"/>
      <c r="U74" s="1796"/>
      <c r="V74" s="1796"/>
      <c r="W74" s="1796"/>
      <c r="X74" s="1796"/>
      <c r="Y74" s="1796"/>
      <c r="Z74" s="1796"/>
      <c r="AA74" s="1796"/>
      <c r="AB74" s="1796"/>
      <c r="AC74" s="1796"/>
      <c r="AD74" s="1796"/>
    </row>
    <row r="75" spans="1:36" s="1272" customFormat="1" ht="14.25">
      <c r="A75" s="3316" t="s">
        <v>954</v>
      </c>
      <c r="B75" s="3317">
        <f>估价对象房地状况!C24</f>
        <v>0</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6"/>
      <c r="Q75" s="1796"/>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2" customFormat="1" ht="24">
      <c r="A76" s="3316" t="s">
        <v>946</v>
      </c>
      <c r="B76" s="3335">
        <f>估价对象房地状况!C21</f>
        <v>0</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6"/>
      <c r="Q76" s="1796"/>
      <c r="AE76" s="3311"/>
      <c r="AF76" s="3311"/>
      <c r="AG76" s="3311"/>
      <c r="AH76" s="3311"/>
      <c r="AI76" s="3311"/>
      <c r="AJ76" s="3311"/>
    </row>
    <row r="77" spans="1:36" s="1272" customFormat="1" ht="24">
      <c r="A77" s="3316" t="s">
        <v>947</v>
      </c>
      <c r="B77" s="3335">
        <f>估价对象房地状况!C22</f>
        <v>0</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6"/>
      <c r="Q77" s="1796"/>
      <c r="AE77" s="3311"/>
      <c r="AF77" s="3311"/>
      <c r="AG77" s="3311"/>
      <c r="AH77" s="3311"/>
      <c r="AI77" s="3311"/>
      <c r="AJ77" s="3311"/>
    </row>
    <row r="78" spans="1:36" s="1272" customFormat="1" ht="24">
      <c r="A78" s="3316" t="s">
        <v>945</v>
      </c>
      <c r="B78" s="3333" t="s">
        <v>2187</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6"/>
      <c r="Q78" s="1796"/>
      <c r="AE78" s="3311"/>
      <c r="AF78" s="3311"/>
      <c r="AG78" s="3311"/>
      <c r="AH78" s="3311"/>
      <c r="AI78" s="3311"/>
      <c r="AJ78" s="3311"/>
    </row>
    <row r="79" spans="1:36" s="1272" customFormat="1" ht="24">
      <c r="A79" s="3316" t="s">
        <v>948</v>
      </c>
      <c r="B79" s="3323">
        <f>估价对象房地状况!C20</f>
        <v>0</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2" customFormat="1" ht="24.75" thickBot="1">
      <c r="A80" s="3336" t="s">
        <v>955</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2" customFormat="1" ht="15">
      <c r="A81" s="3312" t="s">
        <v>956</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2" customFormat="1" ht="24">
      <c r="A82" s="3316" t="s">
        <v>928</v>
      </c>
      <c r="B82" s="3317"/>
      <c r="C82" s="3318" t="s">
        <v>930</v>
      </c>
      <c r="D82" s="3319" t="s">
        <v>931</v>
      </c>
      <c r="E82" s="3320" t="s">
        <v>933</v>
      </c>
      <c r="F82" s="3194" t="s">
        <v>1610</v>
      </c>
      <c r="G82" s="3319" t="s">
        <v>934</v>
      </c>
      <c r="H82" s="3321" t="s">
        <v>1770</v>
      </c>
      <c r="I82" s="3319" t="s">
        <v>932</v>
      </c>
      <c r="J82" s="3322" t="s">
        <v>935</v>
      </c>
      <c r="K82" s="3322" t="s">
        <v>936</v>
      </c>
      <c r="L82" s="3322" t="s">
        <v>937</v>
      </c>
      <c r="M82" s="3322" t="s">
        <v>938</v>
      </c>
      <c r="N82" s="3322" t="s">
        <v>939</v>
      </c>
      <c r="AE82" s="3311"/>
      <c r="AF82" s="3311"/>
      <c r="AG82" s="3311"/>
      <c r="AH82" s="3311"/>
      <c r="AI82" s="3311"/>
      <c r="AJ82" s="3311"/>
    </row>
    <row r="83" spans="1:36" s="1272" customFormat="1" ht="24">
      <c r="A83" s="3316" t="s">
        <v>957</v>
      </c>
      <c r="B83" s="3317">
        <f>估价对象房地状况!G15</f>
        <v>0</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2" customFormat="1" ht="14.25">
      <c r="A84" s="3316" t="s">
        <v>953</v>
      </c>
      <c r="B84" s="3317">
        <f>估价对象房地状况!G16</f>
        <v>0</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2" customFormat="1" ht="24">
      <c r="A85" s="3316" t="s">
        <v>942</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2" customFormat="1" ht="14.25">
      <c r="A86" s="3316" t="s">
        <v>954</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2" customFormat="1" ht="24">
      <c r="A87" s="3316" t="s">
        <v>946</v>
      </c>
      <c r="B87" s="3335">
        <f>估价对象房地状况!G19</f>
        <v>0</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2" customFormat="1" ht="24">
      <c r="A88" s="3316" t="s">
        <v>947</v>
      </c>
      <c r="B88" s="3335">
        <f>估价对象房地状况!G20</f>
        <v>0</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2" customFormat="1" ht="24">
      <c r="A89" s="3316" t="s">
        <v>945</v>
      </c>
      <c r="B89" s="3333" t="s">
        <v>2187</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2" customFormat="1" ht="15" thickBot="1">
      <c r="A90" s="3336" t="s">
        <v>958</v>
      </c>
      <c r="B90" s="3346">
        <f>估价对象房地状况!G18</f>
        <v>0</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2" customFormat="1" ht="15">
      <c r="A91" s="3300" t="s">
        <v>3212</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2" customFormat="1" ht="24">
      <c r="A92" s="3301" t="s">
        <v>3213</v>
      </c>
      <c r="B92" s="3301"/>
      <c r="C92" s="3301" t="s">
        <v>3218</v>
      </c>
      <c r="D92" s="3301" t="s">
        <v>3205</v>
      </c>
      <c r="E92" s="346" t="s">
        <v>3206</v>
      </c>
      <c r="F92" s="3356" t="s">
        <v>1607</v>
      </c>
      <c r="G92" s="3319" t="s">
        <v>934</v>
      </c>
      <c r="H92" s="3321" t="s">
        <v>1770</v>
      </c>
      <c r="I92" s="3319" t="s">
        <v>932</v>
      </c>
      <c r="J92" s="3322" t="s">
        <v>935</v>
      </c>
      <c r="K92" s="3322" t="s">
        <v>936</v>
      </c>
      <c r="L92" s="3322" t="s">
        <v>937</v>
      </c>
      <c r="M92" s="3322" t="s">
        <v>938</v>
      </c>
      <c r="N92" s="3322" t="s">
        <v>939</v>
      </c>
      <c r="AE92" s="3311"/>
      <c r="AF92" s="3311"/>
      <c r="AG92" s="3311"/>
      <c r="AH92" s="3311"/>
      <c r="AI92" s="3311"/>
      <c r="AJ92" s="3311"/>
    </row>
    <row r="93" spans="1:36" s="1272" customFormat="1" ht="24">
      <c r="A93" s="3355" t="s">
        <v>3214</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2" customFormat="1" ht="14.25">
      <c r="A94" s="3301" t="s">
        <v>3215</v>
      </c>
      <c r="B94" s="3317">
        <f>估价对象房地状况!G16</f>
        <v>0</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2" customFormat="1" ht="36">
      <c r="A95" s="3355" t="s">
        <v>3203</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2" customFormat="1" ht="36.75">
      <c r="A96" s="3301" t="s">
        <v>3207</v>
      </c>
      <c r="B96" s="3305" t="s">
        <v>3208</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2" customFormat="1" ht="24">
      <c r="A97" s="3301" t="s">
        <v>3209</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2" customFormat="1" ht="24">
      <c r="A98" s="3301" t="s">
        <v>3216</v>
      </c>
      <c r="B98" s="3332" t="s">
        <v>2187</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2" customFormat="1" ht="24">
      <c r="A99" s="3301" t="s">
        <v>3217</v>
      </c>
      <c r="B99" s="3317">
        <f>估价对象房地状况!C21</f>
        <v>0</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2" customFormat="1" ht="24">
      <c r="A100" s="3301" t="s">
        <v>3210</v>
      </c>
      <c r="B100" s="3317">
        <f>估价对象房地状况!C22</f>
        <v>0</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2" customFormat="1" ht="24.75" thickBot="1">
      <c r="A101" s="3301" t="s">
        <v>3211</v>
      </c>
      <c r="B101" s="3323">
        <f>估价对象房地状况!C20</f>
        <v>0</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2" customFormat="1" ht="14.25">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2" customFormat="1">
      <c r="K103" s="3311"/>
      <c r="AD103" s="3311"/>
      <c r="AE103" s="3311"/>
      <c r="AF103" s="3311"/>
      <c r="AG103" s="3311"/>
      <c r="AH103" s="3311"/>
      <c r="AI103" s="3311"/>
    </row>
    <row r="104" spans="1:36">
      <c r="A104" s="3661" t="s">
        <v>1170</v>
      </c>
      <c r="B104" s="3661"/>
      <c r="C104" s="3661"/>
      <c r="D104" s="3661"/>
      <c r="E104" s="3661"/>
      <c r="F104" s="3661"/>
      <c r="G104" s="3661"/>
      <c r="H104" s="3661"/>
      <c r="I104" s="3661"/>
      <c r="J104" s="3661"/>
      <c r="K104" s="998"/>
      <c r="L104" s="998"/>
      <c r="M104" s="998"/>
      <c r="N104" s="998"/>
    </row>
    <row r="105" spans="1:36">
      <c r="A105" s="3662" t="s">
        <v>1159</v>
      </c>
      <c r="B105" s="3662" t="s">
        <v>1171</v>
      </c>
      <c r="C105" s="986" t="s">
        <v>1172</v>
      </c>
      <c r="D105" s="987"/>
      <c r="E105" s="987"/>
      <c r="F105" s="987"/>
      <c r="G105" s="987"/>
      <c r="H105" s="987"/>
      <c r="I105" s="987"/>
      <c r="J105" s="988"/>
      <c r="K105" s="981"/>
      <c r="L105" s="981"/>
      <c r="M105" s="981"/>
      <c r="N105" s="981"/>
    </row>
    <row r="106" spans="1:36">
      <c r="A106" s="3662"/>
      <c r="B106" s="3662"/>
      <c r="C106" s="997" t="s">
        <v>834</v>
      </c>
      <c r="D106" s="997" t="s">
        <v>818</v>
      </c>
      <c r="E106" s="997" t="s">
        <v>819</v>
      </c>
      <c r="F106" s="997" t="s">
        <v>837</v>
      </c>
      <c r="G106" s="997" t="s">
        <v>821</v>
      </c>
      <c r="H106" s="997" t="s">
        <v>822</v>
      </c>
      <c r="I106" s="997" t="s">
        <v>823</v>
      </c>
      <c r="J106" s="997" t="s">
        <v>824</v>
      </c>
      <c r="K106" s="997" t="s">
        <v>842</v>
      </c>
      <c r="L106" s="997" t="s">
        <v>826</v>
      </c>
      <c r="M106" s="997" t="s">
        <v>827</v>
      </c>
      <c r="N106" s="997" t="s">
        <v>845</v>
      </c>
    </row>
    <row r="107" spans="1:36">
      <c r="A107" s="3651" t="s">
        <v>2043</v>
      </c>
      <c r="B107" s="989">
        <v>1</v>
      </c>
      <c r="C107" s="990">
        <v>1.5206</v>
      </c>
      <c r="D107" s="990">
        <v>1.5206</v>
      </c>
      <c r="E107" s="990">
        <v>1.5019</v>
      </c>
      <c r="F107" s="990">
        <v>1.5019</v>
      </c>
      <c r="G107" s="990">
        <v>1.5019</v>
      </c>
      <c r="H107" s="990">
        <v>1.5019</v>
      </c>
      <c r="I107" s="990">
        <v>1.5019</v>
      </c>
      <c r="J107" s="990">
        <v>1.5418000000000001</v>
      </c>
      <c r="K107" s="990">
        <v>1.5418000000000001</v>
      </c>
      <c r="L107" s="990">
        <v>1.5418000000000001</v>
      </c>
      <c r="M107" s="990">
        <v>1.5418000000000001</v>
      </c>
      <c r="N107" s="990">
        <v>1.5418000000000001</v>
      </c>
    </row>
    <row r="108" spans="1:36">
      <c r="A108" s="3652"/>
      <c r="B108" s="989">
        <v>2</v>
      </c>
      <c r="C108" s="990">
        <v>1.2072000000000001</v>
      </c>
      <c r="D108" s="990">
        <v>1.2072000000000001</v>
      </c>
      <c r="E108" s="990">
        <v>1.1838</v>
      </c>
      <c r="F108" s="990">
        <v>1.1838</v>
      </c>
      <c r="G108" s="990">
        <v>1.1838</v>
      </c>
      <c r="H108" s="990">
        <v>1.1838</v>
      </c>
      <c r="I108" s="990">
        <v>1.1838</v>
      </c>
      <c r="J108" s="990">
        <v>1.1883999999999999</v>
      </c>
      <c r="K108" s="990">
        <v>1.1883999999999999</v>
      </c>
      <c r="L108" s="990">
        <v>1.1883999999999999</v>
      </c>
      <c r="M108" s="990">
        <v>1.1883999999999999</v>
      </c>
      <c r="N108" s="990">
        <v>1.1883999999999999</v>
      </c>
    </row>
    <row r="109" spans="1:36">
      <c r="A109" s="3652"/>
      <c r="B109" s="989">
        <v>3</v>
      </c>
      <c r="C109" s="990">
        <v>1.0430999999999999</v>
      </c>
      <c r="D109" s="990">
        <v>1.0430999999999999</v>
      </c>
      <c r="E109" s="990">
        <v>1.0004999999999999</v>
      </c>
      <c r="F109" s="990">
        <v>1.0004999999999999</v>
      </c>
      <c r="G109" s="990">
        <v>1.0004999999999999</v>
      </c>
      <c r="H109" s="990">
        <v>1.0004999999999999</v>
      </c>
      <c r="I109" s="990">
        <v>1.0004999999999999</v>
      </c>
      <c r="J109" s="990">
        <v>0.96940000000000004</v>
      </c>
      <c r="K109" s="990">
        <v>0.96940000000000004</v>
      </c>
      <c r="L109" s="990">
        <v>0.96940000000000004</v>
      </c>
      <c r="M109" s="990">
        <v>0.96940000000000004</v>
      </c>
      <c r="N109" s="990">
        <v>0.96940000000000004</v>
      </c>
    </row>
    <row r="110" spans="1:36">
      <c r="A110" s="3652"/>
      <c r="B110" s="989">
        <v>4</v>
      </c>
      <c r="C110" s="990">
        <v>0.94389999999999996</v>
      </c>
      <c r="D110" s="990">
        <v>0.94389999999999996</v>
      </c>
      <c r="E110" s="990">
        <v>0.88239999999999996</v>
      </c>
      <c r="F110" s="990">
        <v>0.88239999999999996</v>
      </c>
      <c r="G110" s="990">
        <v>0.88239999999999996</v>
      </c>
      <c r="H110" s="990">
        <v>0.88239999999999996</v>
      </c>
      <c r="I110" s="990">
        <v>0.88239999999999996</v>
      </c>
      <c r="J110" s="990">
        <v>0.82299999999999995</v>
      </c>
      <c r="K110" s="990">
        <v>0.82299999999999995</v>
      </c>
      <c r="L110" s="990">
        <v>0.82299999999999995</v>
      </c>
      <c r="M110" s="990">
        <v>0.82299999999999995</v>
      </c>
      <c r="N110" s="990">
        <v>0.82299999999999995</v>
      </c>
    </row>
    <row r="111" spans="1:36">
      <c r="A111" s="3652"/>
      <c r="B111" s="989">
        <v>5</v>
      </c>
      <c r="C111" s="990">
        <v>0.89959999999999996</v>
      </c>
      <c r="D111" s="990">
        <v>0.89959999999999996</v>
      </c>
      <c r="E111" s="990">
        <v>0.84799999999999998</v>
      </c>
      <c r="F111" s="990">
        <v>0.84799999999999998</v>
      </c>
      <c r="G111" s="990">
        <v>0.84799999999999998</v>
      </c>
      <c r="H111" s="990">
        <v>0.84799999999999998</v>
      </c>
      <c r="I111" s="990">
        <v>0.84799999999999998</v>
      </c>
      <c r="J111" s="990">
        <v>0.74980000000000002</v>
      </c>
      <c r="K111" s="990">
        <v>0.74980000000000002</v>
      </c>
      <c r="L111" s="990">
        <v>0.74980000000000002</v>
      </c>
      <c r="M111" s="990">
        <v>0.74980000000000002</v>
      </c>
      <c r="N111" s="990">
        <v>0.74980000000000002</v>
      </c>
    </row>
    <row r="112" spans="1:36">
      <c r="A112" s="3652"/>
      <c r="B112" s="989" t="s">
        <v>3219</v>
      </c>
      <c r="C112" s="991">
        <f>$I$3</f>
        <v>0</v>
      </c>
      <c r="D112" s="991">
        <f t="shared" ref="D112:N112" si="34">$I$3</f>
        <v>0</v>
      </c>
      <c r="E112" s="991">
        <f t="shared" si="34"/>
        <v>0</v>
      </c>
      <c r="F112" s="991">
        <f t="shared" si="34"/>
        <v>0</v>
      </c>
      <c r="G112" s="991">
        <f t="shared" si="34"/>
        <v>0</v>
      </c>
      <c r="H112" s="991">
        <f t="shared" si="34"/>
        <v>0</v>
      </c>
      <c r="I112" s="991">
        <f t="shared" si="34"/>
        <v>0</v>
      </c>
      <c r="J112" s="991">
        <f t="shared" si="34"/>
        <v>0</v>
      </c>
      <c r="K112" s="991">
        <f t="shared" si="34"/>
        <v>0</v>
      </c>
      <c r="L112" s="991">
        <f t="shared" si="34"/>
        <v>0</v>
      </c>
      <c r="M112" s="991">
        <f t="shared" si="34"/>
        <v>0</v>
      </c>
      <c r="N112" s="991">
        <f t="shared" si="34"/>
        <v>0</v>
      </c>
    </row>
    <row r="113" spans="1:14">
      <c r="A113" s="3653"/>
      <c r="B113" s="989">
        <v>6</v>
      </c>
      <c r="C113" s="992">
        <f>(-0.5556*(C112^2)-0.2719*C112+8944)*(10^(-4))</f>
        <v>0.89440000000000008</v>
      </c>
      <c r="D113" s="992">
        <f>(-0.5556*(D112^2)-0.2719*D112+8944)*(10^(-4))</f>
        <v>0.89440000000000008</v>
      </c>
      <c r="E113" s="992">
        <f>(-0.7912*(E112^2)-11.3794*E112+8482)*(10^(-4))</f>
        <v>0.84820000000000007</v>
      </c>
      <c r="F113" s="992">
        <f>(-0.7912*(F112^2)-11.3794*F112+8482)*(10^(-4))</f>
        <v>0.84820000000000007</v>
      </c>
      <c r="G113" s="992">
        <f>(-0.7912*(G112^2)-11.3794*G112+8482)*(10^(-4))</f>
        <v>0.84820000000000007</v>
      </c>
      <c r="H113" s="992">
        <f>(-0.7912*(H112^2)-11.3794*H112+8482)*(10^(-4))</f>
        <v>0.84820000000000007</v>
      </c>
      <c r="I113" s="992">
        <f>(-0.7912*(I112^2)-11.3794*I112+8482)*(10^(-4))</f>
        <v>0.84820000000000007</v>
      </c>
      <c r="J113" s="992">
        <f>(-0.989*(J112^2)-63.78*J112+7771)*(10^(-4))</f>
        <v>0.77710000000000001</v>
      </c>
      <c r="K113" s="992">
        <f>(-0.989*(K112^2)-63.78*K112+7771)*(10^(-4))</f>
        <v>0.77710000000000001</v>
      </c>
      <c r="L113" s="992">
        <f>(-0.989*(L112^2)-63.78*L112+7771)*(10^(-4))</f>
        <v>0.77710000000000001</v>
      </c>
      <c r="M113" s="992">
        <f>(-0.989*(M112^2)-63.78*M112+7771)*(10^(-4))</f>
        <v>0.77710000000000001</v>
      </c>
      <c r="N113" s="992">
        <f>(-0.989*(N112^2)-63.78*N112+7771)*(10^(-4))</f>
        <v>0.77710000000000001</v>
      </c>
    </row>
    <row r="114" spans="1:14">
      <c r="A114" s="3658" t="s">
        <v>1173</v>
      </c>
      <c r="B114" s="3658"/>
      <c r="C114" s="3658"/>
      <c r="D114" s="3658"/>
      <c r="E114" s="3658"/>
      <c r="F114" s="3658"/>
      <c r="G114" s="3658"/>
      <c r="H114" s="3658"/>
      <c r="I114" s="3658"/>
      <c r="J114" s="3658"/>
      <c r="K114" s="1966"/>
      <c r="L114" s="1966"/>
      <c r="M114" s="1966"/>
      <c r="N114" s="1966"/>
    </row>
    <row r="116" spans="1:14" ht="12.75" thickBot="1"/>
    <row r="117" spans="1:14" ht="25.5" thickBot="1">
      <c r="A117" s="924" t="s">
        <v>829</v>
      </c>
      <c r="B117" s="1967">
        <f>G3</f>
        <v>0</v>
      </c>
      <c r="C117" s="925" t="s">
        <v>830</v>
      </c>
      <c r="D117" s="926" t="e">
        <f>SUMPRODUCT((A118:A122=F116)*(B117:M117=H116)*B118:M122)</f>
        <v>#VALUE!</v>
      </c>
      <c r="E117" s="927" t="s">
        <v>831</v>
      </c>
      <c r="F117" s="928">
        <f>E2</f>
        <v>0</v>
      </c>
      <c r="G117" s="927" t="s">
        <v>832</v>
      </c>
      <c r="H117" s="928">
        <f>G2</f>
        <v>0</v>
      </c>
      <c r="I117" s="927"/>
      <c r="J117" s="919"/>
      <c r="K117" s="919"/>
      <c r="L117" s="919"/>
      <c r="M117" s="919"/>
    </row>
    <row r="118" spans="1:14" ht="12.75">
      <c r="A118" s="930"/>
      <c r="B118" s="931" t="s">
        <v>817</v>
      </c>
      <c r="C118" s="931" t="s">
        <v>818</v>
      </c>
      <c r="D118" s="931" t="s">
        <v>819</v>
      </c>
      <c r="E118" s="932" t="s">
        <v>820</v>
      </c>
      <c r="F118" s="932" t="s">
        <v>821</v>
      </c>
      <c r="G118" s="932" t="s">
        <v>822</v>
      </c>
      <c r="H118" s="933" t="s">
        <v>823</v>
      </c>
      <c r="I118" s="933" t="s">
        <v>824</v>
      </c>
      <c r="J118" s="934" t="s">
        <v>825</v>
      </c>
      <c r="K118" s="934" t="s">
        <v>826</v>
      </c>
      <c r="L118" s="934" t="s">
        <v>827</v>
      </c>
      <c r="M118" s="935" t="s">
        <v>828</v>
      </c>
    </row>
    <row r="119" spans="1:14" ht="12.75">
      <c r="A119" s="3358" t="s">
        <v>3220</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2.75">
      <c r="A120" s="3358" t="s">
        <v>3221</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2.75">
      <c r="A121" s="3358" t="s">
        <v>3222</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5" thickBot="1">
      <c r="A122" s="3359" t="s">
        <v>3223</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2.75">
      <c r="A123" s="3360" t="s">
        <v>3204</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5"/>
    <col min="2" max="9" width="13.875" style="971"/>
    <col min="10" max="16384" width="13.875" style="955"/>
  </cols>
  <sheetData>
    <row r="1" spans="1:13" ht="14.25" thickBot="1">
      <c r="A1" s="972" t="s">
        <v>2749</v>
      </c>
      <c r="B1" s="960" t="s">
        <v>988</v>
      </c>
      <c r="C1" s="960" t="s">
        <v>1029</v>
      </c>
      <c r="D1" s="960" t="s">
        <v>1143</v>
      </c>
      <c r="E1" s="960" t="s">
        <v>851</v>
      </c>
      <c r="F1" s="960" t="s">
        <v>1150</v>
      </c>
      <c r="G1" s="960" t="s">
        <v>1151</v>
      </c>
      <c r="H1" s="960" t="s">
        <v>1152</v>
      </c>
      <c r="I1" s="960" t="s">
        <v>1153</v>
      </c>
      <c r="J1" s="960" t="s">
        <v>1154</v>
      </c>
      <c r="K1" s="960" t="s">
        <v>1155</v>
      </c>
      <c r="L1" s="960" t="s">
        <v>2750</v>
      </c>
      <c r="M1" s="961" t="s">
        <v>2751</v>
      </c>
    </row>
    <row r="2" spans="1:13">
      <c r="A2" s="2983" t="s">
        <v>2726</v>
      </c>
      <c r="B2" s="2984">
        <v>3.5</v>
      </c>
      <c r="C2" s="2984">
        <v>3.5</v>
      </c>
      <c r="D2" s="2985">
        <v>2.5</v>
      </c>
      <c r="E2" s="2985">
        <v>2.5</v>
      </c>
      <c r="F2" s="2985">
        <v>2.5</v>
      </c>
      <c r="G2" s="2985">
        <v>2.5</v>
      </c>
      <c r="H2" s="2985">
        <v>2.5</v>
      </c>
      <c r="I2" s="2984">
        <v>2</v>
      </c>
      <c r="J2" s="2984">
        <v>2</v>
      </c>
      <c r="K2" s="2984">
        <v>2</v>
      </c>
      <c r="L2" s="2984">
        <v>2</v>
      </c>
      <c r="M2" s="2986">
        <v>2</v>
      </c>
    </row>
    <row r="3" spans="1:13">
      <c r="A3" s="2987" t="s">
        <v>1210</v>
      </c>
      <c r="B3" s="2988">
        <v>3.5</v>
      </c>
      <c r="C3" s="2988">
        <v>3.5</v>
      </c>
      <c r="D3" s="2989">
        <v>2.5</v>
      </c>
      <c r="E3" s="2989">
        <v>2.5</v>
      </c>
      <c r="F3" s="2989">
        <v>2.5</v>
      </c>
      <c r="G3" s="2989">
        <v>2.5</v>
      </c>
      <c r="H3" s="2989">
        <v>2.5</v>
      </c>
      <c r="I3" s="2988">
        <v>2</v>
      </c>
      <c r="J3" s="2988">
        <v>2</v>
      </c>
      <c r="K3" s="2988">
        <v>2</v>
      </c>
      <c r="L3" s="2988">
        <v>2</v>
      </c>
      <c r="M3" s="2990">
        <v>2</v>
      </c>
    </row>
    <row r="4" spans="1:13">
      <c r="A4" s="2987" t="s">
        <v>849</v>
      </c>
      <c r="B4" s="2989">
        <v>2.5</v>
      </c>
      <c r="C4" s="2989">
        <v>2.5</v>
      </c>
      <c r="D4" s="2989">
        <v>2.5</v>
      </c>
      <c r="E4" s="2989">
        <v>2.5</v>
      </c>
      <c r="F4" s="2989">
        <v>2.5</v>
      </c>
      <c r="G4" s="2989">
        <v>2.5</v>
      </c>
      <c r="H4" s="2989">
        <v>2.5</v>
      </c>
      <c r="I4" s="2988">
        <v>1.5</v>
      </c>
      <c r="J4" s="2988">
        <v>1.5</v>
      </c>
      <c r="K4" s="2988">
        <v>1.5</v>
      </c>
      <c r="L4" s="2988">
        <v>1.5</v>
      </c>
      <c r="M4" s="2990">
        <v>1.5</v>
      </c>
    </row>
    <row r="5" spans="1:13">
      <c r="A5" s="2991" t="s">
        <v>903</v>
      </c>
      <c r="B5" s="2988">
        <v>1.5</v>
      </c>
      <c r="C5" s="2988">
        <v>1.5</v>
      </c>
      <c r="D5" s="2988">
        <v>1.5</v>
      </c>
      <c r="E5" s="2988">
        <v>1.5</v>
      </c>
      <c r="F5" s="2988">
        <v>1.5</v>
      </c>
      <c r="G5" s="2988">
        <v>1.2</v>
      </c>
      <c r="H5" s="2988">
        <v>1.2</v>
      </c>
      <c r="I5" s="2988">
        <v>1</v>
      </c>
      <c r="J5" s="2988">
        <v>1</v>
      </c>
      <c r="K5" s="2988">
        <v>1</v>
      </c>
      <c r="L5" s="2988">
        <v>1</v>
      </c>
      <c r="M5" s="2990">
        <v>1</v>
      </c>
    </row>
    <row r="6" spans="1:13">
      <c r="A6" s="2992" t="s">
        <v>2752</v>
      </c>
      <c r="B6" s="2993">
        <v>2.5</v>
      </c>
      <c r="C6" s="2993">
        <v>2.5</v>
      </c>
      <c r="D6" s="2993">
        <v>2</v>
      </c>
      <c r="E6" s="2993">
        <v>2</v>
      </c>
      <c r="F6" s="2993">
        <v>2</v>
      </c>
      <c r="G6" s="2993">
        <v>2</v>
      </c>
      <c r="H6" s="2993">
        <v>2</v>
      </c>
      <c r="I6" s="2994">
        <v>1.5</v>
      </c>
      <c r="J6" s="2994">
        <v>1.5</v>
      </c>
      <c r="K6" s="2994">
        <v>1.5</v>
      </c>
      <c r="L6" s="2994">
        <v>1.5</v>
      </c>
      <c r="M6" s="2995">
        <v>1.5</v>
      </c>
    </row>
    <row r="7" spans="1:13" ht="14.25" thickBot="1">
      <c r="A7" s="2996" t="s">
        <v>2724</v>
      </c>
      <c r="B7" s="2997">
        <v>2.5</v>
      </c>
      <c r="C7" s="2997">
        <v>2.5</v>
      </c>
      <c r="D7" s="2997">
        <v>2</v>
      </c>
      <c r="E7" s="2997">
        <v>2</v>
      </c>
      <c r="F7" s="2997">
        <v>2</v>
      </c>
      <c r="G7" s="2997">
        <v>2</v>
      </c>
      <c r="H7" s="2997">
        <v>2</v>
      </c>
      <c r="I7" s="2998">
        <v>1.5</v>
      </c>
      <c r="J7" s="2998">
        <v>1.5</v>
      </c>
      <c r="K7" s="2998">
        <v>1.5</v>
      </c>
      <c r="L7" s="2998">
        <v>1.5</v>
      </c>
      <c r="M7" s="2999">
        <v>1.5</v>
      </c>
    </row>
    <row r="8" spans="1:13">
      <c r="A8" s="973" t="s">
        <v>2753</v>
      </c>
      <c r="B8" s="3000">
        <v>80</v>
      </c>
      <c r="C8" s="3000">
        <v>80</v>
      </c>
      <c r="D8" s="3000">
        <v>70</v>
      </c>
      <c r="E8" s="3000">
        <v>70</v>
      </c>
      <c r="F8" s="3000">
        <v>70</v>
      </c>
      <c r="G8" s="3000">
        <v>70</v>
      </c>
      <c r="H8" s="3000">
        <v>70</v>
      </c>
      <c r="I8" s="3000">
        <v>60</v>
      </c>
      <c r="J8" s="3000">
        <v>60</v>
      </c>
      <c r="K8" s="3000">
        <v>60</v>
      </c>
      <c r="L8" s="3000">
        <v>60</v>
      </c>
      <c r="M8" s="3001">
        <v>60</v>
      </c>
    </row>
    <row r="9" spans="1:13">
      <c r="A9" s="956" t="s">
        <v>2754</v>
      </c>
      <c r="B9" s="3002">
        <v>70</v>
      </c>
      <c r="C9" s="3002">
        <v>70</v>
      </c>
      <c r="D9" s="3002">
        <v>60</v>
      </c>
      <c r="E9" s="3002">
        <v>60</v>
      </c>
      <c r="F9" s="3002">
        <v>60</v>
      </c>
      <c r="G9" s="3002">
        <v>60</v>
      </c>
      <c r="H9" s="3002">
        <v>60</v>
      </c>
      <c r="I9" s="3002">
        <v>50</v>
      </c>
      <c r="J9" s="3002">
        <v>50</v>
      </c>
      <c r="K9" s="3002">
        <v>50</v>
      </c>
      <c r="L9" s="3002">
        <v>50</v>
      </c>
      <c r="M9" s="3003">
        <v>50</v>
      </c>
    </row>
    <row r="10" spans="1:13">
      <c r="A10" s="956" t="s">
        <v>2755</v>
      </c>
      <c r="B10" s="3002">
        <v>20</v>
      </c>
      <c r="C10" s="3002">
        <v>20</v>
      </c>
      <c r="D10" s="3002">
        <v>15</v>
      </c>
      <c r="E10" s="3002">
        <v>15</v>
      </c>
      <c r="F10" s="3002">
        <v>15</v>
      </c>
      <c r="G10" s="3002">
        <v>15</v>
      </c>
      <c r="H10" s="3002">
        <v>15</v>
      </c>
      <c r="I10" s="3002">
        <v>10</v>
      </c>
      <c r="J10" s="3002">
        <v>10</v>
      </c>
      <c r="K10" s="3002">
        <v>10</v>
      </c>
      <c r="L10" s="3002">
        <v>10</v>
      </c>
      <c r="M10" s="3003">
        <v>10</v>
      </c>
    </row>
    <row r="11" spans="1:13">
      <c r="A11" s="956" t="s">
        <v>2756</v>
      </c>
      <c r="B11" s="3002">
        <v>30</v>
      </c>
      <c r="C11" s="3002">
        <v>30</v>
      </c>
      <c r="D11" s="3002">
        <v>25</v>
      </c>
      <c r="E11" s="3002">
        <v>25</v>
      </c>
      <c r="F11" s="3002">
        <v>25</v>
      </c>
      <c r="G11" s="3002">
        <v>25</v>
      </c>
      <c r="H11" s="3002">
        <v>25</v>
      </c>
      <c r="I11" s="3002">
        <v>20</v>
      </c>
      <c r="J11" s="3002">
        <v>20</v>
      </c>
      <c r="K11" s="3002">
        <v>20</v>
      </c>
      <c r="L11" s="3002">
        <v>20</v>
      </c>
      <c r="M11" s="3003">
        <v>20</v>
      </c>
    </row>
    <row r="12" spans="1:13">
      <c r="A12" s="956" t="s">
        <v>2757</v>
      </c>
      <c r="B12" s="3002">
        <v>45</v>
      </c>
      <c r="C12" s="3002">
        <v>45</v>
      </c>
      <c r="D12" s="3002">
        <v>40</v>
      </c>
      <c r="E12" s="3002">
        <v>40</v>
      </c>
      <c r="F12" s="3002">
        <v>40</v>
      </c>
      <c r="G12" s="3002">
        <v>40</v>
      </c>
      <c r="H12" s="3002">
        <v>40</v>
      </c>
      <c r="I12" s="3002">
        <v>35</v>
      </c>
      <c r="J12" s="3002">
        <v>35</v>
      </c>
      <c r="K12" s="3002">
        <v>35</v>
      </c>
      <c r="L12" s="3002">
        <v>35</v>
      </c>
      <c r="M12" s="3003">
        <v>35</v>
      </c>
    </row>
    <row r="13" spans="1:13">
      <c r="A13" s="956" t="s">
        <v>2758</v>
      </c>
      <c r="B13" s="3002">
        <v>60</v>
      </c>
      <c r="C13" s="3002">
        <v>60</v>
      </c>
      <c r="D13" s="3002">
        <v>50</v>
      </c>
      <c r="E13" s="3002">
        <v>50</v>
      </c>
      <c r="F13" s="3002">
        <v>50</v>
      </c>
      <c r="G13" s="3002">
        <v>50</v>
      </c>
      <c r="H13" s="3002">
        <v>50</v>
      </c>
      <c r="I13" s="3002">
        <v>40</v>
      </c>
      <c r="J13" s="3002">
        <v>40</v>
      </c>
      <c r="K13" s="3002">
        <v>40</v>
      </c>
      <c r="L13" s="3002">
        <v>40</v>
      </c>
      <c r="M13" s="3003">
        <v>40</v>
      </c>
    </row>
    <row r="14" spans="1:13">
      <c r="A14" s="956" t="s">
        <v>2759</v>
      </c>
      <c r="B14" s="3002">
        <v>50</v>
      </c>
      <c r="C14" s="3002">
        <v>50</v>
      </c>
      <c r="D14" s="3002">
        <v>40</v>
      </c>
      <c r="E14" s="3002">
        <v>40</v>
      </c>
      <c r="F14" s="3002">
        <v>40</v>
      </c>
      <c r="G14" s="3002">
        <v>40</v>
      </c>
      <c r="H14" s="3002">
        <v>40</v>
      </c>
      <c r="I14" s="3002">
        <v>30</v>
      </c>
      <c r="J14" s="3002">
        <v>30</v>
      </c>
      <c r="K14" s="3002">
        <v>30</v>
      </c>
      <c r="L14" s="3002">
        <v>30</v>
      </c>
      <c r="M14" s="3003">
        <v>30</v>
      </c>
    </row>
    <row r="15" spans="1:13">
      <c r="A15" s="974" t="s">
        <v>2760</v>
      </c>
      <c r="B15" s="3004">
        <v>20</v>
      </c>
      <c r="C15" s="3004">
        <v>20</v>
      </c>
      <c r="D15" s="3004">
        <v>15</v>
      </c>
      <c r="E15" s="3004">
        <v>15</v>
      </c>
      <c r="F15" s="3004">
        <v>15</v>
      </c>
      <c r="G15" s="3004">
        <v>15</v>
      </c>
      <c r="H15" s="3004">
        <v>15</v>
      </c>
      <c r="I15" s="3004">
        <v>10</v>
      </c>
      <c r="J15" s="3004">
        <v>10</v>
      </c>
      <c r="K15" s="3004">
        <v>10</v>
      </c>
      <c r="L15" s="3004">
        <v>10</v>
      </c>
      <c r="M15" s="3005">
        <v>10</v>
      </c>
    </row>
    <row r="16" spans="1:13">
      <c r="A16" s="957" t="s">
        <v>875</v>
      </c>
      <c r="B16" s="975">
        <v>0</v>
      </c>
      <c r="C16" s="975">
        <v>0</v>
      </c>
      <c r="D16" s="975">
        <v>0</v>
      </c>
      <c r="E16" s="975">
        <v>0</v>
      </c>
      <c r="F16" s="975">
        <v>0</v>
      </c>
      <c r="G16" s="975">
        <v>0</v>
      </c>
      <c r="H16" s="975">
        <v>0</v>
      </c>
      <c r="I16" s="975">
        <v>0</v>
      </c>
      <c r="J16" s="975">
        <v>0</v>
      </c>
      <c r="K16" s="975">
        <v>0</v>
      </c>
      <c r="L16" s="975">
        <v>0</v>
      </c>
      <c r="M16" s="975">
        <v>0</v>
      </c>
    </row>
    <row r="17" spans="1:13">
      <c r="A17" s="2401" t="s">
        <v>2761</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6" t="s">
        <v>1158</v>
      </c>
      <c r="B18" s="976"/>
      <c r="C18" s="977"/>
      <c r="D18" s="977"/>
      <c r="E18" s="976"/>
      <c r="F18" s="977"/>
      <c r="G18" s="977"/>
    </row>
    <row r="19" spans="1:13" ht="14.25" thickBot="1">
      <c r="A19" s="3004" t="s">
        <v>2443</v>
      </c>
      <c r="B19" s="3006" t="s">
        <v>2444</v>
      </c>
      <c r="C19" s="3007" t="s">
        <v>2445</v>
      </c>
      <c r="D19" s="3008"/>
      <c r="E19" s="3002" t="s">
        <v>2446</v>
      </c>
      <c r="F19" s="979"/>
      <c r="G19" s="979"/>
    </row>
    <row r="20" spans="1:13">
      <c r="A20" s="3663" t="s">
        <v>2437</v>
      </c>
      <c r="B20" s="3666" t="s">
        <v>2447</v>
      </c>
      <c r="C20" s="3009" t="s">
        <v>2448</v>
      </c>
      <c r="D20" s="3010"/>
      <c r="E20" s="3011">
        <v>1</v>
      </c>
      <c r="F20" s="3012" t="s">
        <v>2449</v>
      </c>
      <c r="G20" s="981"/>
    </row>
    <row r="21" spans="1:13">
      <c r="A21" s="3664"/>
      <c r="B21" s="3667"/>
      <c r="C21" s="3013" t="s">
        <v>2450</v>
      </c>
      <c r="D21" s="3014"/>
      <c r="E21" s="3015">
        <v>1</v>
      </c>
      <c r="F21" s="3012" t="s">
        <v>2451</v>
      </c>
      <c r="G21" s="981"/>
    </row>
    <row r="22" spans="1:13">
      <c r="A22" s="3664"/>
      <c r="B22" s="3667"/>
      <c r="C22" s="3013" t="s">
        <v>2452</v>
      </c>
      <c r="D22" s="3014"/>
      <c r="E22" s="3015">
        <v>0.9</v>
      </c>
      <c r="F22" s="3012" t="s">
        <v>2453</v>
      </c>
      <c r="G22" s="981"/>
    </row>
    <row r="23" spans="1:13">
      <c r="A23" s="3664"/>
      <c r="B23" s="3667"/>
      <c r="C23" s="3013" t="s">
        <v>2454</v>
      </c>
      <c r="D23" s="3014"/>
      <c r="E23" s="3015">
        <v>0.9</v>
      </c>
      <c r="F23" s="3012" t="s">
        <v>2455</v>
      </c>
      <c r="G23" s="981"/>
    </row>
    <row r="24" spans="1:13">
      <c r="A24" s="3664"/>
      <c r="B24" s="3667"/>
      <c r="C24" s="3013" t="s">
        <v>2456</v>
      </c>
      <c r="D24" s="3014"/>
      <c r="E24" s="3015">
        <v>0.8</v>
      </c>
      <c r="F24" s="3012" t="s">
        <v>2457</v>
      </c>
      <c r="G24" s="981"/>
    </row>
    <row r="25" spans="1:13" ht="14.25" thickBot="1">
      <c r="A25" s="3665"/>
      <c r="B25" s="3668"/>
      <c r="C25" s="3016" t="s">
        <v>2458</v>
      </c>
      <c r="D25" s="3017"/>
      <c r="E25" s="3018">
        <v>0.8</v>
      </c>
      <c r="F25" s="3012" t="s">
        <v>2459</v>
      </c>
      <c r="G25" s="981"/>
    </row>
    <row r="26" spans="1:13" ht="14.25" thickBot="1">
      <c r="A26" s="3019" t="s">
        <v>2438</v>
      </c>
      <c r="B26" s="3020" t="s">
        <v>2447</v>
      </c>
      <c r="C26" s="3021" t="s">
        <v>2460</v>
      </c>
      <c r="D26" s="3022"/>
      <c r="E26" s="3023">
        <v>1</v>
      </c>
      <c r="F26" s="3012" t="s">
        <v>2461</v>
      </c>
      <c r="G26" s="981"/>
    </row>
    <row r="27" spans="1:13">
      <c r="A27" s="3669" t="s">
        <v>2442</v>
      </c>
      <c r="B27" s="3666" t="s">
        <v>2442</v>
      </c>
      <c r="C27" s="3009" t="s">
        <v>2462</v>
      </c>
      <c r="D27" s="3010"/>
      <c r="E27" s="3011">
        <v>1</v>
      </c>
      <c r="F27" s="3012" t="s">
        <v>2463</v>
      </c>
      <c r="G27" s="981"/>
    </row>
    <row r="28" spans="1:13">
      <c r="A28" s="3670"/>
      <c r="B28" s="3667"/>
      <c r="C28" s="3013" t="s">
        <v>2464</v>
      </c>
      <c r="D28" s="3014"/>
      <c r="E28" s="3015">
        <v>1</v>
      </c>
      <c r="F28" s="3012" t="s">
        <v>2465</v>
      </c>
      <c r="G28" s="981"/>
    </row>
    <row r="29" spans="1:13">
      <c r="A29" s="3670"/>
      <c r="B29" s="3667"/>
      <c r="C29" s="3013" t="s">
        <v>2466</v>
      </c>
      <c r="D29" s="3014"/>
      <c r="E29" s="3015">
        <v>0.8</v>
      </c>
      <c r="F29" s="3012" t="s">
        <v>2467</v>
      </c>
      <c r="G29" s="981"/>
    </row>
    <row r="30" spans="1:13">
      <c r="A30" s="3670"/>
      <c r="B30" s="3667"/>
      <c r="C30" s="3013" t="s">
        <v>2468</v>
      </c>
      <c r="D30" s="3014"/>
      <c r="E30" s="3015">
        <v>0.8</v>
      </c>
      <c r="F30" s="3012" t="s">
        <v>2469</v>
      </c>
      <c r="G30" s="981"/>
    </row>
    <row r="31" spans="1:13">
      <c r="A31" s="3670"/>
      <c r="B31" s="3667"/>
      <c r="C31" s="3013" t="s">
        <v>2470</v>
      </c>
      <c r="D31" s="3014"/>
      <c r="E31" s="3015">
        <v>0.8</v>
      </c>
      <c r="F31" s="3012" t="s">
        <v>2471</v>
      </c>
      <c r="G31" s="981"/>
    </row>
    <row r="32" spans="1:13">
      <c r="A32" s="3670"/>
      <c r="B32" s="3667"/>
      <c r="C32" s="3013" t="s">
        <v>2472</v>
      </c>
      <c r="D32" s="3014"/>
      <c r="E32" s="3015">
        <v>0.7</v>
      </c>
      <c r="F32" s="3012" t="s">
        <v>2473</v>
      </c>
      <c r="G32" s="981"/>
    </row>
    <row r="33" spans="1:7">
      <c r="A33" s="3670"/>
      <c r="B33" s="3667"/>
      <c r="C33" s="3013" t="s">
        <v>2474</v>
      </c>
      <c r="D33" s="3014"/>
      <c r="E33" s="3015">
        <v>0.8</v>
      </c>
      <c r="F33" s="3012" t="s">
        <v>2475</v>
      </c>
      <c r="G33" s="981"/>
    </row>
    <row r="34" spans="1:7">
      <c r="A34" s="3670"/>
      <c r="B34" s="3667"/>
      <c r="C34" s="3013" t="s">
        <v>2476</v>
      </c>
      <c r="D34" s="3014"/>
      <c r="E34" s="3015">
        <v>0.6</v>
      </c>
      <c r="F34" s="3012" t="s">
        <v>2477</v>
      </c>
      <c r="G34" s="981"/>
    </row>
    <row r="35" spans="1:7">
      <c r="A35" s="3670"/>
      <c r="B35" s="3667"/>
      <c r="C35" s="3013" t="s">
        <v>2478</v>
      </c>
      <c r="D35" s="3014"/>
      <c r="E35" s="3015">
        <v>0.2</v>
      </c>
      <c r="F35" s="3012" t="s">
        <v>2479</v>
      </c>
      <c r="G35" s="981"/>
    </row>
    <row r="36" spans="1:7">
      <c r="A36" s="3670"/>
      <c r="B36" s="3667"/>
      <c r="C36" s="3013" t="s">
        <v>2480</v>
      </c>
      <c r="D36" s="3014"/>
      <c r="E36" s="3015">
        <v>0.2</v>
      </c>
      <c r="F36" s="3012" t="s">
        <v>2481</v>
      </c>
      <c r="G36" s="981"/>
    </row>
    <row r="37" spans="1:7">
      <c r="A37" s="3670"/>
      <c r="B37" s="3672" t="s">
        <v>2482</v>
      </c>
      <c r="C37" s="3013" t="s">
        <v>2483</v>
      </c>
      <c r="D37" s="3014"/>
      <c r="E37" s="3015">
        <v>0.6</v>
      </c>
      <c r="F37" s="3012" t="s">
        <v>2484</v>
      </c>
      <c r="G37" s="981"/>
    </row>
    <row r="38" spans="1:7">
      <c r="A38" s="3670"/>
      <c r="B38" s="3667"/>
      <c r="C38" s="3013" t="s">
        <v>2485</v>
      </c>
      <c r="D38" s="3014"/>
      <c r="E38" s="3015">
        <v>0.6</v>
      </c>
      <c r="F38" s="3012" t="s">
        <v>2486</v>
      </c>
      <c r="G38" s="981"/>
    </row>
    <row r="39" spans="1:7" ht="14.25" thickBot="1">
      <c r="A39" s="3671"/>
      <c r="B39" s="3668"/>
      <c r="C39" s="3016" t="s">
        <v>2487</v>
      </c>
      <c r="D39" s="3017"/>
      <c r="E39" s="3018">
        <v>0.6</v>
      </c>
      <c r="F39" s="3012" t="s">
        <v>2488</v>
      </c>
      <c r="G39" s="981"/>
    </row>
    <row r="40" spans="1:7" ht="14.25" thickBot="1">
      <c r="A40" s="3019" t="s">
        <v>2439</v>
      </c>
      <c r="B40" s="3020" t="s">
        <v>2439</v>
      </c>
      <c r="C40" s="3021" t="s">
        <v>2489</v>
      </c>
      <c r="D40" s="3022"/>
      <c r="E40" s="3023">
        <v>1</v>
      </c>
      <c r="F40" s="3012" t="s">
        <v>2490</v>
      </c>
      <c r="G40" s="981"/>
    </row>
    <row r="41" spans="1:7">
      <c r="A41" s="3663" t="s">
        <v>2440</v>
      </c>
      <c r="B41" s="3666" t="s">
        <v>2491</v>
      </c>
      <c r="C41" s="3009" t="s">
        <v>2492</v>
      </c>
      <c r="D41" s="3010"/>
      <c r="E41" s="3011">
        <v>1</v>
      </c>
      <c r="F41" s="3012" t="s">
        <v>2493</v>
      </c>
      <c r="G41" s="981"/>
    </row>
    <row r="42" spans="1:7">
      <c r="A42" s="3664"/>
      <c r="B42" s="3667"/>
      <c r="C42" s="3013" t="s">
        <v>2494</v>
      </c>
      <c r="D42" s="3014"/>
      <c r="E42" s="3015">
        <v>1</v>
      </c>
      <c r="F42" s="3012" t="s">
        <v>2495</v>
      </c>
      <c r="G42" s="981"/>
    </row>
    <row r="43" spans="1:7">
      <c r="A43" s="3664"/>
      <c r="B43" s="3673"/>
      <c r="C43" s="3013" t="s">
        <v>2496</v>
      </c>
      <c r="D43" s="3014"/>
      <c r="E43" s="3015">
        <v>1.5</v>
      </c>
      <c r="F43" s="3012" t="s">
        <v>2497</v>
      </c>
      <c r="G43" s="981"/>
    </row>
    <row r="44" spans="1:7">
      <c r="A44" s="3664"/>
      <c r="B44" s="3024" t="s">
        <v>2442</v>
      </c>
      <c r="C44" s="3013" t="s">
        <v>2441</v>
      </c>
      <c r="D44" s="3014"/>
      <c r="E44" s="3015">
        <v>2</v>
      </c>
      <c r="F44" s="3012" t="s">
        <v>2498</v>
      </c>
      <c r="G44" s="981"/>
    </row>
    <row r="45" spans="1:7">
      <c r="A45" s="3664"/>
      <c r="B45" s="3672" t="s">
        <v>2499</v>
      </c>
      <c r="C45" s="3013" t="s">
        <v>2500</v>
      </c>
      <c r="D45" s="3014"/>
      <c r="E45" s="3015">
        <v>1</v>
      </c>
      <c r="F45" s="3012" t="s">
        <v>2501</v>
      </c>
      <c r="G45" s="981"/>
    </row>
    <row r="46" spans="1:7">
      <c r="A46" s="3664"/>
      <c r="B46" s="3667"/>
      <c r="C46" s="3013" t="s">
        <v>2502</v>
      </c>
      <c r="D46" s="3014"/>
      <c r="E46" s="3015">
        <v>1</v>
      </c>
      <c r="F46" s="3012" t="s">
        <v>2503</v>
      </c>
      <c r="G46" s="981"/>
    </row>
    <row r="47" spans="1:7">
      <c r="A47" s="3664"/>
      <c r="B47" s="3667"/>
      <c r="C47" s="3013" t="s">
        <v>2504</v>
      </c>
      <c r="D47" s="3014"/>
      <c r="E47" s="3015">
        <v>1</v>
      </c>
      <c r="F47" s="3012" t="s">
        <v>2505</v>
      </c>
      <c r="G47" s="981"/>
    </row>
    <row r="48" spans="1:7">
      <c r="A48" s="3664"/>
      <c r="B48" s="3667"/>
      <c r="C48" s="3013" t="s">
        <v>2506</v>
      </c>
      <c r="D48" s="3014"/>
      <c r="E48" s="3015">
        <v>1</v>
      </c>
      <c r="F48" s="3012" t="s">
        <v>2507</v>
      </c>
      <c r="G48" s="981"/>
    </row>
    <row r="49" spans="1:9">
      <c r="A49" s="3664"/>
      <c r="B49" s="3667"/>
      <c r="C49" s="3013" t="s">
        <v>2508</v>
      </c>
      <c r="D49" s="3014"/>
      <c r="E49" s="3015">
        <v>1</v>
      </c>
      <c r="F49" s="3012" t="s">
        <v>2509</v>
      </c>
      <c r="G49" s="981"/>
    </row>
    <row r="50" spans="1:9">
      <c r="A50" s="3664"/>
      <c r="B50" s="3667"/>
      <c r="C50" s="3013" t="s">
        <v>2510</v>
      </c>
      <c r="D50" s="3014"/>
      <c r="E50" s="3015">
        <v>1</v>
      </c>
      <c r="F50" s="3012" t="s">
        <v>2511</v>
      </c>
      <c r="G50" s="981"/>
    </row>
    <row r="51" spans="1:9" ht="14.25" thickBot="1">
      <c r="A51" s="3665"/>
      <c r="B51" s="3668"/>
      <c r="C51" s="3016" t="s">
        <v>2512</v>
      </c>
      <c r="D51" s="3017"/>
      <c r="E51" s="3018">
        <v>1</v>
      </c>
      <c r="F51" s="3012" t="s">
        <v>2513</v>
      </c>
      <c r="G51" s="981"/>
    </row>
    <row r="52" spans="1:9">
      <c r="A52" s="1325"/>
      <c r="B52" s="1325"/>
      <c r="C52" s="1325"/>
      <c r="D52" s="1325"/>
      <c r="E52" s="1325"/>
      <c r="F52" s="980"/>
      <c r="G52" s="980"/>
    </row>
    <row r="54" spans="1:9">
      <c r="A54" s="982"/>
      <c r="B54" s="957" t="s">
        <v>1160</v>
      </c>
      <c r="C54" s="957" t="s">
        <v>1160</v>
      </c>
      <c r="D54" s="957" t="s">
        <v>1160</v>
      </c>
      <c r="E54" s="996" t="s">
        <v>1160</v>
      </c>
      <c r="F54" s="996" t="s">
        <v>1161</v>
      </c>
      <c r="G54" s="996" t="s">
        <v>1160</v>
      </c>
      <c r="I54" s="955"/>
    </row>
    <row r="55" spans="1:9">
      <c r="A55" s="983"/>
      <c r="B55" s="996" t="s">
        <v>927</v>
      </c>
      <c r="C55" s="996" t="s">
        <v>927</v>
      </c>
      <c r="D55" s="996" t="s">
        <v>927</v>
      </c>
      <c r="E55" s="957" t="s">
        <v>949</v>
      </c>
      <c r="F55" s="957" t="s">
        <v>1156</v>
      </c>
      <c r="G55" s="957" t="s">
        <v>1162</v>
      </c>
      <c r="I55" s="955"/>
    </row>
    <row r="56" spans="1:9">
      <c r="A56" s="984"/>
      <c r="B56" s="957">
        <v>1</v>
      </c>
      <c r="C56" s="957">
        <v>2</v>
      </c>
      <c r="D56" s="957">
        <v>3</v>
      </c>
      <c r="E56" s="978" t="s">
        <v>2762</v>
      </c>
      <c r="F56" s="978" t="s">
        <v>2762</v>
      </c>
      <c r="G56" s="978" t="s">
        <v>2762</v>
      </c>
      <c r="I56" s="955"/>
    </row>
    <row r="57" spans="1:9">
      <c r="A57" s="995" t="s">
        <v>834</v>
      </c>
      <c r="B57" s="3002">
        <v>0.7</v>
      </c>
      <c r="C57" s="3002">
        <v>0.4</v>
      </c>
      <c r="D57" s="3002">
        <v>0.3</v>
      </c>
      <c r="E57" s="3008">
        <v>0.3</v>
      </c>
      <c r="F57" s="3002">
        <v>0.3</v>
      </c>
      <c r="G57" s="3002">
        <v>0.2</v>
      </c>
      <c r="I57" s="955"/>
    </row>
    <row r="58" spans="1:9">
      <c r="A58" s="995" t="s">
        <v>835</v>
      </c>
      <c r="B58" s="3002">
        <v>0.7</v>
      </c>
      <c r="C58" s="3002">
        <v>0.4</v>
      </c>
      <c r="D58" s="3002">
        <v>0.3</v>
      </c>
      <c r="E58" s="3002">
        <v>0.3</v>
      </c>
      <c r="F58" s="3002">
        <v>0.3</v>
      </c>
      <c r="G58" s="3002">
        <v>0.2</v>
      </c>
      <c r="I58" s="955"/>
    </row>
    <row r="59" spans="1:9">
      <c r="A59" s="995" t="s">
        <v>836</v>
      </c>
      <c r="B59" s="3002">
        <v>0.6</v>
      </c>
      <c r="C59" s="3002">
        <v>0.3</v>
      </c>
      <c r="D59" s="3002">
        <v>0.25</v>
      </c>
      <c r="E59" s="3002">
        <v>0.25</v>
      </c>
      <c r="F59" s="3002">
        <v>0.25</v>
      </c>
      <c r="G59" s="3002">
        <v>0.15</v>
      </c>
      <c r="I59" s="955"/>
    </row>
    <row r="60" spans="1:9">
      <c r="A60" s="995" t="s">
        <v>837</v>
      </c>
      <c r="B60" s="3002">
        <v>0.6</v>
      </c>
      <c r="C60" s="3002">
        <v>0.3</v>
      </c>
      <c r="D60" s="3002">
        <v>0.25</v>
      </c>
      <c r="E60" s="3002">
        <v>0.25</v>
      </c>
      <c r="F60" s="3002">
        <v>0.25</v>
      </c>
      <c r="G60" s="3002">
        <v>0.15</v>
      </c>
      <c r="I60" s="955"/>
    </row>
    <row r="61" spans="1:9" s="971" customFormat="1">
      <c r="A61" s="995" t="s">
        <v>838</v>
      </c>
      <c r="B61" s="3002">
        <v>0.6</v>
      </c>
      <c r="C61" s="3002">
        <v>0.3</v>
      </c>
      <c r="D61" s="3002">
        <v>0.25</v>
      </c>
      <c r="E61" s="3002">
        <v>0.25</v>
      </c>
      <c r="F61" s="3002">
        <v>0.25</v>
      </c>
      <c r="G61" s="3002">
        <v>0.15</v>
      </c>
    </row>
    <row r="62" spans="1:9" s="971" customFormat="1">
      <c r="A62" s="995" t="s">
        <v>839</v>
      </c>
      <c r="B62" s="3002">
        <v>0.6</v>
      </c>
      <c r="C62" s="3002">
        <v>0.3</v>
      </c>
      <c r="D62" s="3002">
        <v>0.25</v>
      </c>
      <c r="E62" s="3002">
        <v>0.25</v>
      </c>
      <c r="F62" s="3002">
        <v>0.25</v>
      </c>
      <c r="G62" s="3002">
        <v>0.15</v>
      </c>
    </row>
    <row r="63" spans="1:9" s="971" customFormat="1">
      <c r="A63" s="995" t="s">
        <v>840</v>
      </c>
      <c r="B63" s="3002">
        <v>0.6</v>
      </c>
      <c r="C63" s="3002">
        <v>0.3</v>
      </c>
      <c r="D63" s="3002">
        <v>0.25</v>
      </c>
      <c r="E63" s="3002">
        <v>0.25</v>
      </c>
      <c r="F63" s="3002">
        <v>0.25</v>
      </c>
      <c r="G63" s="3002">
        <v>0.15</v>
      </c>
    </row>
    <row r="64" spans="1:9" s="971" customFormat="1">
      <c r="A64" s="995" t="s">
        <v>841</v>
      </c>
      <c r="B64" s="3002">
        <v>0.5</v>
      </c>
      <c r="C64" s="3002">
        <v>0.2</v>
      </c>
      <c r="D64" s="3002">
        <v>0.2</v>
      </c>
      <c r="E64" s="3002">
        <v>0.2</v>
      </c>
      <c r="F64" s="3002">
        <v>0.2</v>
      </c>
      <c r="G64" s="3002">
        <v>0.1</v>
      </c>
    </row>
    <row r="65" spans="1:8" s="971" customFormat="1">
      <c r="A65" s="995" t="s">
        <v>842</v>
      </c>
      <c r="B65" s="3002">
        <v>0.5</v>
      </c>
      <c r="C65" s="3002">
        <v>0.2</v>
      </c>
      <c r="D65" s="3002">
        <v>0.2</v>
      </c>
      <c r="E65" s="3002">
        <v>0.2</v>
      </c>
      <c r="F65" s="3002">
        <v>0.2</v>
      </c>
      <c r="G65" s="3002">
        <v>0.1</v>
      </c>
    </row>
    <row r="66" spans="1:8" s="971" customFormat="1">
      <c r="A66" s="995" t="s">
        <v>843</v>
      </c>
      <c r="B66" s="3002">
        <v>0.5</v>
      </c>
      <c r="C66" s="3002">
        <v>0.2</v>
      </c>
      <c r="D66" s="3002">
        <v>0.2</v>
      </c>
      <c r="E66" s="3002">
        <v>0.2</v>
      </c>
      <c r="F66" s="3002">
        <v>0.2</v>
      </c>
      <c r="G66" s="3002">
        <v>0.1</v>
      </c>
    </row>
    <row r="67" spans="1:8" s="971" customFormat="1">
      <c r="A67" s="995" t="s">
        <v>844</v>
      </c>
      <c r="B67" s="3002">
        <v>0.5</v>
      </c>
      <c r="C67" s="3002">
        <v>0.2</v>
      </c>
      <c r="D67" s="3002">
        <v>0.2</v>
      </c>
      <c r="E67" s="3002">
        <v>0.2</v>
      </c>
      <c r="F67" s="3002">
        <v>0.2</v>
      </c>
      <c r="G67" s="3002">
        <v>0.1</v>
      </c>
    </row>
    <row r="68" spans="1:8" s="971" customFormat="1">
      <c r="A68" s="995" t="s">
        <v>845</v>
      </c>
      <c r="B68" s="3002">
        <v>0.5</v>
      </c>
      <c r="C68" s="3002">
        <v>0.2</v>
      </c>
      <c r="D68" s="3002">
        <v>0.2</v>
      </c>
      <c r="E68" s="3002">
        <v>0.2</v>
      </c>
      <c r="F68" s="3002">
        <v>0.2</v>
      </c>
      <c r="G68" s="3002">
        <v>0.1</v>
      </c>
    </row>
    <row r="70" spans="1:8" s="971" customFormat="1">
      <c r="A70" s="981"/>
      <c r="B70" s="976"/>
      <c r="C70" s="976"/>
      <c r="D70" s="976" t="s">
        <v>1163</v>
      </c>
      <c r="E70" s="976"/>
      <c r="F70" s="976"/>
    </row>
    <row r="71" spans="1:8" s="971" customFormat="1">
      <c r="A71" s="997" t="s">
        <v>1164</v>
      </c>
      <c r="B71" s="997" t="s">
        <v>1165</v>
      </c>
      <c r="C71" s="997" t="s">
        <v>1166</v>
      </c>
      <c r="D71" s="997" t="s">
        <v>1167</v>
      </c>
      <c r="E71" s="997" t="s">
        <v>1168</v>
      </c>
      <c r="F71" s="997" t="s">
        <v>1169</v>
      </c>
    </row>
    <row r="72" spans="1:8" s="971" customFormat="1">
      <c r="A72" s="997"/>
      <c r="B72" s="997"/>
      <c r="C72" s="997" t="s">
        <v>2514</v>
      </c>
      <c r="D72" s="997"/>
      <c r="E72" s="985" t="s">
        <v>1157</v>
      </c>
      <c r="F72" s="997" t="s">
        <v>1157</v>
      </c>
    </row>
    <row r="73" spans="1:8" s="971" customFormat="1">
      <c r="A73" s="3024">
        <v>1</v>
      </c>
      <c r="B73" s="3672" t="s">
        <v>2515</v>
      </c>
      <c r="C73" s="3002" t="s">
        <v>2516</v>
      </c>
      <c r="D73" s="3002" t="s">
        <v>2517</v>
      </c>
      <c r="E73" s="3025">
        <v>0.2</v>
      </c>
      <c r="F73" s="3024">
        <v>25</v>
      </c>
      <c r="H73" s="971">
        <f>SUMIF(C71:C139,基准地价!C8,E71:E139)</f>
        <v>0</v>
      </c>
    </row>
    <row r="74" spans="1:8" s="971" customFormat="1" ht="24">
      <c r="A74" s="3024">
        <v>2</v>
      </c>
      <c r="B74" s="3667"/>
      <c r="C74" s="3002" t="s">
        <v>2518</v>
      </c>
      <c r="D74" s="3002" t="s">
        <v>2519</v>
      </c>
      <c r="E74" s="3025">
        <v>0.2</v>
      </c>
      <c r="F74" s="3024">
        <v>25</v>
      </c>
    </row>
    <row r="75" spans="1:8" s="971" customFormat="1" ht="24">
      <c r="A75" s="3024">
        <v>3</v>
      </c>
      <c r="B75" s="3667"/>
      <c r="C75" s="3002" t="s">
        <v>2520</v>
      </c>
      <c r="D75" s="3002" t="s">
        <v>2521</v>
      </c>
      <c r="E75" s="3025">
        <v>0.2</v>
      </c>
      <c r="F75" s="3024">
        <v>25</v>
      </c>
    </row>
    <row r="76" spans="1:8" s="971" customFormat="1">
      <c r="A76" s="3024">
        <v>4</v>
      </c>
      <c r="B76" s="3667"/>
      <c r="C76" s="3002" t="s">
        <v>2522</v>
      </c>
      <c r="D76" s="3002" t="s">
        <v>2523</v>
      </c>
      <c r="E76" s="3025">
        <v>0.15</v>
      </c>
      <c r="F76" s="3024">
        <v>20</v>
      </c>
    </row>
    <row r="77" spans="1:8" s="971" customFormat="1" ht="24">
      <c r="A77" s="3024">
        <v>5</v>
      </c>
      <c r="B77" s="3667"/>
      <c r="C77" s="3002" t="s">
        <v>2524</v>
      </c>
      <c r="D77" s="3002" t="s">
        <v>2525</v>
      </c>
      <c r="E77" s="3025">
        <v>0.15</v>
      </c>
      <c r="F77" s="3024">
        <v>20</v>
      </c>
    </row>
    <row r="78" spans="1:8" s="971" customFormat="1" ht="24">
      <c r="A78" s="3024">
        <v>6</v>
      </c>
      <c r="B78" s="3667"/>
      <c r="C78" s="3002" t="s">
        <v>2526</v>
      </c>
      <c r="D78" s="3002" t="s">
        <v>2527</v>
      </c>
      <c r="E78" s="3025">
        <v>0.15</v>
      </c>
      <c r="F78" s="3024">
        <v>20</v>
      </c>
    </row>
    <row r="79" spans="1:8" s="971" customFormat="1" ht="24">
      <c r="A79" s="3024">
        <v>7</v>
      </c>
      <c r="B79" s="3667"/>
      <c r="C79" s="3002" t="s">
        <v>2528</v>
      </c>
      <c r="D79" s="3002" t="s">
        <v>2529</v>
      </c>
      <c r="E79" s="3025">
        <v>0.15</v>
      </c>
      <c r="F79" s="3024">
        <v>20</v>
      </c>
    </row>
    <row r="80" spans="1:8" s="971" customFormat="1" ht="24">
      <c r="A80" s="3024">
        <v>8</v>
      </c>
      <c r="B80" s="3667"/>
      <c r="C80" s="3002" t="s">
        <v>2530</v>
      </c>
      <c r="D80" s="3002" t="s">
        <v>2531</v>
      </c>
      <c r="E80" s="3025">
        <v>0.1</v>
      </c>
      <c r="F80" s="3024">
        <v>15</v>
      </c>
    </row>
    <row r="81" spans="1:6" s="971" customFormat="1" ht="24">
      <c r="A81" s="3024">
        <v>9</v>
      </c>
      <c r="B81" s="3667"/>
      <c r="C81" s="3002" t="s">
        <v>2532</v>
      </c>
      <c r="D81" s="3002" t="s">
        <v>2533</v>
      </c>
      <c r="E81" s="3025">
        <v>0.1</v>
      </c>
      <c r="F81" s="3024">
        <v>15</v>
      </c>
    </row>
    <row r="82" spans="1:6" s="971" customFormat="1" ht="24">
      <c r="A82" s="3024">
        <v>10</v>
      </c>
      <c r="B82" s="3667"/>
      <c r="C82" s="3002" t="s">
        <v>2534</v>
      </c>
      <c r="D82" s="3002" t="s">
        <v>2535</v>
      </c>
      <c r="E82" s="3025">
        <v>0.1</v>
      </c>
      <c r="F82" s="3024">
        <v>15</v>
      </c>
    </row>
    <row r="83" spans="1:6" s="971" customFormat="1" ht="24">
      <c r="A83" s="3024">
        <v>11</v>
      </c>
      <c r="B83" s="3667"/>
      <c r="C83" s="3002" t="s">
        <v>2536</v>
      </c>
      <c r="D83" s="3002" t="s">
        <v>2537</v>
      </c>
      <c r="E83" s="3025">
        <v>0.1</v>
      </c>
      <c r="F83" s="3024">
        <v>15</v>
      </c>
    </row>
    <row r="84" spans="1:6" s="971" customFormat="1" ht="24">
      <c r="A84" s="3024">
        <v>12</v>
      </c>
      <c r="B84" s="3667"/>
      <c r="C84" s="3002" t="s">
        <v>2538</v>
      </c>
      <c r="D84" s="3002" t="s">
        <v>2539</v>
      </c>
      <c r="E84" s="3025">
        <v>0.1</v>
      </c>
      <c r="F84" s="3024">
        <v>15</v>
      </c>
    </row>
    <row r="85" spans="1:6" s="971" customFormat="1">
      <c r="A85" s="3024">
        <v>13</v>
      </c>
      <c r="B85" s="3667"/>
      <c r="C85" s="3002" t="s">
        <v>2540</v>
      </c>
      <c r="D85" s="3002" t="s">
        <v>2541</v>
      </c>
      <c r="E85" s="3025">
        <v>0.1</v>
      </c>
      <c r="F85" s="3024">
        <v>15</v>
      </c>
    </row>
    <row r="86" spans="1:6" s="971" customFormat="1">
      <c r="A86" s="3024">
        <v>14</v>
      </c>
      <c r="B86" s="3667"/>
      <c r="C86" s="3002" t="s">
        <v>2542</v>
      </c>
      <c r="D86" s="3002" t="s">
        <v>2543</v>
      </c>
      <c r="E86" s="3025">
        <v>0.1</v>
      </c>
      <c r="F86" s="3024">
        <v>15</v>
      </c>
    </row>
    <row r="87" spans="1:6" s="971" customFormat="1">
      <c r="A87" s="3024">
        <v>15</v>
      </c>
      <c r="B87" s="3667"/>
      <c r="C87" s="3002" t="s">
        <v>2544</v>
      </c>
      <c r="D87" s="3002" t="s">
        <v>2545</v>
      </c>
      <c r="E87" s="3025">
        <v>0.1</v>
      </c>
      <c r="F87" s="3024">
        <v>15</v>
      </c>
    </row>
    <row r="88" spans="1:6" s="971" customFormat="1" ht="24">
      <c r="A88" s="3024">
        <v>16</v>
      </c>
      <c r="B88" s="3667"/>
      <c r="C88" s="3002" t="s">
        <v>2546</v>
      </c>
      <c r="D88" s="3002" t="s">
        <v>2547</v>
      </c>
      <c r="E88" s="3025">
        <v>0.1</v>
      </c>
      <c r="F88" s="3024">
        <v>15</v>
      </c>
    </row>
    <row r="89" spans="1:6" s="971" customFormat="1" ht="24">
      <c r="A89" s="3024">
        <v>17</v>
      </c>
      <c r="B89" s="3673"/>
      <c r="C89" s="3002" t="s">
        <v>2548</v>
      </c>
      <c r="D89" s="3002" t="s">
        <v>2549</v>
      </c>
      <c r="E89" s="3025">
        <v>0.1</v>
      </c>
      <c r="F89" s="3024">
        <v>15</v>
      </c>
    </row>
    <row r="90" spans="1:6" s="971" customFormat="1">
      <c r="A90" s="3024">
        <v>18</v>
      </c>
      <c r="B90" s="3672" t="s">
        <v>2550</v>
      </c>
      <c r="C90" s="3002" t="s">
        <v>2551</v>
      </c>
      <c r="D90" s="3002" t="s">
        <v>2552</v>
      </c>
      <c r="E90" s="3025">
        <v>0.2</v>
      </c>
      <c r="F90" s="3024">
        <v>25</v>
      </c>
    </row>
    <row r="91" spans="1:6" s="971" customFormat="1" ht="24">
      <c r="A91" s="3024">
        <v>19</v>
      </c>
      <c r="B91" s="3667"/>
      <c r="C91" s="3002" t="s">
        <v>2553</v>
      </c>
      <c r="D91" s="3002" t="s">
        <v>2554</v>
      </c>
      <c r="E91" s="3025">
        <v>0.2</v>
      </c>
      <c r="F91" s="3024">
        <v>25</v>
      </c>
    </row>
    <row r="92" spans="1:6" s="971" customFormat="1">
      <c r="A92" s="3024">
        <v>20</v>
      </c>
      <c r="B92" s="3667"/>
      <c r="C92" s="3002" t="s">
        <v>2555</v>
      </c>
      <c r="D92" s="3002" t="s">
        <v>2556</v>
      </c>
      <c r="E92" s="3025">
        <v>0.15</v>
      </c>
      <c r="F92" s="3024">
        <v>20</v>
      </c>
    </row>
    <row r="93" spans="1:6" s="971" customFormat="1" ht="24">
      <c r="A93" s="3024">
        <v>21</v>
      </c>
      <c r="B93" s="3667"/>
      <c r="C93" s="3002" t="s">
        <v>2557</v>
      </c>
      <c r="D93" s="3002" t="s">
        <v>2558</v>
      </c>
      <c r="E93" s="3025">
        <v>0.15</v>
      </c>
      <c r="F93" s="3024">
        <v>20</v>
      </c>
    </row>
    <row r="94" spans="1:6" s="971" customFormat="1" ht="24">
      <c r="A94" s="3024">
        <v>22</v>
      </c>
      <c r="B94" s="3667"/>
      <c r="C94" s="3002" t="s">
        <v>2559</v>
      </c>
      <c r="D94" s="3002" t="s">
        <v>2560</v>
      </c>
      <c r="E94" s="3025">
        <v>0.15</v>
      </c>
      <c r="F94" s="3024">
        <v>20</v>
      </c>
    </row>
    <row r="95" spans="1:6" s="971" customFormat="1" ht="36">
      <c r="A95" s="3024">
        <v>23</v>
      </c>
      <c r="B95" s="3667"/>
      <c r="C95" s="3002" t="s">
        <v>2561</v>
      </c>
      <c r="D95" s="3002" t="s">
        <v>2562</v>
      </c>
      <c r="E95" s="3025">
        <v>0.15</v>
      </c>
      <c r="F95" s="3024">
        <v>20</v>
      </c>
    </row>
    <row r="96" spans="1:6" s="971" customFormat="1">
      <c r="A96" s="3024">
        <v>24</v>
      </c>
      <c r="B96" s="3667"/>
      <c r="C96" s="3002" t="s">
        <v>2563</v>
      </c>
      <c r="D96" s="3002" t="s">
        <v>2564</v>
      </c>
      <c r="E96" s="3025">
        <v>0.1</v>
      </c>
      <c r="F96" s="3024">
        <v>15</v>
      </c>
    </row>
    <row r="97" spans="1:6" s="971" customFormat="1" ht="24">
      <c r="A97" s="3024">
        <v>25</v>
      </c>
      <c r="B97" s="3667"/>
      <c r="C97" s="3002" t="s">
        <v>2565</v>
      </c>
      <c r="D97" s="3002" t="s">
        <v>2566</v>
      </c>
      <c r="E97" s="3025">
        <v>0.1</v>
      </c>
      <c r="F97" s="3024">
        <v>15</v>
      </c>
    </row>
    <row r="98" spans="1:6" s="971" customFormat="1" ht="24">
      <c r="A98" s="3024">
        <v>26</v>
      </c>
      <c r="B98" s="3667"/>
      <c r="C98" s="3002" t="s">
        <v>2567</v>
      </c>
      <c r="D98" s="3002" t="s">
        <v>2568</v>
      </c>
      <c r="E98" s="3025">
        <v>0.1</v>
      </c>
      <c r="F98" s="3024">
        <v>15</v>
      </c>
    </row>
    <row r="99" spans="1:6" s="971" customFormat="1" ht="24">
      <c r="A99" s="3024">
        <v>27</v>
      </c>
      <c r="B99" s="3667"/>
      <c r="C99" s="3002" t="s">
        <v>2569</v>
      </c>
      <c r="D99" s="3002" t="s">
        <v>2570</v>
      </c>
      <c r="E99" s="3025">
        <v>0.1</v>
      </c>
      <c r="F99" s="3024">
        <v>15</v>
      </c>
    </row>
    <row r="100" spans="1:6" s="971" customFormat="1" ht="24">
      <c r="A100" s="3024">
        <v>28</v>
      </c>
      <c r="B100" s="3667"/>
      <c r="C100" s="3002" t="s">
        <v>2571</v>
      </c>
      <c r="D100" s="3002" t="s">
        <v>2572</v>
      </c>
      <c r="E100" s="3025">
        <v>0.1</v>
      </c>
      <c r="F100" s="3024">
        <v>15</v>
      </c>
    </row>
    <row r="101" spans="1:6" s="971" customFormat="1" ht="24">
      <c r="A101" s="3024">
        <v>29</v>
      </c>
      <c r="B101" s="3667"/>
      <c r="C101" s="3002" t="s">
        <v>2573</v>
      </c>
      <c r="D101" s="3002" t="s">
        <v>2574</v>
      </c>
      <c r="E101" s="3025">
        <v>0.1</v>
      </c>
      <c r="F101" s="3024">
        <v>15</v>
      </c>
    </row>
    <row r="102" spans="1:6" s="971" customFormat="1" ht="24">
      <c r="A102" s="3024">
        <v>30</v>
      </c>
      <c r="B102" s="3667"/>
      <c r="C102" s="3002" t="s">
        <v>2575</v>
      </c>
      <c r="D102" s="3002" t="s">
        <v>2576</v>
      </c>
      <c r="E102" s="3025">
        <v>0.1</v>
      </c>
      <c r="F102" s="3024">
        <v>15</v>
      </c>
    </row>
    <row r="103" spans="1:6" s="971" customFormat="1" ht="24">
      <c r="A103" s="3024">
        <v>31</v>
      </c>
      <c r="B103" s="3667"/>
      <c r="C103" s="3002" t="s">
        <v>2577</v>
      </c>
      <c r="D103" s="3002" t="s">
        <v>2578</v>
      </c>
      <c r="E103" s="3025">
        <v>0.1</v>
      </c>
      <c r="F103" s="3024">
        <v>15</v>
      </c>
    </row>
    <row r="104" spans="1:6" s="971" customFormat="1" ht="24">
      <c r="A104" s="3024">
        <v>32</v>
      </c>
      <c r="B104" s="3667"/>
      <c r="C104" s="3002" t="s">
        <v>2579</v>
      </c>
      <c r="D104" s="3002" t="s">
        <v>2580</v>
      </c>
      <c r="E104" s="3025">
        <v>0.1</v>
      </c>
      <c r="F104" s="3024">
        <v>15</v>
      </c>
    </row>
    <row r="105" spans="1:6" s="971" customFormat="1" ht="24">
      <c r="A105" s="3024">
        <v>33</v>
      </c>
      <c r="B105" s="3667"/>
      <c r="C105" s="3002" t="s">
        <v>2581</v>
      </c>
      <c r="D105" s="3002" t="s">
        <v>2582</v>
      </c>
      <c r="E105" s="3025">
        <v>0.1</v>
      </c>
      <c r="F105" s="3024">
        <v>15</v>
      </c>
    </row>
    <row r="106" spans="1:6" s="971" customFormat="1" ht="24">
      <c r="A106" s="3024">
        <v>34</v>
      </c>
      <c r="B106" s="3673"/>
      <c r="C106" s="3002" t="s">
        <v>2583</v>
      </c>
      <c r="D106" s="3002" t="s">
        <v>2584</v>
      </c>
      <c r="E106" s="3025">
        <v>0.1</v>
      </c>
      <c r="F106" s="3024">
        <v>15</v>
      </c>
    </row>
    <row r="107" spans="1:6" s="971" customFormat="1" ht="24">
      <c r="A107" s="3024">
        <v>35</v>
      </c>
      <c r="B107" s="3672" t="s">
        <v>2585</v>
      </c>
      <c r="C107" s="3024" t="s">
        <v>2586</v>
      </c>
      <c r="D107" s="3002" t="s">
        <v>2587</v>
      </c>
      <c r="E107" s="3025">
        <v>0.15</v>
      </c>
      <c r="F107" s="3024">
        <v>20</v>
      </c>
    </row>
    <row r="108" spans="1:6" s="971" customFormat="1" ht="24">
      <c r="A108" s="3024">
        <v>36</v>
      </c>
      <c r="B108" s="3667"/>
      <c r="C108" s="3024" t="s">
        <v>2588</v>
      </c>
      <c r="D108" s="3002" t="s">
        <v>2589</v>
      </c>
      <c r="E108" s="3025">
        <v>0.15</v>
      </c>
      <c r="F108" s="3024">
        <v>20</v>
      </c>
    </row>
    <row r="109" spans="1:6" s="971" customFormat="1" ht="24">
      <c r="A109" s="3024">
        <v>37</v>
      </c>
      <c r="B109" s="3667"/>
      <c r="C109" s="3024" t="s">
        <v>2590</v>
      </c>
      <c r="D109" s="3002" t="s">
        <v>2591</v>
      </c>
      <c r="E109" s="3025">
        <v>0.15</v>
      </c>
      <c r="F109" s="3024">
        <v>20</v>
      </c>
    </row>
    <row r="110" spans="1:6" s="971" customFormat="1">
      <c r="A110" s="3024">
        <v>38</v>
      </c>
      <c r="B110" s="3667"/>
      <c r="C110" s="3024" t="s">
        <v>2592</v>
      </c>
      <c r="D110" s="3002" t="s">
        <v>2593</v>
      </c>
      <c r="E110" s="3025">
        <v>0.1</v>
      </c>
      <c r="F110" s="3024">
        <v>15</v>
      </c>
    </row>
    <row r="111" spans="1:6" s="971" customFormat="1" ht="24">
      <c r="A111" s="3024">
        <v>39</v>
      </c>
      <c r="B111" s="3667"/>
      <c r="C111" s="3024" t="s">
        <v>2594</v>
      </c>
      <c r="D111" s="3002" t="s">
        <v>2595</v>
      </c>
      <c r="E111" s="3025">
        <v>0.1</v>
      </c>
      <c r="F111" s="3024">
        <v>15</v>
      </c>
    </row>
    <row r="112" spans="1:6" s="971" customFormat="1" ht="24">
      <c r="A112" s="3024">
        <v>40</v>
      </c>
      <c r="B112" s="3673"/>
      <c r="C112" s="3024" t="s">
        <v>2596</v>
      </c>
      <c r="D112" s="3002" t="s">
        <v>2597</v>
      </c>
      <c r="E112" s="3025">
        <v>0.1</v>
      </c>
      <c r="F112" s="3024">
        <v>15</v>
      </c>
    </row>
    <row r="113" spans="1:6" s="971" customFormat="1" ht="24">
      <c r="A113" s="3024">
        <v>41</v>
      </c>
      <c r="B113" s="3674" t="s">
        <v>2598</v>
      </c>
      <c r="C113" s="3024" t="s">
        <v>2599</v>
      </c>
      <c r="D113" s="3002" t="s">
        <v>2600</v>
      </c>
      <c r="E113" s="3025">
        <v>0.1</v>
      </c>
      <c r="F113" s="3024">
        <v>15</v>
      </c>
    </row>
    <row r="114" spans="1:6" s="971" customFormat="1">
      <c r="A114" s="3024">
        <v>42</v>
      </c>
      <c r="B114" s="3674"/>
      <c r="C114" s="3024" t="s">
        <v>2601</v>
      </c>
      <c r="D114" s="3002" t="s">
        <v>2602</v>
      </c>
      <c r="E114" s="3025">
        <v>0.1</v>
      </c>
      <c r="F114" s="3024">
        <v>15</v>
      </c>
    </row>
    <row r="115" spans="1:6" s="971" customFormat="1" ht="24">
      <c r="A115" s="3024">
        <v>43</v>
      </c>
      <c r="B115" s="3674"/>
      <c r="C115" s="3024" t="s">
        <v>2603</v>
      </c>
      <c r="D115" s="3002" t="s">
        <v>2604</v>
      </c>
      <c r="E115" s="3025">
        <v>0.1</v>
      </c>
      <c r="F115" s="3024">
        <v>15</v>
      </c>
    </row>
    <row r="116" spans="1:6" s="971" customFormat="1" ht="24">
      <c r="A116" s="3024">
        <v>44</v>
      </c>
      <c r="B116" s="3672" t="s">
        <v>2605</v>
      </c>
      <c r="C116" s="3024" t="s">
        <v>2606</v>
      </c>
      <c r="D116" s="3002" t="s">
        <v>2607</v>
      </c>
      <c r="E116" s="3025">
        <v>0.1</v>
      </c>
      <c r="F116" s="3024">
        <v>15</v>
      </c>
    </row>
    <row r="117" spans="1:6" s="971" customFormat="1" ht="24">
      <c r="A117" s="3024">
        <v>45</v>
      </c>
      <c r="B117" s="3673"/>
      <c r="C117" s="3002" t="s">
        <v>2608</v>
      </c>
      <c r="D117" s="3002" t="s">
        <v>2609</v>
      </c>
      <c r="E117" s="3025">
        <v>0.1</v>
      </c>
      <c r="F117" s="3024">
        <v>15</v>
      </c>
    </row>
    <row r="118" spans="1:6" s="971" customFormat="1" ht="24">
      <c r="A118" s="3024">
        <v>46</v>
      </c>
      <c r="B118" s="3672" t="s">
        <v>2610</v>
      </c>
      <c r="C118" s="3024" t="s">
        <v>2611</v>
      </c>
      <c r="D118" s="3002" t="s">
        <v>2612</v>
      </c>
      <c r="E118" s="3025">
        <v>0.1</v>
      </c>
      <c r="F118" s="3024">
        <v>15</v>
      </c>
    </row>
    <row r="119" spans="1:6" s="971" customFormat="1" ht="24">
      <c r="A119" s="3024">
        <v>47</v>
      </c>
      <c r="B119" s="3673"/>
      <c r="C119" s="3024" t="s">
        <v>2613</v>
      </c>
      <c r="D119" s="3002" t="s">
        <v>2614</v>
      </c>
      <c r="E119" s="3025">
        <v>0.1</v>
      </c>
      <c r="F119" s="3024">
        <v>15</v>
      </c>
    </row>
    <row r="120" spans="1:6" s="971" customFormat="1" ht="24">
      <c r="A120" s="3024">
        <v>48</v>
      </c>
      <c r="B120" s="3672" t="s">
        <v>2615</v>
      </c>
      <c r="C120" s="3024" t="s">
        <v>2616</v>
      </c>
      <c r="D120" s="3002" t="s">
        <v>2617</v>
      </c>
      <c r="E120" s="3025">
        <v>0.1</v>
      </c>
      <c r="F120" s="3024">
        <v>15</v>
      </c>
    </row>
    <row r="121" spans="1:6" s="971" customFormat="1">
      <c r="A121" s="3024">
        <v>49</v>
      </c>
      <c r="B121" s="3673"/>
      <c r="C121" s="3024" t="s">
        <v>2618</v>
      </c>
      <c r="D121" s="3002" t="s">
        <v>2619</v>
      </c>
      <c r="E121" s="3025">
        <v>0.1</v>
      </c>
      <c r="F121" s="3024">
        <v>15</v>
      </c>
    </row>
    <row r="122" spans="1:6" s="971" customFormat="1" ht="24">
      <c r="A122" s="3024">
        <v>50</v>
      </c>
      <c r="B122" s="3674" t="s">
        <v>2620</v>
      </c>
      <c r="C122" s="3024" t="s">
        <v>2621</v>
      </c>
      <c r="D122" s="3002" t="s">
        <v>2622</v>
      </c>
      <c r="E122" s="3025">
        <v>0.1</v>
      </c>
      <c r="F122" s="3024">
        <v>15</v>
      </c>
    </row>
    <row r="123" spans="1:6" s="971" customFormat="1" ht="24">
      <c r="A123" s="3024">
        <v>51</v>
      </c>
      <c r="B123" s="3674"/>
      <c r="C123" s="3024" t="s">
        <v>2623</v>
      </c>
      <c r="D123" s="3002" t="s">
        <v>2624</v>
      </c>
      <c r="E123" s="3025">
        <v>0.1</v>
      </c>
      <c r="F123" s="3024">
        <v>15</v>
      </c>
    </row>
    <row r="124" spans="1:6" s="971" customFormat="1" ht="24">
      <c r="A124" s="3024">
        <v>52</v>
      </c>
      <c r="B124" s="3674" t="s">
        <v>2625</v>
      </c>
      <c r="C124" s="3024" t="s">
        <v>2626</v>
      </c>
      <c r="D124" s="3002" t="s">
        <v>2627</v>
      </c>
      <c r="E124" s="3025">
        <v>0.1</v>
      </c>
      <c r="F124" s="3024">
        <v>15</v>
      </c>
    </row>
    <row r="125" spans="1:6" s="971" customFormat="1" ht="24">
      <c r="A125" s="3024">
        <v>53</v>
      </c>
      <c r="B125" s="3674"/>
      <c r="C125" s="3024" t="s">
        <v>2628</v>
      </c>
      <c r="D125" s="3002" t="s">
        <v>2629</v>
      </c>
      <c r="E125" s="3025">
        <v>0.1</v>
      </c>
      <c r="F125" s="3024">
        <v>15</v>
      </c>
    </row>
    <row r="126" spans="1:6" ht="24">
      <c r="A126" s="3024">
        <v>54</v>
      </c>
      <c r="B126" s="3024" t="s">
        <v>2630</v>
      </c>
      <c r="C126" s="3024" t="s">
        <v>2631</v>
      </c>
      <c r="D126" s="3002" t="s">
        <v>2632</v>
      </c>
      <c r="E126" s="3025">
        <v>0.1</v>
      </c>
      <c r="F126" s="3024">
        <v>15</v>
      </c>
    </row>
    <row r="127" spans="1:6">
      <c r="A127" s="3024">
        <v>55</v>
      </c>
      <c r="B127" s="3674" t="s">
        <v>2633</v>
      </c>
      <c r="C127" s="3024" t="s">
        <v>2634</v>
      </c>
      <c r="D127" s="3002" t="s">
        <v>2635</v>
      </c>
      <c r="E127" s="3025">
        <v>0.1</v>
      </c>
      <c r="F127" s="3024">
        <v>15</v>
      </c>
    </row>
    <row r="128" spans="1:6">
      <c r="A128" s="3024">
        <v>56</v>
      </c>
      <c r="B128" s="3674"/>
      <c r="C128" s="3024" t="s">
        <v>2636</v>
      </c>
      <c r="D128" s="3002" t="s">
        <v>2637</v>
      </c>
      <c r="E128" s="3025">
        <v>0.1</v>
      </c>
      <c r="F128" s="3024">
        <v>15</v>
      </c>
    </row>
    <row r="129" spans="1:14" ht="24">
      <c r="A129" s="3024">
        <v>57</v>
      </c>
      <c r="B129" s="3674"/>
      <c r="C129" s="3024" t="s">
        <v>2638</v>
      </c>
      <c r="D129" s="3002" t="s">
        <v>2639</v>
      </c>
      <c r="E129" s="3025">
        <v>0.1</v>
      </c>
      <c r="F129" s="3024">
        <v>15</v>
      </c>
    </row>
    <row r="130" spans="1:14" ht="24">
      <c r="A130" s="3024">
        <v>58</v>
      </c>
      <c r="B130" s="3674" t="s">
        <v>2640</v>
      </c>
      <c r="C130" s="3024" t="s">
        <v>2641</v>
      </c>
      <c r="D130" s="3002" t="s">
        <v>2642</v>
      </c>
      <c r="E130" s="3025">
        <v>0.1</v>
      </c>
      <c r="F130" s="3024">
        <v>15</v>
      </c>
    </row>
    <row r="131" spans="1:14" ht="24">
      <c r="A131" s="3024">
        <v>59</v>
      </c>
      <c r="B131" s="3674"/>
      <c r="C131" s="3024" t="s">
        <v>2643</v>
      </c>
      <c r="D131" s="3002" t="s">
        <v>2644</v>
      </c>
      <c r="E131" s="3025">
        <v>0.1</v>
      </c>
      <c r="F131" s="3024">
        <v>15</v>
      </c>
    </row>
    <row r="132" spans="1:14" ht="24">
      <c r="A132" s="3024">
        <v>60</v>
      </c>
      <c r="B132" s="3672" t="s">
        <v>2645</v>
      </c>
      <c r="C132" s="3024" t="s">
        <v>2646</v>
      </c>
      <c r="D132" s="3002" t="s">
        <v>2647</v>
      </c>
      <c r="E132" s="3025">
        <v>0.1</v>
      </c>
      <c r="F132" s="3024">
        <v>15</v>
      </c>
    </row>
    <row r="133" spans="1:14" ht="24">
      <c r="A133" s="3024">
        <v>61</v>
      </c>
      <c r="B133" s="3673"/>
      <c r="C133" s="3024" t="s">
        <v>2648</v>
      </c>
      <c r="D133" s="3002" t="s">
        <v>2649</v>
      </c>
      <c r="E133" s="3025">
        <v>0.1</v>
      </c>
      <c r="F133" s="3024">
        <v>15</v>
      </c>
    </row>
    <row r="134" spans="1:14" ht="24">
      <c r="A134" s="3024">
        <v>62</v>
      </c>
      <c r="B134" s="3024" t="s">
        <v>2650</v>
      </c>
      <c r="C134" s="3024" t="s">
        <v>2651</v>
      </c>
      <c r="D134" s="3002" t="s">
        <v>2652</v>
      </c>
      <c r="E134" s="3025">
        <v>0.1</v>
      </c>
      <c r="F134" s="3024">
        <v>15</v>
      </c>
    </row>
    <row r="135" spans="1:14" ht="24">
      <c r="A135" s="3024">
        <v>63</v>
      </c>
      <c r="B135" s="3674" t="s">
        <v>2653</v>
      </c>
      <c r="C135" s="3024" t="s">
        <v>2654</v>
      </c>
      <c r="D135" s="3002" t="s">
        <v>2655</v>
      </c>
      <c r="E135" s="3025">
        <v>0.1</v>
      </c>
      <c r="F135" s="3024">
        <v>15</v>
      </c>
    </row>
    <row r="136" spans="1:14">
      <c r="A136" s="3024">
        <v>64</v>
      </c>
      <c r="B136" s="3674"/>
      <c r="C136" s="3024" t="s">
        <v>2656</v>
      </c>
      <c r="D136" s="3002" t="s">
        <v>2657</v>
      </c>
      <c r="E136" s="3025">
        <v>0.1</v>
      </c>
      <c r="F136" s="3024">
        <v>15</v>
      </c>
    </row>
    <row r="137" spans="1:14" ht="24">
      <c r="A137" s="3024">
        <v>65</v>
      </c>
      <c r="B137" s="3024" t="s">
        <v>2658</v>
      </c>
      <c r="C137" s="3024" t="s">
        <v>2659</v>
      </c>
      <c r="D137" s="3002" t="s">
        <v>2660</v>
      </c>
      <c r="E137" s="3025">
        <v>0.1</v>
      </c>
      <c r="F137" s="3024">
        <v>15</v>
      </c>
    </row>
    <row r="138" spans="1:14">
      <c r="A138" s="997"/>
      <c r="B138" s="997"/>
      <c r="C138" s="997"/>
      <c r="D138" s="957"/>
      <c r="E138" s="985"/>
      <c r="F138" s="997"/>
    </row>
    <row r="139" spans="1:14">
      <c r="A139" s="997"/>
      <c r="B139" s="997"/>
      <c r="C139" s="997"/>
      <c r="D139" s="997"/>
      <c r="E139" s="985"/>
      <c r="F139" s="997"/>
    </row>
    <row r="141" spans="1:14">
      <c r="A141" s="977"/>
      <c r="B141" s="977"/>
      <c r="C141" s="977"/>
      <c r="D141" s="977"/>
      <c r="E141" s="977"/>
      <c r="F141" s="977"/>
      <c r="G141" s="977"/>
      <c r="H141" s="977"/>
      <c r="I141" s="977"/>
      <c r="J141" s="977"/>
      <c r="K141" s="998"/>
      <c r="L141" s="998"/>
      <c r="M141" s="998"/>
      <c r="N141" s="998"/>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6" customWidth="1"/>
    <col min="2" max="2" width="15" style="3166" customWidth="1"/>
    <col min="3" max="6" width="10.25" style="3166" customWidth="1"/>
    <col min="7" max="7" width="9" style="3166"/>
    <col min="8" max="8" width="9" style="958"/>
    <col min="9" max="9" width="9" style="955"/>
    <col min="10" max="10" width="17.375" style="3191" customWidth="1"/>
    <col min="11" max="21" width="17.375" style="3166" customWidth="1"/>
    <col min="22" max="16384" width="9" style="955"/>
  </cols>
  <sheetData>
    <row r="1" spans="1:21">
      <c r="A1" s="3675" t="s">
        <v>2799</v>
      </c>
      <c r="B1" s="3675"/>
      <c r="C1" s="3675"/>
      <c r="D1" s="3675"/>
      <c r="E1" s="3675"/>
      <c r="F1" s="3675"/>
      <c r="G1" s="3676"/>
      <c r="I1" s="959"/>
      <c r="J1" s="3188" t="s">
        <v>959</v>
      </c>
      <c r="K1" s="3189" t="s">
        <v>960</v>
      </c>
      <c r="L1" s="3189" t="s">
        <v>961</v>
      </c>
      <c r="M1" s="3189" t="s">
        <v>962</v>
      </c>
      <c r="N1" s="3189" t="s">
        <v>963</v>
      </c>
      <c r="O1" s="3189" t="s">
        <v>964</v>
      </c>
      <c r="P1" s="3189" t="s">
        <v>965</v>
      </c>
      <c r="Q1" s="3189" t="s">
        <v>966</v>
      </c>
      <c r="R1" s="3189" t="s">
        <v>967</v>
      </c>
      <c r="S1" s="3189" t="s">
        <v>968</v>
      </c>
      <c r="T1" s="3189" t="s">
        <v>969</v>
      </c>
      <c r="U1" s="3190" t="s">
        <v>970</v>
      </c>
    </row>
    <row r="2" spans="1:21" ht="14.25" thickBot="1">
      <c r="A2" s="3152" t="s">
        <v>2800</v>
      </c>
      <c r="B2" s="3152"/>
      <c r="C2" s="3152"/>
      <c r="D2" s="3152"/>
      <c r="E2" s="3152"/>
      <c r="F2" s="3152"/>
      <c r="G2" s="3147" t="s">
        <v>2801</v>
      </c>
      <c r="J2" s="3176" t="s">
        <v>2807</v>
      </c>
      <c r="K2" s="3156" t="s">
        <v>2809</v>
      </c>
      <c r="L2" s="3156" t="s">
        <v>2811</v>
      </c>
      <c r="M2" s="3156" t="s">
        <v>2817</v>
      </c>
      <c r="N2" s="3156" t="s">
        <v>2827</v>
      </c>
      <c r="O2" s="3156" t="s">
        <v>2842</v>
      </c>
      <c r="P2" s="3156" t="s">
        <v>2879</v>
      </c>
      <c r="Q2" s="3156" t="s">
        <v>2910</v>
      </c>
      <c r="R2" s="3156" t="s">
        <v>2938</v>
      </c>
      <c r="S2" s="3156" t="s">
        <v>2973</v>
      </c>
      <c r="T2" s="3156" t="s">
        <v>2993</v>
      </c>
      <c r="U2" s="3156" t="s">
        <v>3005</v>
      </c>
    </row>
    <row r="3" spans="1:21" s="959" customFormat="1" ht="19.5" customHeight="1">
      <c r="A3" s="3677" t="s">
        <v>2802</v>
      </c>
      <c r="B3" s="3148"/>
      <c r="C3" s="3149" t="s">
        <v>2780</v>
      </c>
      <c r="D3" s="3149" t="s">
        <v>2803</v>
      </c>
      <c r="E3" s="3149" t="s">
        <v>2782</v>
      </c>
      <c r="F3" s="3149" t="s">
        <v>2804</v>
      </c>
      <c r="G3" s="3149" t="s">
        <v>2725</v>
      </c>
      <c r="H3" s="962"/>
      <c r="J3" s="3176" t="s">
        <v>2808</v>
      </c>
      <c r="K3" s="3156" t="s">
        <v>971</v>
      </c>
      <c r="L3" s="3156" t="s">
        <v>972</v>
      </c>
      <c r="M3" s="3156" t="s">
        <v>973</v>
      </c>
      <c r="N3" s="3156" t="s">
        <v>974</v>
      </c>
      <c r="O3" s="3156" t="s">
        <v>975</v>
      </c>
      <c r="P3" s="3156" t="s">
        <v>976</v>
      </c>
      <c r="Q3" s="3156" t="s">
        <v>977</v>
      </c>
      <c r="R3" s="3156" t="s">
        <v>978</v>
      </c>
      <c r="S3" s="3156" t="s">
        <v>979</v>
      </c>
      <c r="T3" s="3156" t="s">
        <v>2994</v>
      </c>
      <c r="U3" s="3156" t="s">
        <v>3006</v>
      </c>
    </row>
    <row r="4" spans="1:21" s="959" customFormat="1" ht="19.5" customHeight="1" thickBot="1">
      <c r="A4" s="3678"/>
      <c r="B4" s="3150" t="s">
        <v>2805</v>
      </c>
      <c r="C4" s="3150" t="s">
        <v>2806</v>
      </c>
      <c r="D4" s="3150" t="s">
        <v>2806</v>
      </c>
      <c r="E4" s="3150" t="s">
        <v>2806</v>
      </c>
      <c r="F4" s="3151" t="s">
        <v>2806</v>
      </c>
      <c r="G4" s="3151" t="s">
        <v>2806</v>
      </c>
      <c r="H4" s="962"/>
      <c r="J4" s="3176" t="s">
        <v>980</v>
      </c>
      <c r="K4" s="3156" t="s">
        <v>981</v>
      </c>
      <c r="L4" s="3156" t="s">
        <v>982</v>
      </c>
      <c r="M4" s="3156" t="s">
        <v>983</v>
      </c>
      <c r="N4" s="3156" t="s">
        <v>984</v>
      </c>
      <c r="O4" s="3156" t="s">
        <v>985</v>
      </c>
      <c r="P4" s="3156" t="s">
        <v>986</v>
      </c>
      <c r="Q4" s="3156" t="s">
        <v>987</v>
      </c>
      <c r="R4" s="3156" t="s">
        <v>2939</v>
      </c>
      <c r="S4" s="3156" t="s">
        <v>2974</v>
      </c>
      <c r="T4" s="3156" t="s">
        <v>2995</v>
      </c>
      <c r="U4" s="3156" t="s">
        <v>3007</v>
      </c>
    </row>
    <row r="5" spans="1:21" ht="14.25" customHeight="1">
      <c r="A5" s="3153" t="s">
        <v>988</v>
      </c>
      <c r="B5" s="3154" t="s">
        <v>2807</v>
      </c>
      <c r="C5" s="3154">
        <v>34550</v>
      </c>
      <c r="D5" s="3154">
        <v>34470</v>
      </c>
      <c r="E5" s="3154">
        <v>34330</v>
      </c>
      <c r="F5" s="3155">
        <v>13400</v>
      </c>
      <c r="G5" s="3155">
        <v>25450</v>
      </c>
      <c r="H5" s="963" t="s">
        <v>959</v>
      </c>
      <c r="I5" s="964">
        <f>SUMPRODUCT((B5:B9=基准地价!I2)*(C3:G3=基准地价!E2)*(C5:G9))</f>
        <v>0</v>
      </c>
      <c r="J5" s="3176" t="s">
        <v>989</v>
      </c>
      <c r="K5" s="3156" t="s">
        <v>990</v>
      </c>
      <c r="L5" s="3156" t="s">
        <v>991</v>
      </c>
      <c r="M5" s="3156" t="s">
        <v>992</v>
      </c>
      <c r="N5" s="3156" t="s">
        <v>993</v>
      </c>
      <c r="O5" s="3156" t="s">
        <v>994</v>
      </c>
      <c r="P5" s="3156" t="s">
        <v>995</v>
      </c>
      <c r="Q5" s="3156" t="s">
        <v>996</v>
      </c>
      <c r="R5" s="3156" t="s">
        <v>2940</v>
      </c>
      <c r="S5" s="3156" t="s">
        <v>2975</v>
      </c>
      <c r="T5" s="3156" t="s">
        <v>997</v>
      </c>
      <c r="U5" s="3156" t="s">
        <v>3008</v>
      </c>
    </row>
    <row r="6" spans="1:21" ht="14.25" customHeight="1">
      <c r="A6" s="3156" t="s">
        <v>988</v>
      </c>
      <c r="B6" s="3156" t="s">
        <v>2808</v>
      </c>
      <c r="C6" s="3156">
        <v>36990</v>
      </c>
      <c r="D6" s="3156">
        <v>36850</v>
      </c>
      <c r="E6" s="3156">
        <v>36700</v>
      </c>
      <c r="F6" s="3157">
        <v>14590</v>
      </c>
      <c r="G6" s="3157">
        <v>27450</v>
      </c>
      <c r="H6" s="965" t="s">
        <v>998</v>
      </c>
      <c r="I6" s="966">
        <f>SUMPRODUCT((B10:B29=基准地价!I2)*(C3:G3=基准地价!E2)*(C10:G29))</f>
        <v>0</v>
      </c>
      <c r="J6" s="3176" t="s">
        <v>999</v>
      </c>
      <c r="K6" s="3156" t="s">
        <v>1000</v>
      </c>
      <c r="L6" s="3156" t="s">
        <v>1001</v>
      </c>
      <c r="M6" s="3156" t="s">
        <v>1002</v>
      </c>
      <c r="N6" s="3156" t="s">
        <v>1003</v>
      </c>
      <c r="O6" s="3156" t="s">
        <v>1004</v>
      </c>
      <c r="P6" s="3156" t="s">
        <v>1005</v>
      </c>
      <c r="Q6" s="3156" t="s">
        <v>2911</v>
      </c>
      <c r="R6" s="3156" t="s">
        <v>2941</v>
      </c>
      <c r="S6" s="3156" t="s">
        <v>1006</v>
      </c>
      <c r="T6" s="3156" t="s">
        <v>2996</v>
      </c>
      <c r="U6" s="3156" t="s">
        <v>3009</v>
      </c>
    </row>
    <row r="7" spans="1:21" ht="14.25" customHeight="1">
      <c r="A7" s="3156" t="s">
        <v>988</v>
      </c>
      <c r="B7" s="1214" t="s">
        <v>980</v>
      </c>
      <c r="C7" s="3156">
        <v>34850</v>
      </c>
      <c r="D7" s="3156">
        <v>34690</v>
      </c>
      <c r="E7" s="3156">
        <v>34550</v>
      </c>
      <c r="F7" s="3157">
        <v>14360</v>
      </c>
      <c r="G7" s="3157">
        <v>25620</v>
      </c>
      <c r="H7" s="965" t="s">
        <v>836</v>
      </c>
      <c r="I7" s="966">
        <f>SUMPRODUCT((B30:B54=基准地价!I2)*(C3:G3=基准地价!E2)*(C30:G54))</f>
        <v>0</v>
      </c>
      <c r="K7" s="3156" t="s">
        <v>1007</v>
      </c>
      <c r="L7" s="3156" t="s">
        <v>1008</v>
      </c>
      <c r="M7" s="3156" t="s">
        <v>1009</v>
      </c>
      <c r="N7" s="3156" t="s">
        <v>1010</v>
      </c>
      <c r="O7" s="3156" t="s">
        <v>1011</v>
      </c>
      <c r="P7" s="3156" t="s">
        <v>1012</v>
      </c>
      <c r="Q7" s="3156" t="s">
        <v>2912</v>
      </c>
      <c r="R7" s="3156" t="s">
        <v>2942</v>
      </c>
      <c r="S7" s="3156" t="s">
        <v>2976</v>
      </c>
      <c r="T7" s="3156" t="s">
        <v>2997</v>
      </c>
      <c r="U7" s="1214" t="s">
        <v>3010</v>
      </c>
    </row>
    <row r="8" spans="1:21" ht="14.25" customHeight="1">
      <c r="A8" s="3156" t="s">
        <v>988</v>
      </c>
      <c r="B8" s="3156" t="s">
        <v>989</v>
      </c>
      <c r="C8" s="3156">
        <v>32630</v>
      </c>
      <c r="D8" s="3156">
        <v>32510</v>
      </c>
      <c r="E8" s="3156">
        <v>32420</v>
      </c>
      <c r="F8" s="3157">
        <v>13300</v>
      </c>
      <c r="G8" s="3157">
        <v>24010</v>
      </c>
      <c r="H8" s="965" t="s">
        <v>837</v>
      </c>
      <c r="I8" s="966">
        <f>SUMPRODUCT((B55:B86=基准地价!I2)*(C3:G3=基准地价!E2)*(C55:G86))</f>
        <v>0</v>
      </c>
      <c r="K8" s="3156" t="s">
        <v>1013</v>
      </c>
      <c r="L8" s="3156" t="s">
        <v>1014</v>
      </c>
      <c r="M8" s="3156" t="s">
        <v>1015</v>
      </c>
      <c r="N8" s="3156" t="s">
        <v>1016</v>
      </c>
      <c r="O8" s="3156" t="s">
        <v>1017</v>
      </c>
      <c r="P8" s="3156" t="s">
        <v>1018</v>
      </c>
      <c r="Q8" s="3156" t="s">
        <v>2913</v>
      </c>
      <c r="R8" s="3156" t="s">
        <v>1019</v>
      </c>
      <c r="S8" s="3156" t="s">
        <v>2977</v>
      </c>
      <c r="T8" s="3156" t="s">
        <v>2998</v>
      </c>
      <c r="U8" s="3156" t="s">
        <v>3011</v>
      </c>
    </row>
    <row r="9" spans="1:21" ht="14.25" customHeight="1" thickBot="1">
      <c r="A9" s="3170" t="s">
        <v>988</v>
      </c>
      <c r="B9" s="3158" t="s">
        <v>999</v>
      </c>
      <c r="C9" s="3159">
        <v>36370</v>
      </c>
      <c r="D9" s="3159">
        <v>36210</v>
      </c>
      <c r="E9" s="3159">
        <v>36050</v>
      </c>
      <c r="F9" s="3160"/>
      <c r="G9" s="3161">
        <v>26740</v>
      </c>
      <c r="H9" s="965" t="s">
        <v>838</v>
      </c>
      <c r="I9" s="966">
        <f>SUMPRODUCT((B87:B126=基准地价!I2)*(C3:G3=基准地价!E2)*(C87:G126))</f>
        <v>0</v>
      </c>
      <c r="K9" s="3156" t="s">
        <v>1020</v>
      </c>
      <c r="L9" s="3156" t="s">
        <v>1021</v>
      </c>
      <c r="M9" s="3156" t="s">
        <v>1022</v>
      </c>
      <c r="N9" s="3156" t="s">
        <v>1023</v>
      </c>
      <c r="O9" s="3156" t="s">
        <v>1024</v>
      </c>
      <c r="P9" s="3156" t="s">
        <v>1025</v>
      </c>
      <c r="Q9" s="3156" t="s">
        <v>2914</v>
      </c>
      <c r="R9" s="3156" t="s">
        <v>1027</v>
      </c>
      <c r="S9" s="3156" t="s">
        <v>1028</v>
      </c>
      <c r="T9" s="3156" t="s">
        <v>1045</v>
      </c>
    </row>
    <row r="10" spans="1:21" ht="14.25" customHeight="1">
      <c r="A10" s="3153" t="s">
        <v>1029</v>
      </c>
      <c r="B10" s="3154" t="s">
        <v>2809</v>
      </c>
      <c r="C10" s="3154">
        <v>32350</v>
      </c>
      <c r="D10" s="3154">
        <v>31430</v>
      </c>
      <c r="E10" s="3154">
        <v>31320</v>
      </c>
      <c r="F10" s="3155">
        <v>10850</v>
      </c>
      <c r="G10" s="3155">
        <v>22860</v>
      </c>
      <c r="H10" s="965" t="s">
        <v>839</v>
      </c>
      <c r="I10" s="966">
        <f>SUMPRODUCT((B127:B189=基准地价!I2)*(C3:G3=基准地价!E2)*(C127:G189))</f>
        <v>0</v>
      </c>
      <c r="K10" s="3156" t="s">
        <v>1030</v>
      </c>
      <c r="L10" s="3156" t="s">
        <v>1031</v>
      </c>
      <c r="M10" s="3156" t="s">
        <v>1032</v>
      </c>
      <c r="N10" s="3156" t="s">
        <v>1033</v>
      </c>
      <c r="O10" s="3156" t="s">
        <v>1034</v>
      </c>
      <c r="P10" s="3156" t="s">
        <v>1035</v>
      </c>
      <c r="Q10" s="3156" t="s">
        <v>1026</v>
      </c>
      <c r="R10" s="3156" t="s">
        <v>1037</v>
      </c>
      <c r="S10" s="3156" t="s">
        <v>1038</v>
      </c>
      <c r="T10" s="3156" t="s">
        <v>2999</v>
      </c>
    </row>
    <row r="11" spans="1:21" ht="14.25" customHeight="1">
      <c r="A11" s="3156" t="s">
        <v>1029</v>
      </c>
      <c r="B11" s="1214" t="s">
        <v>971</v>
      </c>
      <c r="C11" s="3156">
        <v>31590</v>
      </c>
      <c r="D11" s="3156">
        <v>29490</v>
      </c>
      <c r="E11" s="3156">
        <v>28700</v>
      </c>
      <c r="F11" s="3162">
        <v>10410</v>
      </c>
      <c r="G11" s="3162">
        <v>21460</v>
      </c>
      <c r="H11" s="965" t="s">
        <v>840</v>
      </c>
      <c r="I11" s="966">
        <f>SUMPRODUCT((B190:B233=基准地价!I2)*(C3:G3=基准地价!E2)*(C190:G233))</f>
        <v>0</v>
      </c>
      <c r="K11" s="3156" t="s">
        <v>1039</v>
      </c>
      <c r="L11" s="3156" t="s">
        <v>1040</v>
      </c>
      <c r="M11" s="3156" t="s">
        <v>1041</v>
      </c>
      <c r="N11" s="3156" t="s">
        <v>1042</v>
      </c>
      <c r="O11" s="3156" t="s">
        <v>1043</v>
      </c>
      <c r="P11" s="3156" t="s">
        <v>2880</v>
      </c>
      <c r="Q11" s="3156" t="s">
        <v>1036</v>
      </c>
      <c r="R11" s="3156" t="s">
        <v>1044</v>
      </c>
      <c r="S11" s="3156" t="s">
        <v>2978</v>
      </c>
      <c r="T11" s="3156" t="s">
        <v>3000</v>
      </c>
    </row>
    <row r="12" spans="1:21" ht="14.25" customHeight="1">
      <c r="A12" s="3156" t="s">
        <v>1029</v>
      </c>
      <c r="B12" s="1214" t="s">
        <v>981</v>
      </c>
      <c r="C12" s="3156">
        <v>29640</v>
      </c>
      <c r="D12" s="3156">
        <v>27550</v>
      </c>
      <c r="E12" s="3156">
        <v>28010</v>
      </c>
      <c r="F12" s="3162">
        <v>8730</v>
      </c>
      <c r="G12" s="3162">
        <v>20050</v>
      </c>
      <c r="H12" s="965" t="s">
        <v>841</v>
      </c>
      <c r="I12" s="966">
        <f>SUMPRODUCT((B234:B276=基准地价!I2)*(C3:G3=基准地价!E2)*(C234:G276))</f>
        <v>0</v>
      </c>
      <c r="K12" s="3156" t="s">
        <v>1046</v>
      </c>
      <c r="L12" s="3156" t="s">
        <v>1047</v>
      </c>
      <c r="M12" s="3156" t="s">
        <v>1048</v>
      </c>
      <c r="N12" s="3156" t="s">
        <v>1049</v>
      </c>
      <c r="O12" s="3156" t="s">
        <v>1050</v>
      </c>
      <c r="P12" s="3156" t="s">
        <v>2881</v>
      </c>
      <c r="Q12" s="3156" t="s">
        <v>2915</v>
      </c>
      <c r="R12" s="3156" t="s">
        <v>2943</v>
      </c>
      <c r="S12" s="3156" t="s">
        <v>2979</v>
      </c>
      <c r="T12" s="3156" t="s">
        <v>3001</v>
      </c>
    </row>
    <row r="13" spans="1:21" ht="14.25" customHeight="1">
      <c r="A13" s="3156" t="s">
        <v>1029</v>
      </c>
      <c r="B13" s="1214" t="s">
        <v>990</v>
      </c>
      <c r="C13" s="3156">
        <v>29680</v>
      </c>
      <c r="D13" s="3156">
        <v>27660</v>
      </c>
      <c r="E13" s="3156">
        <v>28210</v>
      </c>
      <c r="F13" s="3162">
        <v>9590</v>
      </c>
      <c r="G13" s="3162">
        <v>20120</v>
      </c>
      <c r="H13" s="965" t="s">
        <v>842</v>
      </c>
      <c r="I13" s="966">
        <f>SUMPRODUCT((B277:B326=基准地价!I2)*(C3:G3=基准地价!E2)*(C277:G326))</f>
        <v>0</v>
      </c>
      <c r="K13" s="3156" t="s">
        <v>1053</v>
      </c>
      <c r="L13" s="3156" t="s">
        <v>1054</v>
      </c>
      <c r="M13" s="3156" t="s">
        <v>1055</v>
      </c>
      <c r="N13" s="3156" t="s">
        <v>1056</v>
      </c>
      <c r="O13" s="3156" t="s">
        <v>1057</v>
      </c>
      <c r="P13" s="3156" t="s">
        <v>2882</v>
      </c>
      <c r="Q13" s="3156" t="s">
        <v>1051</v>
      </c>
      <c r="R13" s="3156" t="s">
        <v>1065</v>
      </c>
      <c r="S13" s="3156" t="s">
        <v>1066</v>
      </c>
      <c r="T13" s="3156" t="s">
        <v>1059</v>
      </c>
    </row>
    <row r="14" spans="1:21" ht="14.25" customHeight="1">
      <c r="A14" s="3156" t="s">
        <v>1029</v>
      </c>
      <c r="B14" s="1214" t="s">
        <v>1000</v>
      </c>
      <c r="C14" s="3156">
        <v>30520</v>
      </c>
      <c r="D14" s="3156">
        <v>29510</v>
      </c>
      <c r="E14" s="3156">
        <v>29400</v>
      </c>
      <c r="F14" s="3162">
        <v>9630</v>
      </c>
      <c r="G14" s="3162">
        <v>21480</v>
      </c>
      <c r="H14" s="965" t="s">
        <v>843</v>
      </c>
      <c r="I14" s="966">
        <f>SUMPRODUCT((B327:B357=基准地价!I2)*(C3:G3=基准地价!E2)*(C327:G357))</f>
        <v>0</v>
      </c>
      <c r="K14" s="3156" t="s">
        <v>1060</v>
      </c>
      <c r="L14" s="3156" t="s">
        <v>1061</v>
      </c>
      <c r="M14" s="3156" t="s">
        <v>1062</v>
      </c>
      <c r="N14" s="3156" t="s">
        <v>1063</v>
      </c>
      <c r="O14" s="3156" t="s">
        <v>1064</v>
      </c>
      <c r="P14" s="3156" t="s">
        <v>1086</v>
      </c>
      <c r="Q14" s="3156" t="s">
        <v>1058</v>
      </c>
      <c r="R14" s="3156" t="s">
        <v>2944</v>
      </c>
      <c r="S14" s="3156" t="s">
        <v>1074</v>
      </c>
      <c r="T14" s="3156" t="s">
        <v>1067</v>
      </c>
    </row>
    <row r="15" spans="1:21" ht="14.25" customHeight="1">
      <c r="A15" s="3156" t="s">
        <v>1029</v>
      </c>
      <c r="B15" s="1214" t="s">
        <v>1007</v>
      </c>
      <c r="C15" s="3156">
        <v>29090</v>
      </c>
      <c r="D15" s="3156">
        <v>27590</v>
      </c>
      <c r="E15" s="3156">
        <v>28120</v>
      </c>
      <c r="F15" s="3162">
        <v>9110</v>
      </c>
      <c r="G15" s="3162">
        <v>20070</v>
      </c>
      <c r="H15" s="965" t="s">
        <v>844</v>
      </c>
      <c r="I15" s="966">
        <f>SUMPRODUCT((B358:B377=基准地价!I2)*(C3:G3=基准地价!E2)*(C358:G377))</f>
        <v>0</v>
      </c>
      <c r="K15" s="3156" t="s">
        <v>1068</v>
      </c>
      <c r="L15" s="3156" t="s">
        <v>1069</v>
      </c>
      <c r="M15" s="3156" t="s">
        <v>1070</v>
      </c>
      <c r="N15" s="3156" t="s">
        <v>1071</v>
      </c>
      <c r="O15" s="3156" t="s">
        <v>1072</v>
      </c>
      <c r="P15" s="3156" t="s">
        <v>2883</v>
      </c>
      <c r="Q15" s="3156" t="s">
        <v>2916</v>
      </c>
      <c r="R15" s="3156" t="s">
        <v>1088</v>
      </c>
      <c r="S15" s="3156" t="s">
        <v>2980</v>
      </c>
      <c r="T15" s="3156" t="s">
        <v>1075</v>
      </c>
    </row>
    <row r="16" spans="1:21" ht="14.25" customHeight="1" thickBot="1">
      <c r="A16" s="3156" t="s">
        <v>1029</v>
      </c>
      <c r="B16" s="1214" t="s">
        <v>1013</v>
      </c>
      <c r="C16" s="3156">
        <v>26790</v>
      </c>
      <c r="D16" s="3156">
        <v>30370</v>
      </c>
      <c r="E16" s="3156">
        <v>30240</v>
      </c>
      <c r="F16" s="3162">
        <v>11590</v>
      </c>
      <c r="G16" s="3162">
        <v>22090</v>
      </c>
      <c r="H16" s="967" t="s">
        <v>845</v>
      </c>
      <c r="I16" s="968">
        <f>SUMPRODUCT((B378:B384=基准地价!I2)*(C3:G3=基准地价!E2)*(C378:G384))</f>
        <v>0</v>
      </c>
      <c r="K16" s="3156" t="s">
        <v>1076</v>
      </c>
      <c r="L16" s="3156" t="s">
        <v>1077</v>
      </c>
      <c r="M16" s="3156" t="s">
        <v>1078</v>
      </c>
      <c r="N16" s="3156" t="s">
        <v>1079</v>
      </c>
      <c r="O16" s="3156" t="s">
        <v>1080</v>
      </c>
      <c r="P16" s="3156" t="s">
        <v>2884</v>
      </c>
      <c r="Q16" s="3156" t="s">
        <v>1073</v>
      </c>
      <c r="R16" s="3156" t="s">
        <v>1096</v>
      </c>
      <c r="S16" s="3156" t="s">
        <v>1052</v>
      </c>
      <c r="T16" s="3156" t="s">
        <v>3002</v>
      </c>
    </row>
    <row r="17" spans="1:20" ht="14.25" customHeight="1">
      <c r="A17" s="3156" t="s">
        <v>1029</v>
      </c>
      <c r="B17" s="1214" t="s">
        <v>1020</v>
      </c>
      <c r="C17" s="3156">
        <v>29180</v>
      </c>
      <c r="D17" s="3156">
        <v>27620</v>
      </c>
      <c r="E17" s="3156">
        <v>28180</v>
      </c>
      <c r="F17" s="3162">
        <v>10790</v>
      </c>
      <c r="G17" s="3163">
        <v>20090</v>
      </c>
      <c r="I17" s="969"/>
      <c r="K17" s="3156" t="s">
        <v>1081</v>
      </c>
      <c r="L17" s="3156" t="s">
        <v>1082</v>
      </c>
      <c r="M17" s="3156" t="s">
        <v>1083</v>
      </c>
      <c r="N17" s="3156" t="s">
        <v>1084</v>
      </c>
      <c r="O17" s="3156" t="s">
        <v>1085</v>
      </c>
      <c r="P17" s="3156" t="s">
        <v>2885</v>
      </c>
      <c r="Q17" s="3156" t="s">
        <v>2917</v>
      </c>
      <c r="R17" s="3156" t="s">
        <v>1102</v>
      </c>
      <c r="S17" s="3156" t="s">
        <v>2981</v>
      </c>
      <c r="T17" s="3156" t="s">
        <v>1104</v>
      </c>
    </row>
    <row r="18" spans="1:20" ht="14.25" customHeight="1">
      <c r="A18" s="3156" t="s">
        <v>1029</v>
      </c>
      <c r="B18" s="1214" t="s">
        <v>1030</v>
      </c>
      <c r="C18" s="3156">
        <v>26840</v>
      </c>
      <c r="D18" s="3156">
        <v>28930</v>
      </c>
      <c r="E18" s="3156">
        <v>28820</v>
      </c>
      <c r="F18" s="3162"/>
      <c r="G18" s="3163">
        <v>21050</v>
      </c>
      <c r="I18" s="969"/>
      <c r="K18" s="3156" t="s">
        <v>1090</v>
      </c>
      <c r="L18" s="3156" t="s">
        <v>1091</v>
      </c>
      <c r="M18" s="3156" t="s">
        <v>1092</v>
      </c>
      <c r="N18" s="3156" t="s">
        <v>1093</v>
      </c>
      <c r="O18" s="3156" t="s">
        <v>1094</v>
      </c>
      <c r="P18" s="3156" t="s">
        <v>2886</v>
      </c>
      <c r="Q18" s="3156" t="s">
        <v>1087</v>
      </c>
      <c r="R18" s="3156" t="s">
        <v>2945</v>
      </c>
      <c r="S18" s="3156" t="s">
        <v>1103</v>
      </c>
      <c r="T18" s="3156" t="s">
        <v>1112</v>
      </c>
    </row>
    <row r="19" spans="1:20" ht="14.25" customHeight="1">
      <c r="A19" s="3156" t="s">
        <v>1029</v>
      </c>
      <c r="B19" s="1214" t="s">
        <v>1039</v>
      </c>
      <c r="C19" s="3156">
        <v>27750</v>
      </c>
      <c r="D19" s="3156">
        <v>26680</v>
      </c>
      <c r="E19" s="3156">
        <v>26590</v>
      </c>
      <c r="F19" s="3162"/>
      <c r="G19" s="3163">
        <v>19420</v>
      </c>
      <c r="I19" s="969"/>
      <c r="K19" s="3156" t="s">
        <v>1097</v>
      </c>
      <c r="L19" s="3156" t="s">
        <v>1098</v>
      </c>
      <c r="M19" s="3156" t="s">
        <v>1099</v>
      </c>
      <c r="N19" s="3156" t="s">
        <v>1100</v>
      </c>
      <c r="O19" s="3156" t="s">
        <v>1101</v>
      </c>
      <c r="P19" s="3156" t="s">
        <v>2887</v>
      </c>
      <c r="Q19" s="3156" t="s">
        <v>1095</v>
      </c>
      <c r="R19" s="3156" t="s">
        <v>2946</v>
      </c>
      <c r="S19" s="3156" t="s">
        <v>1111</v>
      </c>
      <c r="T19" s="3156" t="s">
        <v>3003</v>
      </c>
    </row>
    <row r="20" spans="1:20" ht="14.25" customHeight="1">
      <c r="A20" s="3156" t="s">
        <v>1029</v>
      </c>
      <c r="B20" s="1214" t="s">
        <v>1046</v>
      </c>
      <c r="C20" s="3156">
        <v>27050</v>
      </c>
      <c r="D20" s="3156">
        <v>29010</v>
      </c>
      <c r="E20" s="3156">
        <v>28910</v>
      </c>
      <c r="F20" s="3162"/>
      <c r="G20" s="3163">
        <v>21110</v>
      </c>
      <c r="K20" s="3156" t="s">
        <v>1105</v>
      </c>
      <c r="L20" s="3156" t="s">
        <v>1106</v>
      </c>
      <c r="M20" s="3156" t="s">
        <v>1107</v>
      </c>
      <c r="N20" s="3156" t="s">
        <v>1108</v>
      </c>
      <c r="O20" s="3156" t="s">
        <v>1109</v>
      </c>
      <c r="P20" s="3156" t="s">
        <v>2888</v>
      </c>
      <c r="Q20" s="3156" t="s">
        <v>2918</v>
      </c>
      <c r="R20" s="3156" t="s">
        <v>1137</v>
      </c>
      <c r="S20" s="3156" t="s">
        <v>2982</v>
      </c>
      <c r="T20" s="3156" t="s">
        <v>1124</v>
      </c>
    </row>
    <row r="21" spans="1:20" ht="14.25" customHeight="1">
      <c r="A21" s="3156" t="s">
        <v>1029</v>
      </c>
      <c r="B21" s="1214" t="s">
        <v>1053</v>
      </c>
      <c r="C21" s="3156">
        <v>32370</v>
      </c>
      <c r="D21" s="3156">
        <v>26730</v>
      </c>
      <c r="E21" s="3156">
        <v>26640</v>
      </c>
      <c r="F21" s="3162"/>
      <c r="G21" s="3163">
        <v>19440</v>
      </c>
      <c r="K21" s="3165" t="s">
        <v>2810</v>
      </c>
      <c r="L21" s="3156" t="s">
        <v>1113</v>
      </c>
      <c r="M21" s="3156" t="s">
        <v>1114</v>
      </c>
      <c r="N21" s="3156" t="s">
        <v>1115</v>
      </c>
      <c r="O21" s="3156" t="s">
        <v>1116</v>
      </c>
      <c r="P21" s="3156" t="s">
        <v>1110</v>
      </c>
      <c r="Q21" s="3156" t="s">
        <v>1130</v>
      </c>
      <c r="R21" s="3156" t="s">
        <v>1140</v>
      </c>
      <c r="S21" s="3156" t="s">
        <v>2983</v>
      </c>
      <c r="T21" s="3156" t="s">
        <v>3004</v>
      </c>
    </row>
    <row r="22" spans="1:20" ht="14.25" customHeight="1">
      <c r="A22" s="3156" t="s">
        <v>1029</v>
      </c>
      <c r="B22" s="1214" t="s">
        <v>1060</v>
      </c>
      <c r="C22" s="3156">
        <v>29830</v>
      </c>
      <c r="D22" s="3156">
        <v>27600</v>
      </c>
      <c r="E22" s="3156">
        <v>28150</v>
      </c>
      <c r="F22" s="3162"/>
      <c r="G22" s="3163">
        <v>20080</v>
      </c>
      <c r="L22" s="3165" t="s">
        <v>2812</v>
      </c>
      <c r="M22" s="3156" t="s">
        <v>1118</v>
      </c>
      <c r="N22" s="3156" t="s">
        <v>1119</v>
      </c>
      <c r="O22" s="3156" t="s">
        <v>1120</v>
      </c>
      <c r="P22" s="3156" t="s">
        <v>2889</v>
      </c>
      <c r="Q22" s="3156" t="s">
        <v>1133</v>
      </c>
      <c r="R22" s="3156" t="s">
        <v>1142</v>
      </c>
      <c r="S22" s="3156" t="s">
        <v>1089</v>
      </c>
      <c r="T22" s="1214"/>
    </row>
    <row r="23" spans="1:20" ht="14.25" customHeight="1">
      <c r="A23" s="3156" t="s">
        <v>1029</v>
      </c>
      <c r="B23" s="1214" t="s">
        <v>1068</v>
      </c>
      <c r="C23" s="3156">
        <v>27800</v>
      </c>
      <c r="D23" s="3156">
        <v>26900</v>
      </c>
      <c r="E23" s="3156">
        <v>27170</v>
      </c>
      <c r="F23" s="3162"/>
      <c r="G23" s="3163">
        <v>19570</v>
      </c>
      <c r="L23" s="3165" t="s">
        <v>2813</v>
      </c>
      <c r="M23" s="3156" t="s">
        <v>1125</v>
      </c>
      <c r="N23" s="3156" t="s">
        <v>1126</v>
      </c>
      <c r="O23" s="3156" t="s">
        <v>2843</v>
      </c>
      <c r="P23" s="3156" t="s">
        <v>2890</v>
      </c>
      <c r="Q23" s="3156" t="s">
        <v>1136</v>
      </c>
      <c r="R23" s="3156" t="s">
        <v>1145</v>
      </c>
      <c r="S23" s="3156" t="s">
        <v>2984</v>
      </c>
    </row>
    <row r="24" spans="1:20" ht="14.25" customHeight="1">
      <c r="A24" s="3156" t="s">
        <v>1029</v>
      </c>
      <c r="B24" s="1214" t="s">
        <v>1076</v>
      </c>
      <c r="C24" s="3156">
        <v>27930</v>
      </c>
      <c r="D24" s="3156">
        <v>32260</v>
      </c>
      <c r="E24" s="3156">
        <v>32120</v>
      </c>
      <c r="F24" s="3162"/>
      <c r="G24" s="3163">
        <v>23470</v>
      </c>
      <c r="L24" s="3165" t="s">
        <v>2814</v>
      </c>
      <c r="M24" s="3156" t="s">
        <v>1128</v>
      </c>
      <c r="N24" s="3156" t="s">
        <v>1129</v>
      </c>
      <c r="O24" s="3156" t="s">
        <v>2844</v>
      </c>
      <c r="P24" s="3156" t="s">
        <v>1132</v>
      </c>
      <c r="Q24" s="3156" t="s">
        <v>2919</v>
      </c>
      <c r="R24" s="3156" t="s">
        <v>2947</v>
      </c>
      <c r="S24" s="3156" t="s">
        <v>2985</v>
      </c>
    </row>
    <row r="25" spans="1:20" ht="14.25" customHeight="1">
      <c r="A25" s="3156" t="s">
        <v>1029</v>
      </c>
      <c r="B25" s="1214" t="s">
        <v>1081</v>
      </c>
      <c r="C25" s="3156">
        <v>32230</v>
      </c>
      <c r="D25" s="3156">
        <v>29640</v>
      </c>
      <c r="E25" s="3156">
        <v>29510</v>
      </c>
      <c r="F25" s="3162"/>
      <c r="G25" s="3163">
        <v>21560</v>
      </c>
      <c r="L25" s="3165" t="s">
        <v>2815</v>
      </c>
      <c r="M25" s="3156" t="s">
        <v>2818</v>
      </c>
      <c r="N25" s="3156" t="s">
        <v>1131</v>
      </c>
      <c r="O25" s="3156" t="s">
        <v>1139</v>
      </c>
      <c r="P25" s="3156" t="s">
        <v>1135</v>
      </c>
      <c r="Q25" s="3156" t="s">
        <v>1122</v>
      </c>
      <c r="R25" s="3156" t="s">
        <v>1117</v>
      </c>
      <c r="S25" s="3156" t="s">
        <v>2986</v>
      </c>
    </row>
    <row r="26" spans="1:20" ht="14.25" customHeight="1">
      <c r="A26" s="3156" t="s">
        <v>1029</v>
      </c>
      <c r="B26" s="1214" t="s">
        <v>1090</v>
      </c>
      <c r="C26" s="3156">
        <v>31690</v>
      </c>
      <c r="D26" s="3156">
        <v>27650</v>
      </c>
      <c r="E26" s="3156">
        <v>28200</v>
      </c>
      <c r="F26" s="3162"/>
      <c r="G26" s="3163">
        <v>20110</v>
      </c>
      <c r="L26" s="3165" t="s">
        <v>2816</v>
      </c>
      <c r="M26" s="3156" t="s">
        <v>2819</v>
      </c>
      <c r="N26" s="3156" t="s">
        <v>1134</v>
      </c>
      <c r="O26" s="3156" t="s">
        <v>1141</v>
      </c>
      <c r="P26" s="3156" t="s">
        <v>2891</v>
      </c>
      <c r="Q26" s="3156" t="s">
        <v>2920</v>
      </c>
      <c r="R26" s="3156" t="s">
        <v>1123</v>
      </c>
      <c r="S26" s="3156" t="s">
        <v>2987</v>
      </c>
    </row>
    <row r="27" spans="1:20" ht="14.25" customHeight="1">
      <c r="A27" s="3156" t="s">
        <v>1029</v>
      </c>
      <c r="B27" s="1214" t="s">
        <v>1097</v>
      </c>
      <c r="C27" s="3156">
        <v>29610</v>
      </c>
      <c r="D27" s="3156">
        <v>27770</v>
      </c>
      <c r="E27" s="3156">
        <v>28300</v>
      </c>
      <c r="F27" s="3162"/>
      <c r="G27" s="3163">
        <v>20210</v>
      </c>
      <c r="M27" s="3156" t="s">
        <v>2820</v>
      </c>
      <c r="N27" s="3156" t="s">
        <v>1138</v>
      </c>
      <c r="O27" s="3156" t="s">
        <v>1144</v>
      </c>
      <c r="P27" s="3156" t="s">
        <v>1121</v>
      </c>
      <c r="Q27" s="3156" t="s">
        <v>2921</v>
      </c>
      <c r="R27" s="3156" t="s">
        <v>2948</v>
      </c>
      <c r="S27" s="3156" t="s">
        <v>2988</v>
      </c>
    </row>
    <row r="28" spans="1:20" ht="14.25" customHeight="1">
      <c r="A28" s="3170" t="s">
        <v>1029</v>
      </c>
      <c r="B28" s="2404" t="s">
        <v>1105</v>
      </c>
      <c r="C28" s="1212"/>
      <c r="D28" s="1212">
        <v>31520</v>
      </c>
      <c r="E28" s="1212">
        <v>31410</v>
      </c>
      <c r="F28" s="3167"/>
      <c r="G28" s="3168">
        <v>22940</v>
      </c>
      <c r="M28" s="3156" t="s">
        <v>2821</v>
      </c>
      <c r="N28" s="3156" t="s">
        <v>2828</v>
      </c>
      <c r="O28" s="3156" t="s">
        <v>2845</v>
      </c>
      <c r="P28" s="3156" t="s">
        <v>2892</v>
      </c>
      <c r="Q28" s="3156" t="s">
        <v>2922</v>
      </c>
      <c r="R28" s="3156" t="s">
        <v>2949</v>
      </c>
      <c r="S28" s="3165" t="s">
        <v>2989</v>
      </c>
    </row>
    <row r="29" spans="1:20" ht="14.25" customHeight="1" thickBot="1">
      <c r="A29" s="3171" t="s">
        <v>1029</v>
      </c>
      <c r="B29" s="3159" t="s">
        <v>2810</v>
      </c>
      <c r="C29" s="3159"/>
      <c r="D29" s="3159">
        <v>29460</v>
      </c>
      <c r="E29" s="3159">
        <v>28640</v>
      </c>
      <c r="F29" s="3160"/>
      <c r="G29" s="3172">
        <v>21430</v>
      </c>
      <c r="M29" s="3165" t="s">
        <v>2822</v>
      </c>
      <c r="N29" s="3156" t="s">
        <v>2829</v>
      </c>
      <c r="O29" s="3156" t="s">
        <v>2846</v>
      </c>
      <c r="P29" s="3156" t="s">
        <v>2893</v>
      </c>
      <c r="Q29" s="3156" t="s">
        <v>2923</v>
      </c>
      <c r="R29" s="3156" t="s">
        <v>2950</v>
      </c>
      <c r="S29" s="3165" t="s">
        <v>1127</v>
      </c>
    </row>
    <row r="30" spans="1:20" ht="14.25" customHeight="1">
      <c r="A30" s="3170" t="s">
        <v>1143</v>
      </c>
      <c r="B30" s="1214" t="s">
        <v>2811</v>
      </c>
      <c r="C30" s="1214">
        <v>26890</v>
      </c>
      <c r="D30" s="1214">
        <v>26770</v>
      </c>
      <c r="E30" s="1214">
        <v>25700</v>
      </c>
      <c r="F30" s="3157">
        <v>8180</v>
      </c>
      <c r="G30" s="3157">
        <v>18740</v>
      </c>
      <c r="I30" s="969"/>
      <c r="M30" s="3165" t="s">
        <v>2823</v>
      </c>
      <c r="N30" s="3156" t="s">
        <v>2830</v>
      </c>
      <c r="O30" s="3156" t="s">
        <v>2847</v>
      </c>
      <c r="P30" s="3156" t="s">
        <v>2894</v>
      </c>
      <c r="Q30" s="3156" t="s">
        <v>2924</v>
      </c>
      <c r="R30" s="3156" t="s">
        <v>2951</v>
      </c>
      <c r="S30" s="3165" t="s">
        <v>2990</v>
      </c>
    </row>
    <row r="31" spans="1:20" ht="14.25" customHeight="1">
      <c r="A31" s="3156" t="s">
        <v>1143</v>
      </c>
      <c r="B31" s="1214" t="s">
        <v>972</v>
      </c>
      <c r="C31" s="3156">
        <v>24550</v>
      </c>
      <c r="D31" s="3156">
        <v>23990</v>
      </c>
      <c r="E31" s="3156">
        <v>22930</v>
      </c>
      <c r="F31" s="3162">
        <v>7470</v>
      </c>
      <c r="G31" s="3162">
        <v>16790</v>
      </c>
      <c r="I31" s="969"/>
      <c r="M31" s="3165" t="s">
        <v>2824</v>
      </c>
      <c r="N31" s="3156" t="s">
        <v>2831</v>
      </c>
      <c r="O31" s="3156" t="s">
        <v>2848</v>
      </c>
      <c r="P31" s="3156" t="s">
        <v>2895</v>
      </c>
      <c r="Q31" s="3156" t="s">
        <v>2925</v>
      </c>
      <c r="R31" s="3156" t="s">
        <v>2952</v>
      </c>
      <c r="S31" s="3165" t="s">
        <v>2991</v>
      </c>
    </row>
    <row r="32" spans="1:20" ht="14.25" customHeight="1">
      <c r="A32" s="3156" t="s">
        <v>1143</v>
      </c>
      <c r="B32" s="1214" t="s">
        <v>982</v>
      </c>
      <c r="C32" s="3156">
        <v>27210</v>
      </c>
      <c r="D32" s="3156">
        <v>23240</v>
      </c>
      <c r="E32" s="3156">
        <v>23260</v>
      </c>
      <c r="F32" s="3162">
        <v>7130</v>
      </c>
      <c r="G32" s="3162">
        <v>16270</v>
      </c>
      <c r="I32" s="969"/>
      <c r="M32" s="3165" t="s">
        <v>2825</v>
      </c>
      <c r="N32" s="3156" t="s">
        <v>2832</v>
      </c>
      <c r="O32" s="3156" t="s">
        <v>1147</v>
      </c>
      <c r="P32" s="3156" t="s">
        <v>2896</v>
      </c>
      <c r="Q32" s="3156" t="s">
        <v>1146</v>
      </c>
      <c r="R32" s="3156" t="s">
        <v>2953</v>
      </c>
      <c r="S32" s="3165" t="s">
        <v>2992</v>
      </c>
    </row>
    <row r="33" spans="1:18" ht="14.25" customHeight="1">
      <c r="A33" s="3156" t="s">
        <v>1143</v>
      </c>
      <c r="B33" s="1214" t="s">
        <v>991</v>
      </c>
      <c r="C33" s="3156">
        <v>27300</v>
      </c>
      <c r="D33" s="3156">
        <v>22980</v>
      </c>
      <c r="E33" s="3156">
        <v>24260</v>
      </c>
      <c r="F33" s="3162">
        <v>5860</v>
      </c>
      <c r="G33" s="3162">
        <v>16090</v>
      </c>
      <c r="I33" s="969"/>
      <c r="M33" s="3165" t="s">
        <v>2826</v>
      </c>
      <c r="N33" s="3156" t="s">
        <v>2833</v>
      </c>
      <c r="O33" s="3156" t="s">
        <v>1148</v>
      </c>
      <c r="P33" s="3156" t="s">
        <v>2897</v>
      </c>
      <c r="Q33" s="3156" t="s">
        <v>2926</v>
      </c>
      <c r="R33" s="3156" t="s">
        <v>2954</v>
      </c>
    </row>
    <row r="34" spans="1:18" ht="14.25" customHeight="1">
      <c r="A34" s="3156" t="s">
        <v>1143</v>
      </c>
      <c r="B34" s="1214" t="s">
        <v>1001</v>
      </c>
      <c r="C34" s="3156">
        <v>23090</v>
      </c>
      <c r="D34" s="3156">
        <v>23390</v>
      </c>
      <c r="E34" s="3156">
        <v>23510</v>
      </c>
      <c r="F34" s="3162">
        <v>6700</v>
      </c>
      <c r="G34" s="3162">
        <v>16370</v>
      </c>
      <c r="I34" s="969"/>
      <c r="N34" s="3156" t="s">
        <v>2834</v>
      </c>
      <c r="O34" s="3156" t="s">
        <v>1149</v>
      </c>
      <c r="P34" s="3156" t="s">
        <v>2898</v>
      </c>
      <c r="Q34" s="3156" t="s">
        <v>2927</v>
      </c>
      <c r="R34" s="3156" t="s">
        <v>2955</v>
      </c>
    </row>
    <row r="35" spans="1:18" ht="14.25" customHeight="1">
      <c r="A35" s="3156" t="s">
        <v>1143</v>
      </c>
      <c r="B35" s="1214" t="s">
        <v>1008</v>
      </c>
      <c r="C35" s="3156">
        <v>27270</v>
      </c>
      <c r="D35" s="3156">
        <v>24270</v>
      </c>
      <c r="E35" s="3156">
        <v>24950</v>
      </c>
      <c r="F35" s="3162">
        <v>6600</v>
      </c>
      <c r="G35" s="3162">
        <v>16990</v>
      </c>
      <c r="I35" s="969"/>
      <c r="N35" s="3156" t="s">
        <v>2835</v>
      </c>
      <c r="O35" s="3156" t="s">
        <v>2849</v>
      </c>
      <c r="P35" s="3156" t="s">
        <v>2899</v>
      </c>
      <c r="Q35" s="3156" t="s">
        <v>2928</v>
      </c>
      <c r="R35" s="3156" t="s">
        <v>2956</v>
      </c>
    </row>
    <row r="36" spans="1:18" ht="14.25" customHeight="1">
      <c r="A36" s="3156" t="s">
        <v>1143</v>
      </c>
      <c r="B36" s="1214" t="s">
        <v>1014</v>
      </c>
      <c r="C36" s="3156">
        <v>23490</v>
      </c>
      <c r="D36" s="3156">
        <v>23020</v>
      </c>
      <c r="E36" s="3156">
        <v>25230</v>
      </c>
      <c r="F36" s="3162">
        <v>6780</v>
      </c>
      <c r="G36" s="3162">
        <v>16120</v>
      </c>
      <c r="I36" s="969"/>
      <c r="N36" s="3165" t="s">
        <v>2836</v>
      </c>
      <c r="O36" s="3192" t="s">
        <v>2850</v>
      </c>
      <c r="P36" s="3156" t="s">
        <v>2900</v>
      </c>
      <c r="Q36" s="3156" t="s">
        <v>2929</v>
      </c>
      <c r="R36" s="3156" t="s">
        <v>2957</v>
      </c>
    </row>
    <row r="37" spans="1:18" ht="14.25" customHeight="1">
      <c r="A37" s="3156" t="s">
        <v>1143</v>
      </c>
      <c r="B37" s="1214" t="s">
        <v>1021</v>
      </c>
      <c r="C37" s="3156">
        <v>24380</v>
      </c>
      <c r="D37" s="3156">
        <v>22240</v>
      </c>
      <c r="E37" s="3156">
        <v>25980</v>
      </c>
      <c r="F37" s="3162">
        <v>8160</v>
      </c>
      <c r="G37" s="3162">
        <v>15570</v>
      </c>
      <c r="I37" s="970"/>
      <c r="N37" s="3165" t="s">
        <v>2837</v>
      </c>
      <c r="O37" s="3192" t="s">
        <v>2851</v>
      </c>
      <c r="P37" s="3156" t="s">
        <v>2901</v>
      </c>
      <c r="Q37" s="3156" t="s">
        <v>2930</v>
      </c>
      <c r="R37" s="3156" t="s">
        <v>2958</v>
      </c>
    </row>
    <row r="38" spans="1:18" ht="14.25" customHeight="1">
      <c r="A38" s="3156" t="s">
        <v>1143</v>
      </c>
      <c r="B38" s="1214" t="s">
        <v>1031</v>
      </c>
      <c r="C38" s="3156">
        <v>23120</v>
      </c>
      <c r="D38" s="3156">
        <v>24630</v>
      </c>
      <c r="E38" s="3156">
        <v>25030</v>
      </c>
      <c r="F38" s="3162">
        <v>7710</v>
      </c>
      <c r="G38" s="3162">
        <v>17240</v>
      </c>
      <c r="I38" s="969"/>
      <c r="N38" s="3165" t="s">
        <v>2838</v>
      </c>
      <c r="O38" s="3192" t="s">
        <v>2852</v>
      </c>
      <c r="P38" s="3156" t="s">
        <v>2902</v>
      </c>
      <c r="Q38" s="3156" t="s">
        <v>2931</v>
      </c>
      <c r="R38" s="3156" t="s">
        <v>2959</v>
      </c>
    </row>
    <row r="39" spans="1:18" ht="14.25" customHeight="1">
      <c r="A39" s="3156" t="s">
        <v>1143</v>
      </c>
      <c r="B39" s="1214" t="s">
        <v>1040</v>
      </c>
      <c r="C39" s="3156">
        <v>22330</v>
      </c>
      <c r="D39" s="3156">
        <v>21140</v>
      </c>
      <c r="E39" s="3156">
        <v>23970</v>
      </c>
      <c r="F39" s="3162">
        <v>7940</v>
      </c>
      <c r="G39" s="3162">
        <v>14790</v>
      </c>
      <c r="I39" s="969"/>
      <c r="N39" s="3165" t="s">
        <v>2839</v>
      </c>
      <c r="O39" s="3192" t="s">
        <v>2853</v>
      </c>
      <c r="P39" s="3156" t="s">
        <v>2903</v>
      </c>
      <c r="Q39" s="3156" t="s">
        <v>2932</v>
      </c>
      <c r="R39" s="3156" t="s">
        <v>2960</v>
      </c>
    </row>
    <row r="40" spans="1:18" ht="14.25" customHeight="1">
      <c r="A40" s="3156" t="s">
        <v>1143</v>
      </c>
      <c r="B40" s="1214" t="s">
        <v>1047</v>
      </c>
      <c r="C40" s="3156">
        <v>24740</v>
      </c>
      <c r="D40" s="3156">
        <v>24690</v>
      </c>
      <c r="E40" s="3156">
        <v>22610</v>
      </c>
      <c r="F40" s="3162"/>
      <c r="G40" s="3162">
        <v>17280</v>
      </c>
      <c r="I40" s="969"/>
      <c r="N40" s="3165" t="s">
        <v>2840</v>
      </c>
      <c r="O40" s="3192" t="s">
        <v>2854</v>
      </c>
      <c r="P40" s="3156" t="s">
        <v>2904</v>
      </c>
      <c r="Q40" s="3156" t="s">
        <v>2933</v>
      </c>
      <c r="R40" s="3156" t="s">
        <v>2961</v>
      </c>
    </row>
    <row r="41" spans="1:18" ht="14.25" customHeight="1">
      <c r="A41" s="3156" t="s">
        <v>1143</v>
      </c>
      <c r="B41" s="1214" t="s">
        <v>1054</v>
      </c>
      <c r="C41" s="3156">
        <v>21220</v>
      </c>
      <c r="D41" s="3156">
        <v>21120</v>
      </c>
      <c r="E41" s="3156">
        <v>22590</v>
      </c>
      <c r="F41" s="3162"/>
      <c r="G41" s="3162">
        <v>14780</v>
      </c>
      <c r="I41" s="969"/>
      <c r="N41" s="3165" t="s">
        <v>2841</v>
      </c>
      <c r="O41" s="3193" t="s">
        <v>2855</v>
      </c>
      <c r="P41" s="1214" t="s">
        <v>2905</v>
      </c>
      <c r="Q41" s="3165" t="s">
        <v>2934</v>
      </c>
      <c r="R41" s="1214" t="s">
        <v>2962</v>
      </c>
    </row>
    <row r="42" spans="1:18" ht="14.25" customHeight="1">
      <c r="A42" s="3156" t="s">
        <v>1143</v>
      </c>
      <c r="B42" s="1214" t="s">
        <v>1061</v>
      </c>
      <c r="C42" s="3156">
        <v>24800</v>
      </c>
      <c r="D42" s="3156">
        <v>22280</v>
      </c>
      <c r="E42" s="3156">
        <v>24350</v>
      </c>
      <c r="F42" s="3162"/>
      <c r="G42" s="3162">
        <v>15590</v>
      </c>
      <c r="I42" s="969"/>
      <c r="O42" s="3156" t="s">
        <v>2856</v>
      </c>
      <c r="P42" s="3156" t="s">
        <v>2906</v>
      </c>
      <c r="Q42" s="3165" t="s">
        <v>2935</v>
      </c>
      <c r="R42" s="3156" t="s">
        <v>2963</v>
      </c>
    </row>
    <row r="43" spans="1:18" ht="14.25" customHeight="1">
      <c r="A43" s="3156" t="s">
        <v>1143</v>
      </c>
      <c r="B43" s="1214" t="s">
        <v>1069</v>
      </c>
      <c r="C43" s="3156">
        <v>21210</v>
      </c>
      <c r="D43" s="3156">
        <v>21160</v>
      </c>
      <c r="E43" s="3156">
        <v>22650</v>
      </c>
      <c r="F43" s="3162"/>
      <c r="G43" s="3162">
        <v>14800</v>
      </c>
      <c r="I43" s="969"/>
      <c r="O43" s="3156" t="s">
        <v>2857</v>
      </c>
      <c r="P43" s="3156" t="s">
        <v>2907</v>
      </c>
      <c r="Q43" s="3165" t="s">
        <v>2936</v>
      </c>
      <c r="R43" s="3156" t="s">
        <v>2964</v>
      </c>
    </row>
    <row r="44" spans="1:18" ht="14.25" customHeight="1">
      <c r="A44" s="3156" t="s">
        <v>1143</v>
      </c>
      <c r="B44" s="1214" t="s">
        <v>1077</v>
      </c>
      <c r="C44" s="3156">
        <v>22370</v>
      </c>
      <c r="D44" s="3156">
        <v>23140</v>
      </c>
      <c r="E44" s="3156">
        <v>25090</v>
      </c>
      <c r="F44" s="3162"/>
      <c r="G44" s="3162">
        <v>16190</v>
      </c>
      <c r="I44" s="969"/>
      <c r="O44" s="3156" t="s">
        <v>2858</v>
      </c>
      <c r="P44" s="3156" t="s">
        <v>2908</v>
      </c>
      <c r="Q44" s="3165" t="s">
        <v>2937</v>
      </c>
      <c r="R44" s="3156" t="s">
        <v>2965</v>
      </c>
    </row>
    <row r="45" spans="1:18" ht="14.25" customHeight="1">
      <c r="A45" s="3156" t="s">
        <v>1143</v>
      </c>
      <c r="B45" s="1214" t="s">
        <v>1082</v>
      </c>
      <c r="C45" s="3156">
        <v>21240</v>
      </c>
      <c r="D45" s="3156">
        <v>27050</v>
      </c>
      <c r="E45" s="3156">
        <v>28000</v>
      </c>
      <c r="F45" s="3162"/>
      <c r="G45" s="3162">
        <v>18940</v>
      </c>
      <c r="I45" s="969"/>
      <c r="O45" s="3156" t="s">
        <v>2859</v>
      </c>
      <c r="P45" s="3156" t="s">
        <v>2909</v>
      </c>
      <c r="R45" s="3156" t="s">
        <v>2966</v>
      </c>
    </row>
    <row r="46" spans="1:18" ht="14.25" customHeight="1">
      <c r="A46" s="3156" t="s">
        <v>1143</v>
      </c>
      <c r="B46" s="1214" t="s">
        <v>1091</v>
      </c>
      <c r="C46" s="3156">
        <v>23240</v>
      </c>
      <c r="D46" s="3156">
        <v>23000</v>
      </c>
      <c r="E46" s="3156">
        <v>24980</v>
      </c>
      <c r="F46" s="3162"/>
      <c r="G46" s="3162">
        <v>16100</v>
      </c>
      <c r="I46" s="969"/>
      <c r="O46" s="3156" t="s">
        <v>2860</v>
      </c>
      <c r="P46" s="3156"/>
      <c r="R46" s="3156" t="s">
        <v>2967</v>
      </c>
    </row>
    <row r="47" spans="1:18" ht="14.25" customHeight="1">
      <c r="A47" s="3156" t="s">
        <v>1143</v>
      </c>
      <c r="B47" s="2404" t="s">
        <v>1098</v>
      </c>
      <c r="C47" s="1212">
        <v>27150</v>
      </c>
      <c r="D47" s="1212">
        <v>23310</v>
      </c>
      <c r="E47" s="1212">
        <v>25150</v>
      </c>
      <c r="F47" s="3167"/>
      <c r="G47" s="3167">
        <v>16310</v>
      </c>
      <c r="I47" s="969"/>
      <c r="O47" s="3156" t="s">
        <v>2861</v>
      </c>
      <c r="P47" s="3156"/>
      <c r="R47" s="3165" t="s">
        <v>2968</v>
      </c>
    </row>
    <row r="48" spans="1:18" ht="14.25" customHeight="1">
      <c r="A48" s="3156" t="s">
        <v>1143</v>
      </c>
      <c r="B48" s="3156" t="s">
        <v>1106</v>
      </c>
      <c r="C48" s="3156">
        <v>23100</v>
      </c>
      <c r="D48" s="3156">
        <v>21110</v>
      </c>
      <c r="E48" s="3156">
        <v>23080</v>
      </c>
      <c r="F48" s="3162"/>
      <c r="G48" s="3169">
        <v>14780</v>
      </c>
      <c r="I48" s="969"/>
      <c r="O48" s="3156" t="s">
        <v>2862</v>
      </c>
      <c r="P48" s="3156"/>
      <c r="R48" s="3165" t="s">
        <v>2969</v>
      </c>
    </row>
    <row r="49" spans="1:18" ht="14.25" customHeight="1">
      <c r="A49" s="3156" t="s">
        <v>1143</v>
      </c>
      <c r="B49" s="1214" t="s">
        <v>1113</v>
      </c>
      <c r="C49" s="1214">
        <v>23400</v>
      </c>
      <c r="D49" s="1214">
        <v>22920</v>
      </c>
      <c r="E49" s="1214">
        <v>24900</v>
      </c>
      <c r="F49" s="3157"/>
      <c r="G49" s="3157">
        <v>16040</v>
      </c>
      <c r="I49" s="969"/>
      <c r="O49" s="3156" t="s">
        <v>2863</v>
      </c>
      <c r="P49" s="3156"/>
      <c r="R49" s="3165" t="s">
        <v>2970</v>
      </c>
    </row>
    <row r="50" spans="1:18" ht="14.25" customHeight="1">
      <c r="A50" s="3156" t="s">
        <v>1143</v>
      </c>
      <c r="B50" s="3156" t="s">
        <v>2812</v>
      </c>
      <c r="C50" s="3156">
        <v>21200</v>
      </c>
      <c r="D50" s="3156">
        <v>26540</v>
      </c>
      <c r="E50" s="3156">
        <v>23200</v>
      </c>
      <c r="F50" s="3162"/>
      <c r="G50" s="3162">
        <v>18580</v>
      </c>
      <c r="I50" s="969"/>
      <c r="O50" s="3165" t="s">
        <v>2864</v>
      </c>
      <c r="R50" s="3165" t="s">
        <v>2971</v>
      </c>
    </row>
    <row r="51" spans="1:18" ht="14.25" customHeight="1">
      <c r="A51" s="3156" t="s">
        <v>1143</v>
      </c>
      <c r="B51" s="3156" t="s">
        <v>2813</v>
      </c>
      <c r="C51" s="3156">
        <v>23000</v>
      </c>
      <c r="D51" s="3156">
        <v>23460</v>
      </c>
      <c r="E51" s="3156">
        <v>25290</v>
      </c>
      <c r="F51" s="3162"/>
      <c r="G51" s="3162">
        <v>16420</v>
      </c>
      <c r="I51" s="969"/>
      <c r="O51" s="3165" t="s">
        <v>2865</v>
      </c>
      <c r="R51" s="3165" t="s">
        <v>2972</v>
      </c>
    </row>
    <row r="52" spans="1:18" ht="14.25" customHeight="1">
      <c r="A52" s="3156" t="s">
        <v>1143</v>
      </c>
      <c r="B52" s="3156" t="s">
        <v>2814</v>
      </c>
      <c r="C52" s="3156">
        <v>26660</v>
      </c>
      <c r="D52" s="3156">
        <v>22350</v>
      </c>
      <c r="E52" s="3156">
        <v>22920</v>
      </c>
      <c r="F52" s="3162"/>
      <c r="G52" s="3162">
        <v>15640</v>
      </c>
      <c r="I52" s="969"/>
      <c r="O52" s="3165" t="s">
        <v>2866</v>
      </c>
    </row>
    <row r="53" spans="1:18" ht="14.25" customHeight="1">
      <c r="A53" s="3156" t="s">
        <v>1143</v>
      </c>
      <c r="B53" s="3156" t="s">
        <v>2815</v>
      </c>
      <c r="C53" s="3156">
        <v>23580</v>
      </c>
      <c r="D53" s="3156"/>
      <c r="E53" s="3156">
        <v>24280</v>
      </c>
      <c r="F53" s="3162"/>
      <c r="G53" s="3162"/>
      <c r="I53" s="969"/>
      <c r="O53" s="3165" t="s">
        <v>2867</v>
      </c>
    </row>
    <row r="54" spans="1:18" ht="14.25" customHeight="1" thickBot="1">
      <c r="A54" s="3171" t="s">
        <v>1143</v>
      </c>
      <c r="B54" s="3159" t="s">
        <v>2816</v>
      </c>
      <c r="C54" s="3159">
        <v>22460</v>
      </c>
      <c r="D54" s="3159"/>
      <c r="E54" s="3159"/>
      <c r="F54" s="3160"/>
      <c r="G54" s="3172"/>
      <c r="I54" s="969"/>
      <c r="O54" s="3165" t="s">
        <v>2868</v>
      </c>
    </row>
    <row r="55" spans="1:18" ht="14.25" customHeight="1">
      <c r="A55" s="3170" t="s">
        <v>851</v>
      </c>
      <c r="B55" s="1214" t="s">
        <v>2817</v>
      </c>
      <c r="C55" s="1214">
        <v>21970</v>
      </c>
      <c r="D55" s="1214">
        <v>20370</v>
      </c>
      <c r="E55" s="1214">
        <v>20180</v>
      </c>
      <c r="F55" s="3157">
        <v>5730</v>
      </c>
      <c r="G55" s="3157">
        <v>13820</v>
      </c>
      <c r="I55" s="969"/>
      <c r="O55" s="3165" t="s">
        <v>2869</v>
      </c>
    </row>
    <row r="56" spans="1:18" ht="14.25" customHeight="1">
      <c r="A56" s="3156" t="s">
        <v>851</v>
      </c>
      <c r="B56" s="3156" t="s">
        <v>973</v>
      </c>
      <c r="C56" s="3156">
        <v>20470</v>
      </c>
      <c r="D56" s="3156">
        <v>20700</v>
      </c>
      <c r="E56" s="3156">
        <v>20380</v>
      </c>
      <c r="F56" s="3162">
        <v>4760</v>
      </c>
      <c r="G56" s="3162">
        <v>14050</v>
      </c>
      <c r="I56" s="969"/>
      <c r="O56" s="3165" t="s">
        <v>2870</v>
      </c>
    </row>
    <row r="57" spans="1:18" ht="14.25" customHeight="1">
      <c r="A57" s="3156" t="s">
        <v>851</v>
      </c>
      <c r="B57" s="3156" t="s">
        <v>983</v>
      </c>
      <c r="C57" s="3156">
        <v>20790</v>
      </c>
      <c r="D57" s="3156">
        <v>21370</v>
      </c>
      <c r="E57" s="3156">
        <v>20890</v>
      </c>
      <c r="F57" s="3162">
        <v>4910</v>
      </c>
      <c r="G57" s="3162">
        <v>14510</v>
      </c>
      <c r="I57" s="969"/>
      <c r="O57" s="3165" t="s">
        <v>2871</v>
      </c>
    </row>
    <row r="58" spans="1:18" ht="14.25" customHeight="1">
      <c r="A58" s="3156" t="s">
        <v>851</v>
      </c>
      <c r="B58" s="3156" t="s">
        <v>992</v>
      </c>
      <c r="C58" s="3156">
        <v>21460</v>
      </c>
      <c r="D58" s="3156">
        <v>20920</v>
      </c>
      <c r="E58" s="3156">
        <v>23410</v>
      </c>
      <c r="F58" s="3162">
        <v>5100</v>
      </c>
      <c r="G58" s="3162">
        <v>14200</v>
      </c>
      <c r="I58" s="969"/>
      <c r="O58" s="3165" t="s">
        <v>2872</v>
      </c>
    </row>
    <row r="59" spans="1:18" ht="14.25" customHeight="1">
      <c r="A59" s="3156" t="s">
        <v>851</v>
      </c>
      <c r="B59" s="3156" t="s">
        <v>1002</v>
      </c>
      <c r="C59" s="3156">
        <v>21000</v>
      </c>
      <c r="D59" s="3156">
        <v>21550</v>
      </c>
      <c r="E59" s="3156">
        <v>21150</v>
      </c>
      <c r="F59" s="3162">
        <v>5250</v>
      </c>
      <c r="G59" s="3162">
        <v>14630</v>
      </c>
      <c r="I59" s="969"/>
      <c r="O59" s="3165" t="s">
        <v>2873</v>
      </c>
    </row>
    <row r="60" spans="1:18" ht="14.25" customHeight="1">
      <c r="A60" s="3156" t="s">
        <v>851</v>
      </c>
      <c r="B60" s="3156" t="s">
        <v>1009</v>
      </c>
      <c r="C60" s="3156">
        <v>21640</v>
      </c>
      <c r="D60" s="3156">
        <v>21260</v>
      </c>
      <c r="E60" s="3156">
        <v>24040</v>
      </c>
      <c r="F60" s="3162">
        <v>4470</v>
      </c>
      <c r="G60" s="3162">
        <v>14430</v>
      </c>
      <c r="I60" s="969"/>
      <c r="O60" s="3165" t="s">
        <v>2874</v>
      </c>
    </row>
    <row r="61" spans="1:18" ht="14.25" customHeight="1">
      <c r="A61" s="3156" t="s">
        <v>851</v>
      </c>
      <c r="B61" s="3156" t="s">
        <v>1015</v>
      </c>
      <c r="C61" s="3156">
        <v>21330</v>
      </c>
      <c r="D61" s="3156">
        <v>18640</v>
      </c>
      <c r="E61" s="3156">
        <v>21190</v>
      </c>
      <c r="F61" s="3162">
        <v>4180</v>
      </c>
      <c r="G61" s="3164">
        <v>12650</v>
      </c>
      <c r="I61" s="969"/>
      <c r="O61" s="3165" t="s">
        <v>2875</v>
      </c>
    </row>
    <row r="62" spans="1:18" ht="14.25" customHeight="1">
      <c r="A62" s="3156" t="s">
        <v>851</v>
      </c>
      <c r="B62" s="3156" t="s">
        <v>1022</v>
      </c>
      <c r="C62" s="3156">
        <v>18710</v>
      </c>
      <c r="D62" s="3156">
        <v>19400</v>
      </c>
      <c r="E62" s="3156">
        <v>23750</v>
      </c>
      <c r="F62" s="3162">
        <v>4860</v>
      </c>
      <c r="G62" s="3164">
        <v>13170</v>
      </c>
      <c r="I62" s="969"/>
      <c r="O62" s="3165" t="s">
        <v>2876</v>
      </c>
    </row>
    <row r="63" spans="1:18" ht="14.25" customHeight="1">
      <c r="A63" s="3156" t="s">
        <v>851</v>
      </c>
      <c r="B63" s="3156" t="s">
        <v>1032</v>
      </c>
      <c r="C63" s="3156">
        <v>19480</v>
      </c>
      <c r="D63" s="3156">
        <v>16830</v>
      </c>
      <c r="E63" s="3156">
        <v>21590</v>
      </c>
      <c r="F63" s="3162">
        <v>4560</v>
      </c>
      <c r="G63" s="3164">
        <v>11420</v>
      </c>
      <c r="I63" s="969"/>
      <c r="O63" s="3165" t="s">
        <v>2877</v>
      </c>
    </row>
    <row r="64" spans="1:18" ht="14.25" customHeight="1">
      <c r="A64" s="3156" t="s">
        <v>851</v>
      </c>
      <c r="B64" s="3156" t="s">
        <v>1041</v>
      </c>
      <c r="C64" s="3156">
        <v>16920</v>
      </c>
      <c r="D64" s="3156">
        <v>19190</v>
      </c>
      <c r="E64" s="3156">
        <v>22200</v>
      </c>
      <c r="F64" s="3162">
        <v>4390</v>
      </c>
      <c r="G64" s="3164">
        <v>13030</v>
      </c>
      <c r="I64" s="969"/>
      <c r="O64" s="3165" t="s">
        <v>2878</v>
      </c>
    </row>
    <row r="65" spans="1:21" s="958" customFormat="1" ht="14.25" customHeight="1">
      <c r="A65" s="3156" t="s">
        <v>851</v>
      </c>
      <c r="B65" s="3156" t="s">
        <v>1048</v>
      </c>
      <c r="C65" s="3156">
        <v>19290</v>
      </c>
      <c r="D65" s="3156">
        <v>17020</v>
      </c>
      <c r="E65" s="3156">
        <v>19880</v>
      </c>
      <c r="F65" s="3162">
        <v>4070</v>
      </c>
      <c r="G65" s="3162">
        <v>11550</v>
      </c>
      <c r="I65" s="969"/>
      <c r="J65" s="3191"/>
      <c r="K65" s="3191"/>
      <c r="L65" s="3191"/>
      <c r="M65" s="3191"/>
      <c r="N65" s="3191"/>
      <c r="O65" s="3191"/>
      <c r="P65" s="3191"/>
      <c r="Q65" s="3191"/>
      <c r="R65" s="3191"/>
      <c r="S65" s="3191"/>
      <c r="T65" s="3191"/>
      <c r="U65" s="3191"/>
    </row>
    <row r="66" spans="1:21" s="958" customFormat="1" ht="14.25" customHeight="1">
      <c r="A66" s="3156" t="s">
        <v>851</v>
      </c>
      <c r="B66" s="3156" t="s">
        <v>1055</v>
      </c>
      <c r="C66" s="3156">
        <v>17090</v>
      </c>
      <c r="D66" s="3156">
        <v>18340</v>
      </c>
      <c r="E66" s="3156">
        <v>21830</v>
      </c>
      <c r="F66" s="3162">
        <v>4690</v>
      </c>
      <c r="G66" s="3162">
        <v>12450</v>
      </c>
      <c r="I66" s="969"/>
      <c r="J66" s="3191"/>
      <c r="K66" s="3191"/>
      <c r="L66" s="3191"/>
      <c r="M66" s="3191"/>
      <c r="N66" s="3191"/>
      <c r="O66" s="3191"/>
      <c r="P66" s="3191"/>
      <c r="Q66" s="3191"/>
      <c r="R66" s="3191"/>
      <c r="S66" s="3191"/>
      <c r="T66" s="3191"/>
      <c r="U66" s="3191"/>
    </row>
    <row r="67" spans="1:21" s="958" customFormat="1" ht="14.25" customHeight="1">
      <c r="A67" s="3156" t="s">
        <v>851</v>
      </c>
      <c r="B67" s="3156" t="s">
        <v>1062</v>
      </c>
      <c r="C67" s="3156">
        <v>18420</v>
      </c>
      <c r="D67" s="3156">
        <v>16360</v>
      </c>
      <c r="E67" s="3156">
        <v>20020</v>
      </c>
      <c r="F67" s="3162">
        <v>5150</v>
      </c>
      <c r="G67" s="3162">
        <v>11110</v>
      </c>
      <c r="I67" s="969"/>
      <c r="J67" s="3191"/>
      <c r="K67" s="3191"/>
      <c r="L67" s="3191"/>
      <c r="M67" s="3191"/>
      <c r="N67" s="3191"/>
      <c r="O67" s="3191"/>
      <c r="P67" s="3191"/>
      <c r="Q67" s="3191"/>
      <c r="R67" s="3191"/>
      <c r="S67" s="3191"/>
      <c r="T67" s="3191"/>
      <c r="U67" s="3191"/>
    </row>
    <row r="68" spans="1:21" s="958" customFormat="1" ht="14.25" customHeight="1">
      <c r="A68" s="3156" t="s">
        <v>851</v>
      </c>
      <c r="B68" s="3156" t="s">
        <v>1070</v>
      </c>
      <c r="C68" s="3156">
        <v>16450</v>
      </c>
      <c r="D68" s="3156">
        <v>18430</v>
      </c>
      <c r="E68" s="3156">
        <v>21010</v>
      </c>
      <c r="F68" s="3162">
        <v>4720</v>
      </c>
      <c r="G68" s="3162">
        <v>12510</v>
      </c>
      <c r="I68" s="969"/>
      <c r="J68" s="3191"/>
      <c r="K68" s="3191"/>
      <c r="L68" s="3191"/>
      <c r="M68" s="3191"/>
      <c r="N68" s="3191"/>
      <c r="O68" s="3191"/>
      <c r="P68" s="3191"/>
      <c r="Q68" s="3191"/>
      <c r="R68" s="3191"/>
      <c r="S68" s="3191"/>
      <c r="T68" s="3191"/>
      <c r="U68" s="3191"/>
    </row>
    <row r="69" spans="1:21" s="958" customFormat="1" ht="14.25" customHeight="1">
      <c r="A69" s="3156" t="s">
        <v>851</v>
      </c>
      <c r="B69" s="3156" t="s">
        <v>1078</v>
      </c>
      <c r="C69" s="3156">
        <v>18510</v>
      </c>
      <c r="D69" s="3156">
        <v>16300</v>
      </c>
      <c r="E69" s="3156">
        <v>18830</v>
      </c>
      <c r="F69" s="3162">
        <v>5400</v>
      </c>
      <c r="G69" s="3162">
        <v>11070</v>
      </c>
      <c r="I69" s="969"/>
      <c r="J69" s="3191"/>
      <c r="K69" s="3191"/>
      <c r="L69" s="3191"/>
      <c r="M69" s="3191"/>
      <c r="N69" s="3191"/>
      <c r="O69" s="3191"/>
      <c r="P69" s="3191"/>
      <c r="Q69" s="3191"/>
      <c r="R69" s="3191"/>
      <c r="S69" s="3191"/>
      <c r="T69" s="3191"/>
      <c r="U69" s="3191"/>
    </row>
    <row r="70" spans="1:21" s="958" customFormat="1" ht="14.25" customHeight="1">
      <c r="A70" s="3156" t="s">
        <v>851</v>
      </c>
      <c r="B70" s="3156" t="s">
        <v>1083</v>
      </c>
      <c r="C70" s="3156">
        <v>16370</v>
      </c>
      <c r="D70" s="3156">
        <v>18620</v>
      </c>
      <c r="E70" s="3156">
        <v>21100</v>
      </c>
      <c r="F70" s="3162">
        <v>5700</v>
      </c>
      <c r="G70" s="3162">
        <v>12640</v>
      </c>
      <c r="I70" s="969"/>
      <c r="J70" s="3191"/>
      <c r="K70" s="3191"/>
      <c r="L70" s="3191"/>
      <c r="M70" s="3191"/>
      <c r="N70" s="3191"/>
      <c r="O70" s="3191"/>
      <c r="P70" s="3191"/>
      <c r="Q70" s="3191"/>
      <c r="R70" s="3191"/>
      <c r="S70" s="3191"/>
      <c r="T70" s="3191"/>
      <c r="U70" s="3191"/>
    </row>
    <row r="71" spans="1:21" s="958" customFormat="1" ht="14.25" customHeight="1">
      <c r="A71" s="3156" t="s">
        <v>851</v>
      </c>
      <c r="B71" s="3156" t="s">
        <v>1092</v>
      </c>
      <c r="C71" s="3156">
        <v>18700</v>
      </c>
      <c r="D71" s="3156">
        <v>16290</v>
      </c>
      <c r="E71" s="3156">
        <v>18760</v>
      </c>
      <c r="F71" s="3162">
        <v>4780</v>
      </c>
      <c r="G71" s="3162">
        <v>11050</v>
      </c>
      <c r="I71" s="969"/>
      <c r="J71" s="3191"/>
      <c r="K71" s="3191"/>
      <c r="L71" s="3191"/>
      <c r="M71" s="3191"/>
      <c r="N71" s="3191"/>
      <c r="O71" s="3191"/>
      <c r="P71" s="3191"/>
      <c r="Q71" s="3191"/>
      <c r="R71" s="3191"/>
      <c r="S71" s="3191"/>
      <c r="T71" s="3191"/>
      <c r="U71" s="3191"/>
    </row>
    <row r="72" spans="1:21" s="958" customFormat="1" ht="14.25" customHeight="1">
      <c r="A72" s="3156" t="s">
        <v>851</v>
      </c>
      <c r="B72" s="3156" t="s">
        <v>1099</v>
      </c>
      <c r="C72" s="3156">
        <v>16340</v>
      </c>
      <c r="D72" s="3156">
        <v>17520</v>
      </c>
      <c r="E72" s="3156">
        <v>21170</v>
      </c>
      <c r="F72" s="3162"/>
      <c r="G72" s="3162">
        <v>11900</v>
      </c>
      <c r="I72" s="969"/>
      <c r="J72" s="3191"/>
      <c r="K72" s="3191"/>
      <c r="L72" s="3191"/>
      <c r="M72" s="3191"/>
      <c r="N72" s="3191"/>
      <c r="O72" s="3191"/>
      <c r="P72" s="3191"/>
      <c r="Q72" s="3191"/>
      <c r="R72" s="3191"/>
      <c r="S72" s="3191"/>
      <c r="T72" s="3191"/>
      <c r="U72" s="3191"/>
    </row>
    <row r="73" spans="1:21" s="958" customFormat="1" ht="14.25" customHeight="1">
      <c r="A73" s="3156" t="s">
        <v>851</v>
      </c>
      <c r="B73" s="3156" t="s">
        <v>1107</v>
      </c>
      <c r="C73" s="3156">
        <v>17610</v>
      </c>
      <c r="D73" s="3156">
        <v>18520</v>
      </c>
      <c r="E73" s="3156">
        <v>18720</v>
      </c>
      <c r="F73" s="3162"/>
      <c r="G73" s="3162">
        <v>12570</v>
      </c>
      <c r="I73" s="969"/>
      <c r="J73" s="3191"/>
      <c r="K73" s="3191"/>
      <c r="L73" s="3191"/>
      <c r="M73" s="3191"/>
      <c r="N73" s="3191"/>
      <c r="O73" s="3191"/>
      <c r="P73" s="3191"/>
      <c r="Q73" s="3191"/>
      <c r="R73" s="3191"/>
      <c r="S73" s="3191"/>
      <c r="T73" s="3191"/>
      <c r="U73" s="3191"/>
    </row>
    <row r="74" spans="1:21" s="958" customFormat="1" ht="14.25" customHeight="1">
      <c r="A74" s="3156" t="s">
        <v>851</v>
      </c>
      <c r="B74" s="3156" t="s">
        <v>1114</v>
      </c>
      <c r="C74" s="3156">
        <v>18600</v>
      </c>
      <c r="D74" s="3156">
        <v>16480</v>
      </c>
      <c r="E74" s="3156">
        <v>20100</v>
      </c>
      <c r="F74" s="3162"/>
      <c r="G74" s="3162">
        <v>11190</v>
      </c>
      <c r="I74" s="969"/>
      <c r="J74" s="3191"/>
      <c r="K74" s="3191"/>
      <c r="L74" s="3191"/>
      <c r="M74" s="3191"/>
      <c r="N74" s="3191"/>
      <c r="O74" s="3191"/>
      <c r="P74" s="3191"/>
      <c r="Q74" s="3191"/>
      <c r="R74" s="3191"/>
      <c r="S74" s="3191"/>
      <c r="T74" s="3191"/>
      <c r="U74" s="3191"/>
    </row>
    <row r="75" spans="1:21" s="958" customFormat="1" ht="14.25" customHeight="1">
      <c r="A75" s="3156" t="s">
        <v>851</v>
      </c>
      <c r="B75" s="3156" t="s">
        <v>1118</v>
      </c>
      <c r="C75" s="3156">
        <v>16570</v>
      </c>
      <c r="D75" s="3156">
        <v>17530</v>
      </c>
      <c r="E75" s="3156">
        <v>21030</v>
      </c>
      <c r="F75" s="3162"/>
      <c r="G75" s="3169">
        <v>11900</v>
      </c>
      <c r="I75" s="969"/>
      <c r="J75" s="3191"/>
      <c r="K75" s="3191"/>
      <c r="L75" s="3191"/>
      <c r="M75" s="3191"/>
      <c r="N75" s="3191"/>
      <c r="O75" s="3191"/>
      <c r="P75" s="3191"/>
      <c r="Q75" s="3191"/>
      <c r="R75" s="3191"/>
      <c r="S75" s="3191"/>
      <c r="T75" s="3191"/>
      <c r="U75" s="3191"/>
    </row>
    <row r="76" spans="1:21" s="958" customFormat="1" ht="14.25" customHeight="1">
      <c r="A76" s="3156" t="s">
        <v>851</v>
      </c>
      <c r="B76" s="1214" t="s">
        <v>1125</v>
      </c>
      <c r="C76" s="1214">
        <v>17610</v>
      </c>
      <c r="D76" s="1214">
        <v>20800</v>
      </c>
      <c r="E76" s="1214">
        <v>18920</v>
      </c>
      <c r="F76" s="3157"/>
      <c r="G76" s="3157">
        <v>14120</v>
      </c>
      <c r="I76" s="969"/>
      <c r="J76" s="3191"/>
      <c r="K76" s="3191"/>
      <c r="L76" s="3191"/>
      <c r="M76" s="3191"/>
      <c r="N76" s="3191"/>
      <c r="O76" s="3191"/>
      <c r="P76" s="3191"/>
      <c r="Q76" s="3191"/>
      <c r="R76" s="3191"/>
      <c r="S76" s="3191"/>
      <c r="T76" s="3191"/>
      <c r="U76" s="3191"/>
    </row>
    <row r="77" spans="1:21" s="958" customFormat="1" ht="14.25" customHeight="1">
      <c r="A77" s="3156" t="s">
        <v>851</v>
      </c>
      <c r="B77" s="3156" t="s">
        <v>1128</v>
      </c>
      <c r="C77" s="3156">
        <v>20890</v>
      </c>
      <c r="D77" s="3156">
        <v>19740</v>
      </c>
      <c r="E77" s="3156">
        <v>20110</v>
      </c>
      <c r="F77" s="3162"/>
      <c r="G77" s="3162">
        <v>13400</v>
      </c>
      <c r="I77" s="969"/>
      <c r="J77" s="3191"/>
      <c r="K77" s="3191"/>
      <c r="L77" s="3191"/>
      <c r="M77" s="3191"/>
      <c r="N77" s="3191"/>
      <c r="O77" s="3191"/>
      <c r="P77" s="3191"/>
      <c r="Q77" s="3191"/>
      <c r="R77" s="3191"/>
      <c r="S77" s="3191"/>
      <c r="T77" s="3191"/>
      <c r="U77" s="3191"/>
    </row>
    <row r="78" spans="1:21" s="958" customFormat="1" ht="14.25" customHeight="1">
      <c r="A78" s="3156" t="s">
        <v>851</v>
      </c>
      <c r="B78" s="3156" t="s">
        <v>2818</v>
      </c>
      <c r="C78" s="3156">
        <v>19820</v>
      </c>
      <c r="D78" s="3156">
        <v>19780</v>
      </c>
      <c r="E78" s="3156">
        <v>18560</v>
      </c>
      <c r="F78" s="3162"/>
      <c r="G78" s="3162">
        <v>13430</v>
      </c>
      <c r="I78" s="969"/>
      <c r="J78" s="3191"/>
      <c r="K78" s="3191"/>
      <c r="L78" s="3191"/>
      <c r="M78" s="3191"/>
      <c r="N78" s="3191"/>
      <c r="O78" s="3191"/>
      <c r="P78" s="3191"/>
      <c r="Q78" s="3191"/>
      <c r="R78" s="3191"/>
      <c r="S78" s="3191"/>
      <c r="T78" s="3191"/>
      <c r="U78" s="3191"/>
    </row>
    <row r="79" spans="1:21" s="958" customFormat="1" ht="14.25" customHeight="1">
      <c r="A79" s="3156" t="s">
        <v>851</v>
      </c>
      <c r="B79" s="3156" t="s">
        <v>2819</v>
      </c>
      <c r="C79" s="3156">
        <v>21660</v>
      </c>
      <c r="D79" s="3156">
        <v>18000</v>
      </c>
      <c r="E79" s="3156">
        <v>22570</v>
      </c>
      <c r="F79" s="3162"/>
      <c r="G79" s="3162">
        <v>12220</v>
      </c>
      <c r="I79" s="969"/>
      <c r="J79" s="3191"/>
      <c r="K79" s="3191"/>
      <c r="L79" s="3191"/>
      <c r="M79" s="3191"/>
      <c r="N79" s="3191"/>
      <c r="O79" s="3191"/>
      <c r="P79" s="3191"/>
      <c r="Q79" s="3191"/>
      <c r="R79" s="3191"/>
      <c r="S79" s="3191"/>
      <c r="T79" s="3191"/>
      <c r="U79" s="3191"/>
    </row>
    <row r="80" spans="1:21" s="958" customFormat="1" ht="14.25" customHeight="1">
      <c r="A80" s="3156" t="s">
        <v>851</v>
      </c>
      <c r="B80" s="3156" t="s">
        <v>2820</v>
      </c>
      <c r="C80" s="3156">
        <v>19850</v>
      </c>
      <c r="D80" s="3156"/>
      <c r="E80" s="3156">
        <v>21700</v>
      </c>
      <c r="F80" s="3162"/>
      <c r="G80" s="3162"/>
      <c r="I80" s="969"/>
      <c r="J80" s="3191"/>
      <c r="K80" s="3191"/>
      <c r="L80" s="3191"/>
      <c r="M80" s="3191"/>
      <c r="N80" s="3191"/>
      <c r="O80" s="3191"/>
      <c r="P80" s="3191"/>
      <c r="Q80" s="3191"/>
      <c r="R80" s="3191"/>
      <c r="S80" s="3191"/>
      <c r="T80" s="3191"/>
      <c r="U80" s="3191"/>
    </row>
    <row r="81" spans="1:21" s="958" customFormat="1" ht="14.25" customHeight="1">
      <c r="A81" s="3156" t="s">
        <v>851</v>
      </c>
      <c r="B81" s="3156" t="s">
        <v>2821</v>
      </c>
      <c r="C81" s="3156">
        <v>18080</v>
      </c>
      <c r="D81" s="3156"/>
      <c r="E81" s="3156">
        <v>20900</v>
      </c>
      <c r="F81" s="3162"/>
      <c r="G81" s="3162"/>
      <c r="I81" s="969"/>
      <c r="J81" s="3191"/>
      <c r="K81" s="3191"/>
      <c r="L81" s="3191"/>
      <c r="M81" s="3191"/>
      <c r="N81" s="3191"/>
      <c r="O81" s="3191"/>
      <c r="P81" s="3191"/>
      <c r="Q81" s="3191"/>
      <c r="R81" s="3191"/>
      <c r="S81" s="3191"/>
      <c r="T81" s="3191"/>
      <c r="U81" s="3191"/>
    </row>
    <row r="82" spans="1:21" s="958" customFormat="1" ht="14.25" customHeight="1">
      <c r="A82" s="3156" t="s">
        <v>851</v>
      </c>
      <c r="B82" s="3156" t="s">
        <v>2822</v>
      </c>
      <c r="C82" s="3156"/>
      <c r="D82" s="3156"/>
      <c r="E82" s="3156">
        <v>20840</v>
      </c>
      <c r="F82" s="3162"/>
      <c r="G82" s="3162"/>
      <c r="I82" s="969"/>
      <c r="J82" s="3191"/>
      <c r="K82" s="3191"/>
      <c r="L82" s="3191"/>
      <c r="M82" s="3191"/>
      <c r="N82" s="3191"/>
      <c r="O82" s="3191"/>
      <c r="P82" s="3191"/>
      <c r="Q82" s="3191"/>
      <c r="R82" s="3191"/>
      <c r="S82" s="3191"/>
      <c r="T82" s="3191"/>
      <c r="U82" s="3191"/>
    </row>
    <row r="83" spans="1:21" s="958" customFormat="1" ht="14.25" customHeight="1">
      <c r="A83" s="3156" t="s">
        <v>851</v>
      </c>
      <c r="B83" s="3156" t="s">
        <v>2823</v>
      </c>
      <c r="C83" s="3156"/>
      <c r="D83" s="3156"/>
      <c r="E83" s="3156"/>
      <c r="F83" s="3162">
        <v>4770</v>
      </c>
      <c r="G83" s="3162"/>
      <c r="I83" s="969"/>
      <c r="J83" s="3191"/>
      <c r="K83" s="3191"/>
      <c r="L83" s="3191"/>
      <c r="M83" s="3191"/>
      <c r="N83" s="3191"/>
      <c r="O83" s="3191"/>
      <c r="P83" s="3191"/>
      <c r="Q83" s="3191"/>
      <c r="R83" s="3191"/>
      <c r="S83" s="3191"/>
      <c r="T83" s="3191"/>
      <c r="U83" s="3191"/>
    </row>
    <row r="84" spans="1:21" s="958" customFormat="1" ht="14.25" customHeight="1">
      <c r="A84" s="3156" t="s">
        <v>851</v>
      </c>
      <c r="B84" s="3156" t="s">
        <v>2824</v>
      </c>
      <c r="C84" s="3156"/>
      <c r="D84" s="3156"/>
      <c r="E84" s="3156"/>
      <c r="F84" s="3162">
        <v>4600</v>
      </c>
      <c r="G84" s="3162"/>
      <c r="I84" s="969"/>
      <c r="J84" s="3191"/>
      <c r="K84" s="3191"/>
      <c r="L84" s="3191"/>
      <c r="M84" s="3191"/>
      <c r="N84" s="3191"/>
      <c r="O84" s="3191"/>
      <c r="P84" s="3191"/>
      <c r="Q84" s="3191"/>
      <c r="R84" s="3191"/>
      <c r="S84" s="3191"/>
      <c r="T84" s="3191"/>
      <c r="U84" s="3191"/>
    </row>
    <row r="85" spans="1:21" s="958" customFormat="1" ht="14.25" customHeight="1">
      <c r="A85" s="3156" t="s">
        <v>851</v>
      </c>
      <c r="B85" s="1212" t="s">
        <v>2825</v>
      </c>
      <c r="C85" s="1212"/>
      <c r="D85" s="1212"/>
      <c r="E85" s="1212"/>
      <c r="F85" s="3167">
        <v>4680</v>
      </c>
      <c r="G85" s="3167"/>
      <c r="I85" s="969"/>
      <c r="J85" s="3191"/>
      <c r="K85" s="3191"/>
      <c r="L85" s="3191"/>
      <c r="M85" s="3191"/>
      <c r="N85" s="3191"/>
      <c r="O85" s="3191"/>
      <c r="P85" s="3191"/>
      <c r="Q85" s="3191"/>
      <c r="R85" s="3191"/>
      <c r="S85" s="3191"/>
      <c r="T85" s="3191"/>
      <c r="U85" s="3191"/>
    </row>
    <row r="86" spans="1:21" s="958" customFormat="1" ht="14.25" customHeight="1" thickBot="1">
      <c r="A86" s="3171" t="s">
        <v>851</v>
      </c>
      <c r="B86" s="3159" t="s">
        <v>2826</v>
      </c>
      <c r="C86" s="3159">
        <v>16610</v>
      </c>
      <c r="D86" s="3159">
        <v>16540</v>
      </c>
      <c r="E86" s="3159">
        <v>18850</v>
      </c>
      <c r="F86" s="3160"/>
      <c r="G86" s="3172">
        <v>11220</v>
      </c>
      <c r="I86" s="969"/>
      <c r="J86" s="3191"/>
      <c r="K86" s="3191"/>
      <c r="L86" s="3191"/>
      <c r="M86" s="3191"/>
      <c r="N86" s="3191"/>
      <c r="O86" s="3191"/>
      <c r="P86" s="3191"/>
      <c r="Q86" s="3191"/>
      <c r="R86" s="3191"/>
      <c r="S86" s="3191"/>
      <c r="T86" s="3191"/>
      <c r="U86" s="3191"/>
    </row>
    <row r="87" spans="1:21" s="958" customFormat="1" ht="14.25" customHeight="1">
      <c r="A87" s="3170" t="s">
        <v>1150</v>
      </c>
      <c r="B87" s="1214" t="s">
        <v>2827</v>
      </c>
      <c r="C87" s="1214">
        <v>15240</v>
      </c>
      <c r="D87" s="1214">
        <v>15170</v>
      </c>
      <c r="E87" s="1214">
        <v>18260</v>
      </c>
      <c r="F87" s="3157">
        <v>3830</v>
      </c>
      <c r="G87" s="3173">
        <v>10020</v>
      </c>
      <c r="I87" s="969"/>
      <c r="J87" s="3191"/>
      <c r="K87" s="3191"/>
      <c r="L87" s="3191"/>
      <c r="M87" s="3191"/>
      <c r="N87" s="3191"/>
      <c r="O87" s="3191"/>
      <c r="P87" s="3191"/>
      <c r="Q87" s="3191"/>
      <c r="R87" s="3191"/>
      <c r="S87" s="3191"/>
      <c r="T87" s="3191"/>
      <c r="U87" s="3191"/>
    </row>
    <row r="88" spans="1:21" s="958" customFormat="1" ht="14.25" customHeight="1">
      <c r="A88" s="3156" t="s">
        <v>1150</v>
      </c>
      <c r="B88" s="3156" t="s">
        <v>974</v>
      </c>
      <c r="C88" s="3156">
        <v>17310</v>
      </c>
      <c r="D88" s="3156">
        <v>17220</v>
      </c>
      <c r="E88" s="3156">
        <v>18610</v>
      </c>
      <c r="F88" s="3162">
        <v>3990</v>
      </c>
      <c r="G88" s="3164">
        <v>11380</v>
      </c>
      <c r="I88" s="969"/>
      <c r="J88" s="3191"/>
      <c r="K88" s="3191"/>
      <c r="L88" s="3191"/>
      <c r="M88" s="3191"/>
      <c r="N88" s="3191"/>
      <c r="O88" s="3191"/>
      <c r="P88" s="3191"/>
      <c r="Q88" s="3191"/>
      <c r="R88" s="3191"/>
      <c r="S88" s="3191"/>
      <c r="T88" s="3191"/>
      <c r="U88" s="3191"/>
    </row>
    <row r="89" spans="1:21" s="958" customFormat="1" ht="14.25" customHeight="1">
      <c r="A89" s="3156" t="s">
        <v>1150</v>
      </c>
      <c r="B89" s="3156" t="s">
        <v>984</v>
      </c>
      <c r="C89" s="3156">
        <v>15600</v>
      </c>
      <c r="D89" s="3156">
        <v>15550</v>
      </c>
      <c r="E89" s="3156">
        <v>19200</v>
      </c>
      <c r="F89" s="3162">
        <v>4110</v>
      </c>
      <c r="G89" s="3164">
        <v>10270</v>
      </c>
      <c r="I89" s="969"/>
      <c r="J89" s="3191"/>
      <c r="K89" s="3191"/>
      <c r="L89" s="3191"/>
      <c r="M89" s="3191"/>
      <c r="N89" s="3191"/>
      <c r="O89" s="3191"/>
      <c r="P89" s="3191"/>
      <c r="Q89" s="3191"/>
      <c r="R89" s="3191"/>
      <c r="S89" s="3191"/>
      <c r="T89" s="3191"/>
      <c r="U89" s="3191"/>
    </row>
    <row r="90" spans="1:21" s="958" customFormat="1" ht="14.25" customHeight="1">
      <c r="A90" s="3156" t="s">
        <v>1150</v>
      </c>
      <c r="B90" s="3156" t="s">
        <v>993</v>
      </c>
      <c r="C90" s="3156">
        <v>17330</v>
      </c>
      <c r="D90" s="3156">
        <v>17240</v>
      </c>
      <c r="E90" s="3156">
        <v>18570</v>
      </c>
      <c r="F90" s="3162">
        <v>4070</v>
      </c>
      <c r="G90" s="3164">
        <v>11390</v>
      </c>
      <c r="I90" s="969"/>
      <c r="J90" s="3191"/>
      <c r="K90" s="3191"/>
      <c r="L90" s="3191"/>
      <c r="M90" s="3191"/>
      <c r="N90" s="3191"/>
      <c r="O90" s="3191"/>
      <c r="P90" s="3191"/>
      <c r="Q90" s="3191"/>
      <c r="R90" s="3191"/>
      <c r="S90" s="3191"/>
      <c r="T90" s="3191"/>
      <c r="U90" s="3191"/>
    </row>
    <row r="91" spans="1:21" s="958" customFormat="1" ht="14.25" customHeight="1">
      <c r="A91" s="3156" t="s">
        <v>1150</v>
      </c>
      <c r="B91" s="3156" t="s">
        <v>1003</v>
      </c>
      <c r="C91" s="3156">
        <v>16330</v>
      </c>
      <c r="D91" s="3156">
        <v>16260</v>
      </c>
      <c r="E91" s="3156">
        <v>16800</v>
      </c>
      <c r="F91" s="3162">
        <v>3410</v>
      </c>
      <c r="G91" s="3164">
        <v>10740</v>
      </c>
      <c r="I91" s="969"/>
      <c r="J91" s="3191"/>
      <c r="K91" s="3191"/>
      <c r="L91" s="3191"/>
      <c r="M91" s="3191"/>
      <c r="N91" s="3191"/>
      <c r="O91" s="3191"/>
      <c r="P91" s="3191"/>
      <c r="Q91" s="3191"/>
      <c r="R91" s="3191"/>
      <c r="S91" s="3191"/>
      <c r="T91" s="3191"/>
      <c r="U91" s="3191"/>
    </row>
    <row r="92" spans="1:21" s="958" customFormat="1" ht="14.25" customHeight="1">
      <c r="A92" s="3156" t="s">
        <v>1150</v>
      </c>
      <c r="B92" s="3156" t="s">
        <v>1010</v>
      </c>
      <c r="C92" s="3156">
        <v>15570</v>
      </c>
      <c r="D92" s="3156">
        <v>15500</v>
      </c>
      <c r="E92" s="3156">
        <v>17360</v>
      </c>
      <c r="F92" s="3162">
        <v>3510</v>
      </c>
      <c r="G92" s="3164">
        <v>10240</v>
      </c>
      <c r="I92" s="969"/>
      <c r="J92" s="3191"/>
      <c r="K92" s="3191"/>
      <c r="L92" s="3191"/>
      <c r="M92" s="3191"/>
      <c r="N92" s="3191"/>
      <c r="O92" s="3191"/>
      <c r="P92" s="3191"/>
      <c r="Q92" s="3191"/>
      <c r="R92" s="3191"/>
      <c r="S92" s="3191"/>
      <c r="T92" s="3191"/>
      <c r="U92" s="3191"/>
    </row>
    <row r="93" spans="1:21" s="958" customFormat="1" ht="14.25" customHeight="1">
      <c r="A93" s="3156" t="s">
        <v>1150</v>
      </c>
      <c r="B93" s="3156" t="s">
        <v>1016</v>
      </c>
      <c r="C93" s="3156">
        <v>14000</v>
      </c>
      <c r="D93" s="3156">
        <v>13930</v>
      </c>
      <c r="E93" s="3156">
        <v>18200</v>
      </c>
      <c r="F93" s="3162">
        <v>3640</v>
      </c>
      <c r="G93" s="3164">
        <v>9210</v>
      </c>
      <c r="I93" s="969"/>
      <c r="J93" s="3191"/>
      <c r="K93" s="3191"/>
      <c r="L93" s="3191"/>
      <c r="M93" s="3191"/>
      <c r="N93" s="3191"/>
      <c r="O93" s="3191"/>
      <c r="P93" s="3191"/>
      <c r="Q93" s="3191"/>
      <c r="R93" s="3191"/>
      <c r="S93" s="3191"/>
      <c r="T93" s="3191"/>
      <c r="U93" s="3191"/>
    </row>
    <row r="94" spans="1:21" s="958" customFormat="1" ht="14.25" customHeight="1">
      <c r="A94" s="3156" t="s">
        <v>1150</v>
      </c>
      <c r="B94" s="3156" t="s">
        <v>1023</v>
      </c>
      <c r="C94" s="3156">
        <v>14530</v>
      </c>
      <c r="D94" s="3156">
        <v>14470</v>
      </c>
      <c r="E94" s="3156">
        <v>18240</v>
      </c>
      <c r="F94" s="3162">
        <v>3180</v>
      </c>
      <c r="G94" s="3164">
        <v>9560</v>
      </c>
      <c r="I94" s="969"/>
      <c r="J94" s="3191"/>
      <c r="K94" s="3191"/>
      <c r="L94" s="3191"/>
      <c r="M94" s="3191"/>
      <c r="N94" s="3191"/>
      <c r="O94" s="3191"/>
      <c r="P94" s="3191"/>
      <c r="Q94" s="3191"/>
      <c r="R94" s="3191"/>
      <c r="S94" s="3191"/>
      <c r="T94" s="3191"/>
      <c r="U94" s="3191"/>
    </row>
    <row r="95" spans="1:21" s="958" customFormat="1" ht="14.25" customHeight="1">
      <c r="A95" s="3156" t="s">
        <v>1150</v>
      </c>
      <c r="B95" s="3156" t="s">
        <v>1033</v>
      </c>
      <c r="C95" s="3156">
        <v>17330</v>
      </c>
      <c r="D95" s="3156">
        <v>17260</v>
      </c>
      <c r="E95" s="3156">
        <v>18420</v>
      </c>
      <c r="F95" s="3162">
        <v>3060</v>
      </c>
      <c r="G95" s="3162">
        <v>11410</v>
      </c>
      <c r="I95" s="969"/>
      <c r="J95" s="3191"/>
      <c r="K95" s="3191"/>
      <c r="L95" s="3191"/>
      <c r="M95" s="3191"/>
      <c r="N95" s="3191"/>
      <c r="O95" s="3191"/>
      <c r="P95" s="3191"/>
      <c r="Q95" s="3191"/>
      <c r="R95" s="3191"/>
      <c r="S95" s="3191"/>
      <c r="T95" s="3191"/>
      <c r="U95" s="3191"/>
    </row>
    <row r="96" spans="1:21" s="958" customFormat="1" ht="14.25" customHeight="1">
      <c r="A96" s="3156" t="s">
        <v>1150</v>
      </c>
      <c r="B96" s="3156" t="s">
        <v>1042</v>
      </c>
      <c r="C96" s="3156">
        <v>15030</v>
      </c>
      <c r="D96" s="3156">
        <v>14970</v>
      </c>
      <c r="E96" s="3156">
        <v>17580</v>
      </c>
      <c r="F96" s="3162">
        <v>2970</v>
      </c>
      <c r="G96" s="3162">
        <v>9890</v>
      </c>
      <c r="I96" s="969"/>
      <c r="J96" s="3191"/>
      <c r="K96" s="3191"/>
      <c r="L96" s="3191"/>
      <c r="M96" s="3191"/>
      <c r="N96" s="3191"/>
      <c r="O96" s="3191"/>
      <c r="P96" s="3191"/>
      <c r="Q96" s="3191"/>
      <c r="R96" s="3191"/>
      <c r="S96" s="3191"/>
      <c r="T96" s="3191"/>
      <c r="U96" s="3191"/>
    </row>
    <row r="97" spans="1:21" s="958" customFormat="1" ht="14.25" customHeight="1">
      <c r="A97" s="3156" t="s">
        <v>1150</v>
      </c>
      <c r="B97" s="3156" t="s">
        <v>1049</v>
      </c>
      <c r="C97" s="3156">
        <v>17400</v>
      </c>
      <c r="D97" s="3156">
        <v>17330</v>
      </c>
      <c r="E97" s="3156">
        <v>16430</v>
      </c>
      <c r="F97" s="3162">
        <v>2950</v>
      </c>
      <c r="G97" s="3162">
        <v>11450</v>
      </c>
      <c r="I97" s="969"/>
      <c r="J97" s="3191"/>
      <c r="K97" s="3191"/>
      <c r="L97" s="3191"/>
      <c r="M97" s="3191"/>
      <c r="N97" s="3191"/>
      <c r="O97" s="3191"/>
      <c r="P97" s="3191"/>
      <c r="Q97" s="3191"/>
      <c r="R97" s="3191"/>
      <c r="S97" s="3191"/>
      <c r="T97" s="3191"/>
      <c r="U97" s="3191"/>
    </row>
    <row r="98" spans="1:21" s="958" customFormat="1" ht="14.25" customHeight="1">
      <c r="A98" s="3156" t="s">
        <v>1150</v>
      </c>
      <c r="B98" s="3156" t="s">
        <v>1056</v>
      </c>
      <c r="C98" s="3156">
        <v>15200</v>
      </c>
      <c r="D98" s="3156">
        <v>15120</v>
      </c>
      <c r="E98" s="3156">
        <v>17550</v>
      </c>
      <c r="F98" s="3162">
        <v>3080</v>
      </c>
      <c r="G98" s="3162">
        <v>9990</v>
      </c>
      <c r="I98" s="969"/>
      <c r="J98" s="3191"/>
      <c r="K98" s="3191"/>
      <c r="L98" s="3191"/>
      <c r="M98" s="3191"/>
      <c r="N98" s="3191"/>
      <c r="O98" s="3191"/>
      <c r="P98" s="3191"/>
      <c r="Q98" s="3191"/>
      <c r="R98" s="3191"/>
      <c r="S98" s="3191"/>
      <c r="T98" s="3191"/>
      <c r="U98" s="3191"/>
    </row>
    <row r="99" spans="1:21" s="958" customFormat="1" ht="14.25" customHeight="1">
      <c r="A99" s="3156" t="s">
        <v>1150</v>
      </c>
      <c r="B99" s="3156" t="s">
        <v>1063</v>
      </c>
      <c r="C99" s="3156">
        <v>17520</v>
      </c>
      <c r="D99" s="3156">
        <v>17430</v>
      </c>
      <c r="E99" s="3156">
        <v>16350</v>
      </c>
      <c r="F99" s="3162">
        <v>3260</v>
      </c>
      <c r="G99" s="3162">
        <v>11510</v>
      </c>
      <c r="I99" s="969"/>
      <c r="J99" s="3191"/>
      <c r="K99" s="3191"/>
      <c r="L99" s="3191"/>
      <c r="M99" s="3191"/>
      <c r="N99" s="3191"/>
      <c r="O99" s="3191"/>
      <c r="P99" s="3191"/>
      <c r="Q99" s="3191"/>
      <c r="R99" s="3191"/>
      <c r="S99" s="3191"/>
      <c r="T99" s="3191"/>
      <c r="U99" s="3191"/>
    </row>
    <row r="100" spans="1:21" s="958" customFormat="1" ht="14.25" customHeight="1">
      <c r="A100" s="3156" t="s">
        <v>1150</v>
      </c>
      <c r="B100" s="3156" t="s">
        <v>1071</v>
      </c>
      <c r="C100" s="3156">
        <v>15340</v>
      </c>
      <c r="D100" s="3156">
        <v>15260</v>
      </c>
      <c r="E100" s="3156">
        <v>15930</v>
      </c>
      <c r="F100" s="3162">
        <v>2740</v>
      </c>
      <c r="G100" s="3162">
        <v>10080</v>
      </c>
      <c r="I100" s="969"/>
      <c r="J100" s="3191"/>
      <c r="K100" s="3191"/>
      <c r="L100" s="3191"/>
      <c r="M100" s="3191"/>
      <c r="N100" s="3191"/>
      <c r="O100" s="3191"/>
      <c r="P100" s="3191"/>
      <c r="Q100" s="3191"/>
      <c r="R100" s="3191"/>
      <c r="S100" s="3191"/>
      <c r="T100" s="3191"/>
      <c r="U100" s="3191"/>
    </row>
    <row r="101" spans="1:21" s="958" customFormat="1" ht="14.25" customHeight="1">
      <c r="A101" s="3156" t="s">
        <v>1150</v>
      </c>
      <c r="B101" s="3156" t="s">
        <v>1079</v>
      </c>
      <c r="C101" s="3156">
        <v>14620</v>
      </c>
      <c r="D101" s="3156">
        <v>14560</v>
      </c>
      <c r="E101" s="3156">
        <v>15570</v>
      </c>
      <c r="F101" s="3162">
        <v>3500</v>
      </c>
      <c r="G101" s="3162">
        <v>9630</v>
      </c>
      <c r="I101" s="969"/>
      <c r="J101" s="3191"/>
      <c r="K101" s="3191"/>
      <c r="L101" s="3191"/>
      <c r="M101" s="3191"/>
      <c r="N101" s="3191"/>
      <c r="O101" s="3191"/>
      <c r="P101" s="3191"/>
      <c r="Q101" s="3191"/>
      <c r="R101" s="3191"/>
      <c r="S101" s="3191"/>
      <c r="T101" s="3191"/>
      <c r="U101" s="3191"/>
    </row>
    <row r="102" spans="1:21" s="958" customFormat="1" ht="14.25" customHeight="1">
      <c r="A102" s="3156" t="s">
        <v>1150</v>
      </c>
      <c r="B102" s="3156" t="s">
        <v>1084</v>
      </c>
      <c r="C102" s="3156">
        <v>13680</v>
      </c>
      <c r="D102" s="3156">
        <v>13610</v>
      </c>
      <c r="E102" s="3156">
        <v>15690</v>
      </c>
      <c r="F102" s="3162">
        <v>2870</v>
      </c>
      <c r="G102" s="3162">
        <v>8990</v>
      </c>
      <c r="I102" s="969"/>
      <c r="J102" s="3191"/>
      <c r="K102" s="3191"/>
      <c r="L102" s="3191"/>
      <c r="M102" s="3191"/>
      <c r="N102" s="3191"/>
      <c r="O102" s="3191"/>
      <c r="P102" s="3191"/>
      <c r="Q102" s="3191"/>
      <c r="R102" s="3191"/>
      <c r="S102" s="3191"/>
      <c r="T102" s="3191"/>
      <c r="U102" s="3191"/>
    </row>
    <row r="103" spans="1:21" s="958" customFormat="1" ht="14.25" customHeight="1">
      <c r="A103" s="3156" t="s">
        <v>1150</v>
      </c>
      <c r="B103" s="3156" t="s">
        <v>1093</v>
      </c>
      <c r="C103" s="3156">
        <v>14620</v>
      </c>
      <c r="D103" s="3156">
        <v>14540</v>
      </c>
      <c r="E103" s="3156">
        <v>15240</v>
      </c>
      <c r="F103" s="3162">
        <v>2840</v>
      </c>
      <c r="G103" s="3162">
        <v>9610</v>
      </c>
      <c r="I103" s="969"/>
      <c r="J103" s="3191"/>
      <c r="K103" s="3191"/>
      <c r="L103" s="3191"/>
      <c r="M103" s="3191"/>
      <c r="N103" s="3191"/>
      <c r="O103" s="3191"/>
      <c r="P103" s="3191"/>
      <c r="Q103" s="3191"/>
      <c r="R103" s="3191"/>
      <c r="S103" s="3191"/>
      <c r="T103" s="3191"/>
      <c r="U103" s="3191"/>
    </row>
    <row r="104" spans="1:21" s="958" customFormat="1" ht="14.25" customHeight="1">
      <c r="A104" s="3156" t="s">
        <v>1150</v>
      </c>
      <c r="B104" s="3156" t="s">
        <v>1100</v>
      </c>
      <c r="C104" s="3156">
        <v>13610</v>
      </c>
      <c r="D104" s="3156">
        <v>13540</v>
      </c>
      <c r="E104" s="3156">
        <v>15750</v>
      </c>
      <c r="F104" s="3162">
        <v>2770</v>
      </c>
      <c r="G104" s="3162">
        <v>8940</v>
      </c>
      <c r="I104" s="969"/>
      <c r="J104" s="3191"/>
      <c r="K104" s="3191"/>
      <c r="L104" s="3191"/>
      <c r="M104" s="3191"/>
      <c r="N104" s="3191"/>
      <c r="O104" s="3191"/>
      <c r="P104" s="3191"/>
      <c r="Q104" s="3191"/>
      <c r="R104" s="3191"/>
      <c r="S104" s="3191"/>
      <c r="T104" s="3191"/>
      <c r="U104" s="3191"/>
    </row>
    <row r="105" spans="1:21" s="958" customFormat="1" ht="14.25" customHeight="1">
      <c r="A105" s="3156" t="s">
        <v>1150</v>
      </c>
      <c r="B105" s="3156" t="s">
        <v>1108</v>
      </c>
      <c r="C105" s="3156">
        <v>13310</v>
      </c>
      <c r="D105" s="3156">
        <v>13240</v>
      </c>
      <c r="E105" s="3156">
        <v>16280</v>
      </c>
      <c r="F105" s="3162">
        <v>3210</v>
      </c>
      <c r="G105" s="3162">
        <v>8750</v>
      </c>
      <c r="I105" s="969"/>
      <c r="J105" s="3191"/>
      <c r="K105" s="3191"/>
      <c r="L105" s="3191"/>
      <c r="M105" s="3191"/>
      <c r="N105" s="3191"/>
      <c r="O105" s="3191"/>
      <c r="P105" s="3191"/>
      <c r="Q105" s="3191"/>
      <c r="R105" s="3191"/>
      <c r="S105" s="3191"/>
      <c r="T105" s="3191"/>
      <c r="U105" s="3191"/>
    </row>
    <row r="106" spans="1:21" s="958" customFormat="1" ht="14.25" customHeight="1">
      <c r="A106" s="3156" t="s">
        <v>1150</v>
      </c>
      <c r="B106" s="3156" t="s">
        <v>1115</v>
      </c>
      <c r="C106" s="3156">
        <v>13010</v>
      </c>
      <c r="D106" s="3156">
        <v>12930</v>
      </c>
      <c r="E106" s="3156">
        <v>14960</v>
      </c>
      <c r="F106" s="3162">
        <v>3530</v>
      </c>
      <c r="G106" s="3162">
        <v>8550</v>
      </c>
      <c r="I106" s="969"/>
      <c r="J106" s="3191"/>
      <c r="K106" s="3191"/>
      <c r="L106" s="3191"/>
      <c r="M106" s="3191"/>
      <c r="N106" s="3191"/>
      <c r="O106" s="3191"/>
      <c r="P106" s="3191"/>
      <c r="Q106" s="3191"/>
      <c r="R106" s="3191"/>
      <c r="S106" s="3191"/>
      <c r="T106" s="3191"/>
      <c r="U106" s="3191"/>
    </row>
    <row r="107" spans="1:21" s="958" customFormat="1" ht="14.25" customHeight="1">
      <c r="A107" s="3156" t="s">
        <v>1150</v>
      </c>
      <c r="B107" s="3156" t="s">
        <v>1119</v>
      </c>
      <c r="C107" s="3156">
        <v>13070</v>
      </c>
      <c r="D107" s="3156">
        <v>13000</v>
      </c>
      <c r="E107" s="3156">
        <v>15910</v>
      </c>
      <c r="F107" s="3162">
        <v>3990</v>
      </c>
      <c r="G107" s="3162">
        <v>8580</v>
      </c>
      <c r="I107" s="969"/>
      <c r="J107" s="3191"/>
      <c r="K107" s="3191"/>
      <c r="L107" s="3191"/>
      <c r="M107" s="3191"/>
      <c r="N107" s="3191"/>
      <c r="O107" s="3191"/>
      <c r="P107" s="3191"/>
      <c r="Q107" s="3191"/>
      <c r="R107" s="3191"/>
      <c r="S107" s="3191"/>
      <c r="T107" s="3191"/>
      <c r="U107" s="3191"/>
    </row>
    <row r="108" spans="1:21" s="958" customFormat="1" ht="14.25" customHeight="1">
      <c r="A108" s="3156" t="s">
        <v>1150</v>
      </c>
      <c r="B108" s="3156" t="s">
        <v>1126</v>
      </c>
      <c r="C108" s="3156">
        <v>12640</v>
      </c>
      <c r="D108" s="3156">
        <v>12580</v>
      </c>
      <c r="E108" s="3156">
        <v>15730</v>
      </c>
      <c r="F108" s="3162"/>
      <c r="G108" s="3162">
        <v>8310</v>
      </c>
      <c r="I108" s="969"/>
      <c r="J108" s="3191"/>
      <c r="K108" s="3191"/>
      <c r="L108" s="3191"/>
      <c r="M108" s="3191"/>
      <c r="N108" s="3191"/>
      <c r="O108" s="3191"/>
      <c r="P108" s="3191"/>
      <c r="Q108" s="3191"/>
      <c r="R108" s="3191"/>
      <c r="S108" s="3191"/>
      <c r="T108" s="3191"/>
      <c r="U108" s="3191"/>
    </row>
    <row r="109" spans="1:21" s="958" customFormat="1" ht="14.25" customHeight="1">
      <c r="A109" s="3156" t="s">
        <v>1150</v>
      </c>
      <c r="B109" s="3156" t="s">
        <v>1129</v>
      </c>
      <c r="C109" s="3156">
        <v>13130</v>
      </c>
      <c r="D109" s="3156">
        <v>13070</v>
      </c>
      <c r="E109" s="3156">
        <v>15000</v>
      </c>
      <c r="F109" s="3162"/>
      <c r="G109" s="3169">
        <v>8630</v>
      </c>
      <c r="I109" s="969"/>
      <c r="J109" s="3191"/>
      <c r="K109" s="3191"/>
      <c r="L109" s="3191"/>
      <c r="M109" s="3191"/>
      <c r="N109" s="3191"/>
      <c r="O109" s="3191"/>
      <c r="P109" s="3191"/>
      <c r="Q109" s="3191"/>
      <c r="R109" s="3191"/>
      <c r="S109" s="3191"/>
      <c r="T109" s="3191"/>
      <c r="U109" s="3191"/>
    </row>
    <row r="110" spans="1:21" s="958" customFormat="1" ht="14.25" customHeight="1">
      <c r="A110" s="3156" t="s">
        <v>1150</v>
      </c>
      <c r="B110" s="1214" t="s">
        <v>1131</v>
      </c>
      <c r="C110" s="1214">
        <v>13560</v>
      </c>
      <c r="D110" s="1214">
        <v>13490</v>
      </c>
      <c r="E110" s="1214">
        <v>16300</v>
      </c>
      <c r="F110" s="3157"/>
      <c r="G110" s="3157">
        <v>8920</v>
      </c>
      <c r="I110" s="969"/>
      <c r="J110" s="3191"/>
      <c r="K110" s="3191"/>
      <c r="L110" s="3191"/>
      <c r="M110" s="3191"/>
      <c r="N110" s="3191"/>
      <c r="O110" s="3191"/>
      <c r="P110" s="3191"/>
      <c r="Q110" s="3191"/>
      <c r="R110" s="3191"/>
      <c r="S110" s="3191"/>
      <c r="T110" s="3191"/>
      <c r="U110" s="3191"/>
    </row>
    <row r="111" spans="1:21" s="958" customFormat="1" ht="14.25" customHeight="1">
      <c r="A111" s="3156" t="s">
        <v>1150</v>
      </c>
      <c r="B111" s="3156" t="s">
        <v>1134</v>
      </c>
      <c r="C111" s="3156">
        <v>12440</v>
      </c>
      <c r="D111" s="3156">
        <v>12380</v>
      </c>
      <c r="E111" s="3156">
        <v>17850</v>
      </c>
      <c r="F111" s="3162"/>
      <c r="G111" s="3162">
        <v>8180</v>
      </c>
      <c r="I111" s="969"/>
      <c r="J111" s="3191"/>
      <c r="K111" s="3191"/>
      <c r="L111" s="3191"/>
      <c r="M111" s="3191"/>
      <c r="N111" s="3191"/>
      <c r="O111" s="3191"/>
      <c r="P111" s="3191"/>
      <c r="Q111" s="3191"/>
      <c r="R111" s="3191"/>
      <c r="S111" s="3191"/>
      <c r="T111" s="3191"/>
      <c r="U111" s="3191"/>
    </row>
    <row r="112" spans="1:21" s="958" customFormat="1" ht="14.25" customHeight="1">
      <c r="A112" s="3156" t="s">
        <v>1150</v>
      </c>
      <c r="B112" s="3156" t="s">
        <v>1138</v>
      </c>
      <c r="C112" s="3156">
        <v>13260</v>
      </c>
      <c r="D112" s="3156">
        <v>13180</v>
      </c>
      <c r="E112" s="3156">
        <v>19740</v>
      </c>
      <c r="F112" s="3162"/>
      <c r="G112" s="3162">
        <v>8710</v>
      </c>
      <c r="I112" s="969"/>
      <c r="J112" s="3191"/>
      <c r="K112" s="3191"/>
      <c r="L112" s="3191"/>
      <c r="M112" s="3191"/>
      <c r="N112" s="3191"/>
      <c r="O112" s="3191"/>
      <c r="P112" s="3191"/>
      <c r="Q112" s="3191"/>
      <c r="R112" s="3191"/>
      <c r="S112" s="3191"/>
      <c r="T112" s="3191"/>
      <c r="U112" s="3191"/>
    </row>
    <row r="113" spans="1:21" s="958" customFormat="1" ht="14.25" customHeight="1">
      <c r="A113" s="3156" t="s">
        <v>1150</v>
      </c>
      <c r="B113" s="3156" t="s">
        <v>2828</v>
      </c>
      <c r="C113" s="3156">
        <v>15520</v>
      </c>
      <c r="D113" s="3156">
        <v>15450</v>
      </c>
      <c r="E113" s="3156"/>
      <c r="F113" s="3162"/>
      <c r="G113" s="3162">
        <v>10210</v>
      </c>
      <c r="I113" s="969"/>
      <c r="J113" s="3191"/>
      <c r="K113" s="3191"/>
      <c r="L113" s="3191"/>
      <c r="M113" s="3191"/>
      <c r="N113" s="3191"/>
      <c r="O113" s="3191"/>
      <c r="P113" s="3191"/>
      <c r="Q113" s="3191"/>
      <c r="R113" s="3191"/>
      <c r="S113" s="3191"/>
      <c r="T113" s="3191"/>
      <c r="U113" s="3191"/>
    </row>
    <row r="114" spans="1:21" s="958" customFormat="1" ht="14.25" customHeight="1">
      <c r="A114" s="3156" t="s">
        <v>1150</v>
      </c>
      <c r="B114" s="3156" t="s">
        <v>2829</v>
      </c>
      <c r="C114" s="3156">
        <v>13110</v>
      </c>
      <c r="D114" s="3156">
        <v>13050</v>
      </c>
      <c r="E114" s="3156"/>
      <c r="F114" s="3162"/>
      <c r="G114" s="3162">
        <v>8620</v>
      </c>
      <c r="I114" s="969"/>
      <c r="J114" s="3191"/>
      <c r="K114" s="3191"/>
      <c r="L114" s="3191"/>
      <c r="M114" s="3191"/>
      <c r="N114" s="3191"/>
      <c r="O114" s="3191"/>
      <c r="P114" s="3191"/>
      <c r="Q114" s="3191"/>
      <c r="R114" s="3191"/>
      <c r="S114" s="3191"/>
      <c r="T114" s="3191"/>
      <c r="U114" s="3191"/>
    </row>
    <row r="115" spans="1:21" s="958" customFormat="1" ht="14.25" customHeight="1">
      <c r="A115" s="3156" t="s">
        <v>1150</v>
      </c>
      <c r="B115" s="3156" t="s">
        <v>2830</v>
      </c>
      <c r="C115" s="3156">
        <v>12460</v>
      </c>
      <c r="D115" s="3156">
        <v>12390</v>
      </c>
      <c r="E115" s="3156"/>
      <c r="F115" s="3162"/>
      <c r="G115" s="3162">
        <v>8190</v>
      </c>
      <c r="I115" s="969"/>
      <c r="J115" s="3191"/>
      <c r="K115" s="3191"/>
      <c r="L115" s="3191"/>
      <c r="M115" s="3191"/>
      <c r="N115" s="3191"/>
      <c r="O115" s="3191"/>
      <c r="P115" s="3191"/>
      <c r="Q115" s="3191"/>
      <c r="R115" s="3191"/>
      <c r="S115" s="3191"/>
      <c r="T115" s="3191"/>
      <c r="U115" s="3191"/>
    </row>
    <row r="116" spans="1:21" s="958" customFormat="1" ht="14.25" customHeight="1">
      <c r="A116" s="3156" t="s">
        <v>1150</v>
      </c>
      <c r="B116" s="3156" t="s">
        <v>2831</v>
      </c>
      <c r="C116" s="3156">
        <v>13580</v>
      </c>
      <c r="D116" s="3156">
        <v>13520</v>
      </c>
      <c r="E116" s="3156"/>
      <c r="F116" s="3162"/>
      <c r="G116" s="3162">
        <v>8930</v>
      </c>
      <c r="I116" s="969"/>
      <c r="J116" s="3191"/>
      <c r="K116" s="3191"/>
      <c r="L116" s="3191"/>
      <c r="M116" s="3191"/>
      <c r="N116" s="3191"/>
      <c r="O116" s="3191"/>
      <c r="P116" s="3191"/>
      <c r="Q116" s="3191"/>
      <c r="R116" s="3191"/>
      <c r="S116" s="3191"/>
      <c r="T116" s="3191"/>
      <c r="U116" s="3191"/>
    </row>
    <row r="117" spans="1:21" s="958" customFormat="1" ht="14.25" customHeight="1">
      <c r="A117" s="3156" t="s">
        <v>1150</v>
      </c>
      <c r="B117" s="3156" t="s">
        <v>2832</v>
      </c>
      <c r="C117" s="3156">
        <v>17120</v>
      </c>
      <c r="D117" s="3156">
        <v>17040</v>
      </c>
      <c r="E117" s="3156"/>
      <c r="F117" s="3162"/>
      <c r="G117" s="3162">
        <v>11260</v>
      </c>
      <c r="I117" s="969"/>
      <c r="J117" s="3191"/>
      <c r="K117" s="3191"/>
      <c r="L117" s="3191"/>
      <c r="M117" s="3191"/>
      <c r="N117" s="3191"/>
      <c r="O117" s="3191"/>
      <c r="P117" s="3191"/>
      <c r="Q117" s="3191"/>
      <c r="R117" s="3191"/>
      <c r="S117" s="3191"/>
      <c r="T117" s="3191"/>
      <c r="U117" s="3191"/>
    </row>
    <row r="118" spans="1:21" s="958" customFormat="1" ht="14.25" customHeight="1">
      <c r="A118" s="3156" t="s">
        <v>1150</v>
      </c>
      <c r="B118" s="3156" t="s">
        <v>2833</v>
      </c>
      <c r="C118" s="3156">
        <v>14860</v>
      </c>
      <c r="D118" s="3156">
        <v>14790</v>
      </c>
      <c r="E118" s="3156"/>
      <c r="F118" s="3162"/>
      <c r="G118" s="3162">
        <v>9780</v>
      </c>
      <c r="I118" s="969"/>
      <c r="J118" s="3191"/>
      <c r="K118" s="3191"/>
      <c r="L118" s="3191"/>
      <c r="M118" s="3191"/>
      <c r="N118" s="3191"/>
      <c r="O118" s="3191"/>
      <c r="P118" s="3191"/>
      <c r="Q118" s="3191"/>
      <c r="R118" s="3191"/>
      <c r="S118" s="3191"/>
      <c r="T118" s="3191"/>
      <c r="U118" s="3191"/>
    </row>
    <row r="119" spans="1:21" s="958" customFormat="1" ht="14.25" customHeight="1">
      <c r="A119" s="3156" t="s">
        <v>1150</v>
      </c>
      <c r="B119" s="3156" t="s">
        <v>2834</v>
      </c>
      <c r="C119" s="3156">
        <v>16470</v>
      </c>
      <c r="D119" s="3156">
        <v>16400</v>
      </c>
      <c r="E119" s="3156"/>
      <c r="F119" s="3162"/>
      <c r="G119" s="3162">
        <v>10840</v>
      </c>
      <c r="I119" s="969"/>
      <c r="J119" s="3191"/>
      <c r="K119" s="3191"/>
      <c r="L119" s="3191"/>
      <c r="M119" s="3191"/>
      <c r="N119" s="3191"/>
      <c r="O119" s="3191"/>
      <c r="P119" s="3191"/>
      <c r="Q119" s="3191"/>
      <c r="R119" s="3191"/>
      <c r="S119" s="3191"/>
      <c r="T119" s="3191"/>
      <c r="U119" s="3191"/>
    </row>
    <row r="120" spans="1:21" s="958" customFormat="1" ht="14.25" customHeight="1">
      <c r="A120" s="3156" t="s">
        <v>1150</v>
      </c>
      <c r="B120" s="3156" t="s">
        <v>2835</v>
      </c>
      <c r="C120" s="3156"/>
      <c r="D120" s="3156"/>
      <c r="E120" s="3156"/>
      <c r="F120" s="3162">
        <v>4160</v>
      </c>
      <c r="G120" s="3162"/>
      <c r="I120" s="969"/>
      <c r="J120" s="3191"/>
      <c r="K120" s="3191"/>
      <c r="L120" s="3191"/>
      <c r="M120" s="3191"/>
      <c r="N120" s="3191"/>
      <c r="O120" s="3191"/>
      <c r="P120" s="3191"/>
      <c r="Q120" s="3191"/>
      <c r="R120" s="3191"/>
      <c r="S120" s="3191"/>
      <c r="T120" s="3191"/>
      <c r="U120" s="3191"/>
    </row>
    <row r="121" spans="1:21" s="958" customFormat="1" ht="14.25" customHeight="1">
      <c r="A121" s="3156" t="s">
        <v>1150</v>
      </c>
      <c r="B121" s="3156" t="s">
        <v>2836</v>
      </c>
      <c r="C121" s="3156"/>
      <c r="D121" s="3156"/>
      <c r="E121" s="3156"/>
      <c r="F121" s="3162">
        <v>3880</v>
      </c>
      <c r="G121" s="3162"/>
      <c r="I121" s="969"/>
      <c r="J121" s="3191"/>
      <c r="K121" s="3191"/>
      <c r="L121" s="3191"/>
      <c r="M121" s="3191"/>
      <c r="N121" s="3191"/>
      <c r="O121" s="3191"/>
      <c r="P121" s="3191"/>
      <c r="Q121" s="3191"/>
      <c r="R121" s="3191"/>
      <c r="S121" s="3191"/>
      <c r="T121" s="3191"/>
      <c r="U121" s="3191"/>
    </row>
    <row r="122" spans="1:21" s="958" customFormat="1" ht="14.25" customHeight="1">
      <c r="A122" s="3156" t="s">
        <v>1150</v>
      </c>
      <c r="B122" s="3156" t="s">
        <v>2837</v>
      </c>
      <c r="C122" s="3156">
        <v>13750</v>
      </c>
      <c r="D122" s="3156">
        <v>13680</v>
      </c>
      <c r="E122" s="3156">
        <v>16460</v>
      </c>
      <c r="F122" s="3162">
        <v>2880</v>
      </c>
      <c r="G122" s="3162">
        <v>9040</v>
      </c>
      <c r="I122" s="969"/>
      <c r="J122" s="3191"/>
      <c r="K122" s="3191"/>
      <c r="L122" s="3191"/>
      <c r="M122" s="3191"/>
      <c r="N122" s="3191"/>
      <c r="O122" s="3191"/>
      <c r="P122" s="3191"/>
      <c r="Q122" s="3191"/>
      <c r="R122" s="3191"/>
      <c r="S122" s="3191"/>
      <c r="T122" s="3191"/>
      <c r="U122" s="3191"/>
    </row>
    <row r="123" spans="1:21" s="958" customFormat="1" ht="14.25" customHeight="1">
      <c r="A123" s="3156" t="s">
        <v>1150</v>
      </c>
      <c r="B123" s="3156" t="s">
        <v>2838</v>
      </c>
      <c r="C123" s="3156">
        <v>13590</v>
      </c>
      <c r="D123" s="3156">
        <v>13520</v>
      </c>
      <c r="E123" s="3156">
        <v>16290</v>
      </c>
      <c r="F123" s="3162">
        <v>2790</v>
      </c>
      <c r="G123" s="3162">
        <v>8930</v>
      </c>
      <c r="I123" s="969"/>
      <c r="J123" s="3191"/>
      <c r="K123" s="3191"/>
      <c r="L123" s="3191"/>
      <c r="M123" s="3191"/>
      <c r="N123" s="3191"/>
      <c r="O123" s="3191"/>
      <c r="P123" s="3191"/>
      <c r="Q123" s="3191"/>
      <c r="R123" s="3191"/>
      <c r="S123" s="3191"/>
      <c r="T123" s="3191"/>
      <c r="U123" s="3191"/>
    </row>
    <row r="124" spans="1:21" s="958" customFormat="1" ht="14.25" customHeight="1">
      <c r="A124" s="3156" t="s">
        <v>1150</v>
      </c>
      <c r="B124" s="3156" t="s">
        <v>2839</v>
      </c>
      <c r="C124" s="3156">
        <v>13400</v>
      </c>
      <c r="D124" s="3156">
        <v>13320</v>
      </c>
      <c r="E124" s="3156">
        <v>16100</v>
      </c>
      <c r="F124" s="3162">
        <v>2320</v>
      </c>
      <c r="G124" s="3164">
        <v>8800</v>
      </c>
      <c r="I124" s="969"/>
      <c r="J124" s="3191"/>
      <c r="K124" s="3191"/>
      <c r="L124" s="3191"/>
      <c r="M124" s="3191"/>
      <c r="N124" s="3191"/>
      <c r="O124" s="3191"/>
      <c r="P124" s="3191"/>
      <c r="Q124" s="3191"/>
      <c r="R124" s="3191"/>
      <c r="S124" s="3191"/>
      <c r="T124" s="3191"/>
      <c r="U124" s="3191"/>
    </row>
    <row r="125" spans="1:21" s="958" customFormat="1" ht="14.25" customHeight="1">
      <c r="A125" s="3156" t="s">
        <v>1150</v>
      </c>
      <c r="B125" s="1212" t="s">
        <v>2840</v>
      </c>
      <c r="C125" s="1212">
        <v>12860</v>
      </c>
      <c r="D125" s="1212">
        <v>12790</v>
      </c>
      <c r="E125" s="1212">
        <v>15370</v>
      </c>
      <c r="F125" s="3167">
        <v>2280</v>
      </c>
      <c r="G125" s="3174">
        <v>8450</v>
      </c>
      <c r="I125" s="969"/>
      <c r="J125" s="3191"/>
      <c r="K125" s="3191"/>
      <c r="L125" s="3191"/>
      <c r="M125" s="3191"/>
      <c r="N125" s="3191"/>
      <c r="O125" s="3191"/>
      <c r="P125" s="3191"/>
      <c r="Q125" s="3191"/>
      <c r="R125" s="3191"/>
      <c r="S125" s="3191"/>
      <c r="T125" s="3191"/>
      <c r="U125" s="3191"/>
    </row>
    <row r="126" spans="1:21" s="958" customFormat="1" ht="14.25" customHeight="1" thickBot="1">
      <c r="A126" s="3171" t="s">
        <v>1150</v>
      </c>
      <c r="B126" s="3159" t="s">
        <v>2841</v>
      </c>
      <c r="C126" s="3159">
        <v>12960</v>
      </c>
      <c r="D126" s="3159">
        <v>12890</v>
      </c>
      <c r="E126" s="3159">
        <v>15530</v>
      </c>
      <c r="F126" s="3160">
        <v>2910</v>
      </c>
      <c r="G126" s="3175">
        <v>8520</v>
      </c>
      <c r="I126" s="969"/>
      <c r="J126" s="3191"/>
      <c r="K126" s="3191"/>
      <c r="L126" s="3191"/>
      <c r="M126" s="3191"/>
      <c r="N126" s="3191"/>
      <c r="O126" s="3191"/>
      <c r="P126" s="3191"/>
      <c r="Q126" s="3191"/>
      <c r="R126" s="3191"/>
      <c r="S126" s="3191"/>
      <c r="T126" s="3191"/>
      <c r="U126" s="3191"/>
    </row>
    <row r="127" spans="1:21" s="958" customFormat="1" ht="14.25" customHeight="1">
      <c r="A127" s="3170" t="s">
        <v>1151</v>
      </c>
      <c r="B127" s="1214" t="s">
        <v>2842</v>
      </c>
      <c r="C127" s="1214">
        <v>12280</v>
      </c>
      <c r="D127" s="1214">
        <v>12250</v>
      </c>
      <c r="E127" s="1214">
        <v>15130</v>
      </c>
      <c r="F127" s="3157">
        <v>2710</v>
      </c>
      <c r="G127" s="3173">
        <v>7870</v>
      </c>
      <c r="I127" s="969"/>
      <c r="J127" s="3191"/>
      <c r="K127" s="3191"/>
      <c r="L127" s="3191"/>
      <c r="M127" s="3191"/>
      <c r="N127" s="3191"/>
      <c r="O127" s="3191"/>
      <c r="P127" s="3191"/>
      <c r="Q127" s="3191"/>
      <c r="R127" s="3191"/>
      <c r="S127" s="3191"/>
      <c r="T127" s="3191"/>
      <c r="U127" s="3191"/>
    </row>
    <row r="128" spans="1:21" s="958" customFormat="1" ht="14.25" customHeight="1">
      <c r="A128" s="3156" t="s">
        <v>1151</v>
      </c>
      <c r="B128" s="3156" t="s">
        <v>975</v>
      </c>
      <c r="C128" s="3156">
        <v>13180</v>
      </c>
      <c r="D128" s="3156">
        <v>13150</v>
      </c>
      <c r="E128" s="3156">
        <v>16190</v>
      </c>
      <c r="F128" s="3162">
        <v>2820</v>
      </c>
      <c r="G128" s="3164">
        <v>8460</v>
      </c>
      <c r="I128" s="969"/>
      <c r="J128" s="3191"/>
      <c r="K128" s="3191"/>
      <c r="L128" s="3191"/>
      <c r="M128" s="3191"/>
      <c r="N128" s="3191"/>
      <c r="O128" s="3191"/>
      <c r="P128" s="3191"/>
      <c r="Q128" s="3191"/>
      <c r="R128" s="3191"/>
      <c r="S128" s="3191"/>
      <c r="T128" s="3191"/>
      <c r="U128" s="3191"/>
    </row>
    <row r="129" spans="1:21" s="958" customFormat="1" ht="14.25" customHeight="1">
      <c r="A129" s="3156" t="s">
        <v>1151</v>
      </c>
      <c r="B129" s="3156" t="s">
        <v>985</v>
      </c>
      <c r="C129" s="3156">
        <v>10950</v>
      </c>
      <c r="D129" s="3156">
        <v>10920</v>
      </c>
      <c r="E129" s="3156">
        <v>13820</v>
      </c>
      <c r="F129" s="3162">
        <v>2500</v>
      </c>
      <c r="G129" s="3164">
        <v>7020</v>
      </c>
      <c r="I129" s="969"/>
      <c r="J129" s="3191"/>
      <c r="K129" s="3191"/>
      <c r="L129" s="3191"/>
      <c r="M129" s="3191"/>
      <c r="N129" s="3191"/>
      <c r="O129" s="3191"/>
      <c r="P129" s="3191"/>
      <c r="Q129" s="3191"/>
      <c r="R129" s="3191"/>
      <c r="S129" s="3191"/>
      <c r="T129" s="3191"/>
      <c r="U129" s="3191"/>
    </row>
    <row r="130" spans="1:21" s="958" customFormat="1" ht="14.25" customHeight="1">
      <c r="A130" s="3156" t="s">
        <v>1151</v>
      </c>
      <c r="B130" s="3156" t="s">
        <v>994</v>
      </c>
      <c r="C130" s="3156">
        <v>10910</v>
      </c>
      <c r="D130" s="3156">
        <v>10860</v>
      </c>
      <c r="E130" s="3156">
        <v>13730</v>
      </c>
      <c r="F130" s="3162">
        <v>2760</v>
      </c>
      <c r="G130" s="3164">
        <v>6990</v>
      </c>
      <c r="I130" s="969"/>
      <c r="J130" s="3191"/>
      <c r="K130" s="3191"/>
      <c r="L130" s="3191"/>
      <c r="M130" s="3191"/>
      <c r="N130" s="3191"/>
      <c r="O130" s="3191"/>
      <c r="P130" s="3191"/>
      <c r="Q130" s="3191"/>
      <c r="R130" s="3191"/>
      <c r="S130" s="3191"/>
      <c r="T130" s="3191"/>
      <c r="U130" s="3191"/>
    </row>
    <row r="131" spans="1:21" s="958" customFormat="1" ht="14.25" customHeight="1">
      <c r="A131" s="3156" t="s">
        <v>1151</v>
      </c>
      <c r="B131" s="3156" t="s">
        <v>1004</v>
      </c>
      <c r="C131" s="3156">
        <v>12910</v>
      </c>
      <c r="D131" s="3156">
        <v>12870</v>
      </c>
      <c r="E131" s="3156">
        <v>15720</v>
      </c>
      <c r="F131" s="3162">
        <v>2750</v>
      </c>
      <c r="G131" s="3164">
        <v>8280</v>
      </c>
      <c r="I131" s="969"/>
      <c r="J131" s="3191"/>
      <c r="K131" s="3191"/>
      <c r="L131" s="3191"/>
      <c r="M131" s="3191"/>
      <c r="N131" s="3191"/>
      <c r="O131" s="3191"/>
      <c r="P131" s="3191"/>
      <c r="Q131" s="3191"/>
      <c r="R131" s="3191"/>
      <c r="S131" s="3191"/>
      <c r="T131" s="3191"/>
      <c r="U131" s="3191"/>
    </row>
    <row r="132" spans="1:21" s="958" customFormat="1" ht="14.25" customHeight="1">
      <c r="A132" s="3156" t="s">
        <v>1151</v>
      </c>
      <c r="B132" s="3156" t="s">
        <v>1011</v>
      </c>
      <c r="C132" s="3156">
        <v>11910</v>
      </c>
      <c r="D132" s="3156">
        <v>11860</v>
      </c>
      <c r="E132" s="3156">
        <v>14730</v>
      </c>
      <c r="F132" s="3162">
        <v>2360</v>
      </c>
      <c r="G132" s="3164">
        <v>7630</v>
      </c>
      <c r="I132" s="969"/>
      <c r="J132" s="3191"/>
      <c r="K132" s="3191"/>
      <c r="L132" s="3191"/>
      <c r="M132" s="3191"/>
      <c r="N132" s="3191"/>
      <c r="O132" s="3191"/>
      <c r="P132" s="3191"/>
      <c r="Q132" s="3191"/>
      <c r="R132" s="3191"/>
      <c r="S132" s="3191"/>
      <c r="T132" s="3191"/>
      <c r="U132" s="3191"/>
    </row>
    <row r="133" spans="1:21" s="958" customFormat="1" ht="14.25" customHeight="1">
      <c r="A133" s="3156" t="s">
        <v>1151</v>
      </c>
      <c r="B133" s="3156" t="s">
        <v>1017</v>
      </c>
      <c r="C133" s="3156">
        <v>12270</v>
      </c>
      <c r="D133" s="3156">
        <v>12210</v>
      </c>
      <c r="E133" s="3156">
        <v>15010</v>
      </c>
      <c r="F133" s="3162">
        <v>2580</v>
      </c>
      <c r="G133" s="3164">
        <v>7860</v>
      </c>
      <c r="I133" s="969"/>
      <c r="J133" s="3191"/>
      <c r="K133" s="3191"/>
      <c r="L133" s="3191"/>
      <c r="M133" s="3191"/>
      <c r="N133" s="3191"/>
      <c r="O133" s="3191"/>
      <c r="P133" s="3191"/>
      <c r="Q133" s="3191"/>
      <c r="R133" s="3191"/>
      <c r="S133" s="3191"/>
      <c r="T133" s="3191"/>
      <c r="U133" s="3191"/>
    </row>
    <row r="134" spans="1:21" s="958" customFormat="1" ht="14.25" customHeight="1">
      <c r="A134" s="3156" t="s">
        <v>1151</v>
      </c>
      <c r="B134" s="3156" t="s">
        <v>1024</v>
      </c>
      <c r="C134" s="3156">
        <v>10800</v>
      </c>
      <c r="D134" s="3156">
        <v>10780</v>
      </c>
      <c r="E134" s="3156">
        <v>13640</v>
      </c>
      <c r="F134" s="3162">
        <v>2110</v>
      </c>
      <c r="G134" s="3162">
        <v>6930</v>
      </c>
      <c r="I134" s="969"/>
      <c r="J134" s="3191"/>
      <c r="K134" s="3191"/>
      <c r="L134" s="3191"/>
      <c r="M134" s="3191"/>
      <c r="N134" s="3191"/>
      <c r="O134" s="3191"/>
      <c r="P134" s="3191"/>
      <c r="Q134" s="3191"/>
      <c r="R134" s="3191"/>
      <c r="S134" s="3191"/>
      <c r="T134" s="3191"/>
      <c r="U134" s="3191"/>
    </row>
    <row r="135" spans="1:21" s="958" customFormat="1" ht="14.25" customHeight="1">
      <c r="A135" s="3156" t="s">
        <v>1151</v>
      </c>
      <c r="B135" s="3156" t="s">
        <v>1034</v>
      </c>
      <c r="C135" s="3156">
        <v>10430</v>
      </c>
      <c r="D135" s="3156">
        <v>10390</v>
      </c>
      <c r="E135" s="3156">
        <v>13140</v>
      </c>
      <c r="F135" s="3162">
        <v>2240</v>
      </c>
      <c r="G135" s="3164">
        <v>6680</v>
      </c>
      <c r="I135" s="969"/>
      <c r="J135" s="3191"/>
      <c r="K135" s="3191"/>
      <c r="L135" s="3191"/>
      <c r="M135" s="3191"/>
      <c r="N135" s="3191"/>
      <c r="O135" s="3191"/>
      <c r="P135" s="3191"/>
      <c r="Q135" s="3191"/>
      <c r="R135" s="3191"/>
      <c r="S135" s="3191"/>
      <c r="T135" s="3191"/>
      <c r="U135" s="3191"/>
    </row>
    <row r="136" spans="1:21" s="958" customFormat="1" ht="14.25" customHeight="1">
      <c r="A136" s="3156" t="s">
        <v>1151</v>
      </c>
      <c r="B136" s="3156" t="s">
        <v>1043</v>
      </c>
      <c r="C136" s="3156">
        <v>11930</v>
      </c>
      <c r="D136" s="3156">
        <v>11880</v>
      </c>
      <c r="E136" s="3156">
        <v>14770</v>
      </c>
      <c r="F136" s="3162">
        <v>1970</v>
      </c>
      <c r="G136" s="3164">
        <v>7640</v>
      </c>
      <c r="I136" s="969"/>
      <c r="J136" s="3191"/>
      <c r="K136" s="3191"/>
      <c r="L136" s="3191"/>
      <c r="M136" s="3191"/>
      <c r="N136" s="3191"/>
      <c r="O136" s="3191"/>
      <c r="P136" s="3191"/>
      <c r="Q136" s="3191"/>
      <c r="R136" s="3191"/>
      <c r="S136" s="3191"/>
      <c r="T136" s="3191"/>
      <c r="U136" s="3191"/>
    </row>
    <row r="137" spans="1:21" s="958" customFormat="1" ht="14.25" customHeight="1">
      <c r="A137" s="3156" t="s">
        <v>1151</v>
      </c>
      <c r="B137" s="3156" t="s">
        <v>1050</v>
      </c>
      <c r="C137" s="3156">
        <v>10470</v>
      </c>
      <c r="D137" s="3156">
        <v>10430</v>
      </c>
      <c r="E137" s="3156">
        <v>13190</v>
      </c>
      <c r="F137" s="3162">
        <v>1990</v>
      </c>
      <c r="G137" s="3164">
        <v>6710</v>
      </c>
      <c r="I137" s="969"/>
      <c r="J137" s="3191"/>
      <c r="K137" s="3191"/>
      <c r="L137" s="3191"/>
      <c r="M137" s="3191"/>
      <c r="N137" s="3191"/>
      <c r="O137" s="3191"/>
      <c r="P137" s="3191"/>
      <c r="Q137" s="3191"/>
      <c r="R137" s="3191"/>
      <c r="S137" s="3191"/>
      <c r="T137" s="3191"/>
      <c r="U137" s="3191"/>
    </row>
    <row r="138" spans="1:21" s="958" customFormat="1" ht="14.25" customHeight="1">
      <c r="A138" s="3156" t="s">
        <v>1151</v>
      </c>
      <c r="B138" s="3156" t="s">
        <v>1057</v>
      </c>
      <c r="C138" s="3156">
        <v>10410</v>
      </c>
      <c r="D138" s="3156">
        <v>10380</v>
      </c>
      <c r="E138" s="3156">
        <v>13130</v>
      </c>
      <c r="F138" s="3162">
        <v>2030</v>
      </c>
      <c r="G138" s="3164">
        <v>6680</v>
      </c>
      <c r="I138" s="969"/>
      <c r="J138" s="3191"/>
      <c r="K138" s="3191"/>
      <c r="L138" s="3191"/>
      <c r="M138" s="3191"/>
      <c r="N138" s="3191"/>
      <c r="O138" s="3191"/>
      <c r="P138" s="3191"/>
      <c r="Q138" s="3191"/>
      <c r="R138" s="3191"/>
      <c r="S138" s="3191"/>
      <c r="T138" s="3191"/>
      <c r="U138" s="3191"/>
    </row>
    <row r="139" spans="1:21" s="958" customFormat="1" ht="14.25" customHeight="1">
      <c r="A139" s="3156" t="s">
        <v>1151</v>
      </c>
      <c r="B139" s="3156" t="s">
        <v>1064</v>
      </c>
      <c r="C139" s="3156">
        <v>9460</v>
      </c>
      <c r="D139" s="3156">
        <v>9410</v>
      </c>
      <c r="E139" s="3156">
        <v>12050</v>
      </c>
      <c r="F139" s="3162">
        <v>2140</v>
      </c>
      <c r="G139" s="3162">
        <v>6050</v>
      </c>
      <c r="I139" s="969"/>
      <c r="J139" s="3191"/>
      <c r="K139" s="3191"/>
      <c r="L139" s="3191"/>
      <c r="M139" s="3191"/>
      <c r="N139" s="3191"/>
      <c r="O139" s="3191"/>
      <c r="P139" s="3191"/>
      <c r="Q139" s="3191"/>
      <c r="R139" s="3191"/>
      <c r="S139" s="3191"/>
      <c r="T139" s="3191"/>
      <c r="U139" s="3191"/>
    </row>
    <row r="140" spans="1:21" s="958" customFormat="1" ht="14.25" customHeight="1">
      <c r="A140" s="3156" t="s">
        <v>1151</v>
      </c>
      <c r="B140" s="3156" t="s">
        <v>1072</v>
      </c>
      <c r="C140" s="3156">
        <v>11030</v>
      </c>
      <c r="D140" s="3156">
        <v>10980</v>
      </c>
      <c r="E140" s="3156">
        <v>13880</v>
      </c>
      <c r="F140" s="3162">
        <v>2210</v>
      </c>
      <c r="G140" s="3162">
        <v>7060</v>
      </c>
      <c r="I140" s="969"/>
      <c r="J140" s="3191"/>
      <c r="K140" s="3191"/>
      <c r="L140" s="3191"/>
      <c r="M140" s="3191"/>
      <c r="N140" s="3191"/>
      <c r="O140" s="3191"/>
      <c r="P140" s="3191"/>
      <c r="Q140" s="3191"/>
      <c r="R140" s="3191"/>
      <c r="S140" s="3191"/>
      <c r="T140" s="3191"/>
      <c r="U140" s="3191"/>
    </row>
    <row r="141" spans="1:21" s="958" customFormat="1" ht="14.25" customHeight="1">
      <c r="A141" s="3156" t="s">
        <v>1151</v>
      </c>
      <c r="B141" s="3156" t="s">
        <v>1080</v>
      </c>
      <c r="C141" s="3156">
        <v>11200</v>
      </c>
      <c r="D141" s="3156">
        <v>11150</v>
      </c>
      <c r="E141" s="3156">
        <v>14100</v>
      </c>
      <c r="F141" s="3162">
        <v>2470</v>
      </c>
      <c r="G141" s="3164">
        <v>7170</v>
      </c>
      <c r="I141" s="969"/>
      <c r="J141" s="3191"/>
      <c r="K141" s="3191"/>
      <c r="L141" s="3191"/>
      <c r="M141" s="3191"/>
      <c r="N141" s="3191"/>
      <c r="O141" s="3191"/>
      <c r="P141" s="3191"/>
      <c r="Q141" s="3191"/>
      <c r="R141" s="3191"/>
      <c r="S141" s="3191"/>
      <c r="T141" s="3191"/>
      <c r="U141" s="3191"/>
    </row>
    <row r="142" spans="1:21" s="958" customFormat="1" ht="14.25" customHeight="1">
      <c r="A142" s="3156" t="s">
        <v>1151</v>
      </c>
      <c r="B142" s="3156" t="s">
        <v>1085</v>
      </c>
      <c r="C142" s="3156">
        <v>10780</v>
      </c>
      <c r="D142" s="3156">
        <v>10730</v>
      </c>
      <c r="E142" s="3156">
        <v>13540</v>
      </c>
      <c r="F142" s="3162">
        <v>2280</v>
      </c>
      <c r="G142" s="3164">
        <v>6900</v>
      </c>
      <c r="I142" s="969"/>
      <c r="J142" s="3191"/>
      <c r="K142" s="3191"/>
      <c r="L142" s="3191"/>
      <c r="M142" s="3191"/>
      <c r="N142" s="3191"/>
      <c r="O142" s="3191"/>
      <c r="P142" s="3191"/>
      <c r="Q142" s="3191"/>
      <c r="R142" s="3191"/>
      <c r="S142" s="3191"/>
      <c r="T142" s="3191"/>
      <c r="U142" s="3191"/>
    </row>
    <row r="143" spans="1:21" s="958" customFormat="1" ht="14.25" customHeight="1">
      <c r="A143" s="3156" t="s">
        <v>1151</v>
      </c>
      <c r="B143" s="3156" t="s">
        <v>1094</v>
      </c>
      <c r="C143" s="3156">
        <v>11550</v>
      </c>
      <c r="D143" s="3156">
        <v>11490</v>
      </c>
      <c r="E143" s="3156">
        <v>14480</v>
      </c>
      <c r="F143" s="3162">
        <v>2070</v>
      </c>
      <c r="G143" s="3164">
        <v>7390</v>
      </c>
      <c r="I143" s="969"/>
      <c r="J143" s="3191"/>
      <c r="K143" s="3191"/>
      <c r="L143" s="3191"/>
      <c r="M143" s="3191"/>
      <c r="N143" s="3191"/>
      <c r="O143" s="3191"/>
      <c r="P143" s="3191"/>
      <c r="Q143" s="3191"/>
      <c r="R143" s="3191"/>
      <c r="S143" s="3191"/>
      <c r="T143" s="3191"/>
      <c r="U143" s="3191"/>
    </row>
    <row r="144" spans="1:21" s="958" customFormat="1" ht="14.25" customHeight="1">
      <c r="A144" s="3156" t="s">
        <v>1151</v>
      </c>
      <c r="B144" s="3156" t="s">
        <v>1101</v>
      </c>
      <c r="C144" s="3156">
        <v>10720</v>
      </c>
      <c r="D144" s="3156">
        <v>10680</v>
      </c>
      <c r="E144" s="3156">
        <v>13480</v>
      </c>
      <c r="F144" s="3162">
        <v>2440</v>
      </c>
      <c r="G144" s="3164">
        <v>6870</v>
      </c>
      <c r="I144" s="969"/>
      <c r="J144" s="3191"/>
      <c r="K144" s="3191"/>
      <c r="L144" s="3191"/>
      <c r="M144" s="3191"/>
      <c r="N144" s="3191"/>
      <c r="O144" s="3191"/>
      <c r="P144" s="3191"/>
      <c r="Q144" s="3191"/>
      <c r="R144" s="3191"/>
      <c r="S144" s="3191"/>
      <c r="T144" s="3191"/>
      <c r="U144" s="3191"/>
    </row>
    <row r="145" spans="1:21" s="958" customFormat="1" ht="14.25" customHeight="1">
      <c r="A145" s="3156" t="s">
        <v>1151</v>
      </c>
      <c r="B145" s="3156" t="s">
        <v>1109</v>
      </c>
      <c r="C145" s="3156">
        <v>10340</v>
      </c>
      <c r="D145" s="3156">
        <v>10290</v>
      </c>
      <c r="E145" s="3156">
        <v>12880</v>
      </c>
      <c r="F145" s="3162">
        <v>2650</v>
      </c>
      <c r="G145" s="3162">
        <v>6620</v>
      </c>
      <c r="I145" s="969"/>
      <c r="J145" s="3191"/>
      <c r="K145" s="3191"/>
      <c r="L145" s="3191"/>
      <c r="M145" s="3191"/>
      <c r="N145" s="3191"/>
      <c r="O145" s="3191"/>
      <c r="P145" s="3191"/>
      <c r="Q145" s="3191"/>
      <c r="R145" s="3191"/>
      <c r="S145" s="3191"/>
      <c r="T145" s="3191"/>
      <c r="U145" s="3191"/>
    </row>
    <row r="146" spans="1:21" s="958" customFormat="1" ht="14.25" customHeight="1">
      <c r="A146" s="3156" t="s">
        <v>1151</v>
      </c>
      <c r="B146" s="3156" t="s">
        <v>1116</v>
      </c>
      <c r="C146" s="3156">
        <v>11890</v>
      </c>
      <c r="D146" s="3156">
        <v>11830</v>
      </c>
      <c r="E146" s="3156">
        <v>14670</v>
      </c>
      <c r="F146" s="3162"/>
      <c r="G146" s="3162">
        <v>7610</v>
      </c>
      <c r="I146" s="969"/>
      <c r="J146" s="3191"/>
      <c r="K146" s="3191"/>
      <c r="L146" s="3191"/>
      <c r="M146" s="3191"/>
      <c r="N146" s="3191"/>
      <c r="O146" s="3191"/>
      <c r="P146" s="3191"/>
      <c r="Q146" s="3191"/>
      <c r="R146" s="3191"/>
      <c r="S146" s="3191"/>
      <c r="T146" s="3191"/>
      <c r="U146" s="3191"/>
    </row>
    <row r="147" spans="1:21" s="958" customFormat="1" ht="14.25" customHeight="1">
      <c r="A147" s="3156" t="s">
        <v>1151</v>
      </c>
      <c r="B147" s="3156" t="s">
        <v>1120</v>
      </c>
      <c r="C147" s="3156">
        <v>12650</v>
      </c>
      <c r="D147" s="3156">
        <v>12600</v>
      </c>
      <c r="E147" s="3156">
        <v>15440</v>
      </c>
      <c r="F147" s="3162"/>
      <c r="G147" s="3162">
        <v>8110</v>
      </c>
      <c r="I147" s="969"/>
      <c r="J147" s="3191"/>
      <c r="K147" s="3191"/>
      <c r="L147" s="3191"/>
      <c r="M147" s="3191"/>
      <c r="N147" s="3191"/>
      <c r="O147" s="3191"/>
      <c r="P147" s="3191"/>
      <c r="Q147" s="3191"/>
      <c r="R147" s="3191"/>
      <c r="S147" s="3191"/>
      <c r="T147" s="3191"/>
      <c r="U147" s="3191"/>
    </row>
    <row r="148" spans="1:21" s="958" customFormat="1" ht="14.25" customHeight="1">
      <c r="A148" s="3156" t="s">
        <v>1151</v>
      </c>
      <c r="B148" s="3156" t="s">
        <v>2843</v>
      </c>
      <c r="C148" s="3156">
        <v>10370</v>
      </c>
      <c r="D148" s="3156">
        <v>10310</v>
      </c>
      <c r="E148" s="3156">
        <v>12970</v>
      </c>
      <c r="F148" s="3162"/>
      <c r="G148" s="3162">
        <v>6630</v>
      </c>
      <c r="I148" s="969"/>
      <c r="J148" s="3191"/>
      <c r="K148" s="3191"/>
      <c r="L148" s="3191"/>
      <c r="M148" s="3191"/>
      <c r="N148" s="3191"/>
      <c r="O148" s="3191"/>
      <c r="P148" s="3191"/>
      <c r="Q148" s="3191"/>
      <c r="R148" s="3191"/>
      <c r="S148" s="3191"/>
      <c r="T148" s="3191"/>
      <c r="U148" s="3191"/>
    </row>
    <row r="149" spans="1:21" s="958" customFormat="1" ht="14.25" customHeight="1">
      <c r="A149" s="3156" t="s">
        <v>1151</v>
      </c>
      <c r="B149" s="3156" t="s">
        <v>2844</v>
      </c>
      <c r="C149" s="3156">
        <v>11600</v>
      </c>
      <c r="D149" s="3156">
        <v>11560</v>
      </c>
      <c r="E149" s="3156">
        <v>14540</v>
      </c>
      <c r="F149" s="3162">
        <v>2390</v>
      </c>
      <c r="G149" s="3162">
        <v>7430</v>
      </c>
      <c r="I149" s="969"/>
      <c r="J149" s="3191"/>
      <c r="K149" s="3191"/>
      <c r="L149" s="3191"/>
      <c r="M149" s="3191"/>
      <c r="N149" s="3191"/>
      <c r="O149" s="3191"/>
      <c r="P149" s="3191"/>
      <c r="Q149" s="3191"/>
      <c r="R149" s="3191"/>
      <c r="S149" s="3191"/>
      <c r="T149" s="3191"/>
      <c r="U149" s="3191"/>
    </row>
    <row r="150" spans="1:21" s="958" customFormat="1" ht="14.25" customHeight="1">
      <c r="A150" s="3156" t="s">
        <v>1151</v>
      </c>
      <c r="B150" s="3156" t="s">
        <v>1139</v>
      </c>
      <c r="C150" s="3156">
        <v>9950</v>
      </c>
      <c r="D150" s="3156">
        <v>9890</v>
      </c>
      <c r="E150" s="3156">
        <v>12590</v>
      </c>
      <c r="F150" s="3162">
        <v>1970</v>
      </c>
      <c r="G150" s="3162">
        <v>6360</v>
      </c>
      <c r="I150" s="969"/>
      <c r="J150" s="3191"/>
      <c r="K150" s="3191"/>
      <c r="L150" s="3191"/>
      <c r="M150" s="3191"/>
      <c r="N150" s="3191"/>
      <c r="O150" s="3191"/>
      <c r="P150" s="3191"/>
      <c r="Q150" s="3191"/>
      <c r="R150" s="3191"/>
      <c r="S150" s="3191"/>
      <c r="T150" s="3191"/>
      <c r="U150" s="3191"/>
    </row>
    <row r="151" spans="1:21" s="958" customFormat="1" ht="14.25" customHeight="1">
      <c r="A151" s="3156" t="s">
        <v>1151</v>
      </c>
      <c r="B151" s="3156" t="s">
        <v>1141</v>
      </c>
      <c r="C151" s="3156">
        <v>10700</v>
      </c>
      <c r="D151" s="3156">
        <v>10650</v>
      </c>
      <c r="E151" s="3156">
        <v>13420</v>
      </c>
      <c r="F151" s="3162">
        <v>2020</v>
      </c>
      <c r="G151" s="3162">
        <v>6850</v>
      </c>
      <c r="I151" s="969"/>
      <c r="J151" s="3191"/>
      <c r="K151" s="3191"/>
      <c r="L151" s="3191"/>
      <c r="M151" s="3191"/>
      <c r="N151" s="3191"/>
      <c r="O151" s="3191"/>
      <c r="P151" s="3191"/>
      <c r="Q151" s="3191"/>
      <c r="R151" s="3191"/>
      <c r="S151" s="3191"/>
      <c r="T151" s="3191"/>
      <c r="U151" s="3191"/>
    </row>
    <row r="152" spans="1:21" s="958" customFormat="1" ht="14.25" customHeight="1">
      <c r="A152" s="3156" t="s">
        <v>1151</v>
      </c>
      <c r="B152" s="3156" t="s">
        <v>1144</v>
      </c>
      <c r="C152" s="3156">
        <v>10310</v>
      </c>
      <c r="D152" s="3156">
        <v>10260</v>
      </c>
      <c r="E152" s="3156">
        <v>12820</v>
      </c>
      <c r="F152" s="3162">
        <v>1980</v>
      </c>
      <c r="G152" s="3162">
        <v>6600</v>
      </c>
      <c r="I152" s="969"/>
      <c r="J152" s="3191"/>
      <c r="K152" s="3191"/>
      <c r="L152" s="3191"/>
      <c r="M152" s="3191"/>
      <c r="N152" s="3191"/>
      <c r="O152" s="3191"/>
      <c r="P152" s="3191"/>
      <c r="Q152" s="3191"/>
      <c r="R152" s="3191"/>
      <c r="S152" s="3191"/>
      <c r="T152" s="3191"/>
      <c r="U152" s="3191"/>
    </row>
    <row r="153" spans="1:21" s="958" customFormat="1" ht="14.25" customHeight="1">
      <c r="A153" s="3156" t="s">
        <v>1151</v>
      </c>
      <c r="B153" s="3156" t="s">
        <v>2845</v>
      </c>
      <c r="C153" s="3156">
        <v>10880</v>
      </c>
      <c r="D153" s="3156">
        <v>10820</v>
      </c>
      <c r="E153" s="3156">
        <v>13660</v>
      </c>
      <c r="F153" s="3162">
        <v>2260</v>
      </c>
      <c r="G153" s="3162">
        <v>6970</v>
      </c>
      <c r="I153" s="969"/>
      <c r="J153" s="3191"/>
      <c r="K153" s="3191"/>
      <c r="L153" s="3191"/>
      <c r="M153" s="3191"/>
      <c r="N153" s="3191"/>
      <c r="O153" s="3191"/>
      <c r="P153" s="3191"/>
      <c r="Q153" s="3191"/>
      <c r="R153" s="3191"/>
      <c r="S153" s="3191"/>
      <c r="T153" s="3191"/>
      <c r="U153" s="3191"/>
    </row>
    <row r="154" spans="1:21" s="958" customFormat="1" ht="14.25" customHeight="1">
      <c r="A154" s="3156" t="s">
        <v>1151</v>
      </c>
      <c r="B154" s="3156" t="s">
        <v>2846</v>
      </c>
      <c r="C154" s="3156">
        <v>11220</v>
      </c>
      <c r="D154" s="3156">
        <v>11160</v>
      </c>
      <c r="E154" s="3156">
        <v>14130</v>
      </c>
      <c r="F154" s="3162">
        <v>2230</v>
      </c>
      <c r="G154" s="3162">
        <v>7180</v>
      </c>
      <c r="I154" s="969"/>
      <c r="J154" s="3191"/>
      <c r="K154" s="3191"/>
      <c r="L154" s="3191"/>
      <c r="M154" s="3191"/>
      <c r="N154" s="3191"/>
      <c r="O154" s="3191"/>
      <c r="P154" s="3191"/>
      <c r="Q154" s="3191"/>
      <c r="R154" s="3191"/>
      <c r="S154" s="3191"/>
      <c r="T154" s="3191"/>
      <c r="U154" s="3191"/>
    </row>
    <row r="155" spans="1:21" s="958" customFormat="1" ht="14.25" customHeight="1">
      <c r="A155" s="3156" t="s">
        <v>1151</v>
      </c>
      <c r="B155" s="3156" t="s">
        <v>2847</v>
      </c>
      <c r="C155" s="3156">
        <v>10430</v>
      </c>
      <c r="D155" s="3156">
        <v>10380</v>
      </c>
      <c r="E155" s="3156">
        <v>13140</v>
      </c>
      <c r="F155" s="3162">
        <v>2080</v>
      </c>
      <c r="G155" s="3162">
        <v>6650</v>
      </c>
      <c r="I155" s="969"/>
      <c r="J155" s="3191"/>
      <c r="K155" s="3191"/>
      <c r="L155" s="3191"/>
      <c r="M155" s="3191"/>
      <c r="N155" s="3191"/>
      <c r="O155" s="3191"/>
      <c r="P155" s="3191"/>
      <c r="Q155" s="3191"/>
      <c r="R155" s="3191"/>
      <c r="S155" s="3191"/>
      <c r="T155" s="3191"/>
      <c r="U155" s="3191"/>
    </row>
    <row r="156" spans="1:21" s="958" customFormat="1" ht="14.25" customHeight="1">
      <c r="A156" s="3156" t="s">
        <v>1151</v>
      </c>
      <c r="B156" s="3156" t="s">
        <v>2848</v>
      </c>
      <c r="C156" s="3156">
        <v>10440</v>
      </c>
      <c r="D156" s="3156">
        <v>10400</v>
      </c>
      <c r="E156" s="3156">
        <v>13150</v>
      </c>
      <c r="F156" s="3162">
        <v>2490</v>
      </c>
      <c r="G156" s="3162">
        <v>6690</v>
      </c>
      <c r="I156" s="969"/>
      <c r="J156" s="3191"/>
      <c r="K156" s="3191"/>
      <c r="L156" s="3191"/>
      <c r="M156" s="3191"/>
      <c r="N156" s="3191"/>
      <c r="O156" s="3191"/>
      <c r="P156" s="3191"/>
      <c r="Q156" s="3191"/>
      <c r="R156" s="3191"/>
      <c r="S156" s="3191"/>
      <c r="T156" s="3191"/>
      <c r="U156" s="3191"/>
    </row>
    <row r="157" spans="1:21" s="958" customFormat="1" ht="14.25" customHeight="1">
      <c r="A157" s="3156" t="s">
        <v>1151</v>
      </c>
      <c r="B157" s="3156" t="s">
        <v>1147</v>
      </c>
      <c r="C157" s="3156">
        <v>10970</v>
      </c>
      <c r="D157" s="3156">
        <v>10920</v>
      </c>
      <c r="E157" s="3156">
        <v>13840</v>
      </c>
      <c r="F157" s="3162">
        <v>2420</v>
      </c>
      <c r="G157" s="3169">
        <v>7020</v>
      </c>
      <c r="I157" s="969"/>
      <c r="J157" s="3191"/>
      <c r="K157" s="3191"/>
      <c r="L157" s="3191"/>
      <c r="M157" s="3191"/>
      <c r="N157" s="3191"/>
      <c r="O157" s="3191"/>
      <c r="P157" s="3191"/>
      <c r="Q157" s="3191"/>
      <c r="R157" s="3191"/>
      <c r="S157" s="3191"/>
      <c r="T157" s="3191"/>
      <c r="U157" s="3191"/>
    </row>
    <row r="158" spans="1:21" s="958" customFormat="1" ht="14.25" customHeight="1">
      <c r="A158" s="1214" t="s">
        <v>1151</v>
      </c>
      <c r="B158" s="1214" t="s">
        <v>1148</v>
      </c>
      <c r="C158" s="1214">
        <v>9590</v>
      </c>
      <c r="D158" s="1214">
        <v>9540</v>
      </c>
      <c r="E158" s="1214">
        <v>12210</v>
      </c>
      <c r="F158" s="3157">
        <v>2100</v>
      </c>
      <c r="G158" s="3157">
        <v>6130</v>
      </c>
      <c r="I158" s="969"/>
      <c r="J158" s="3191"/>
      <c r="K158" s="3191"/>
      <c r="L158" s="3191"/>
      <c r="M158" s="3191"/>
      <c r="N158" s="3191"/>
      <c r="O158" s="3191"/>
      <c r="P158" s="3191"/>
      <c r="Q158" s="3191"/>
      <c r="R158" s="3191"/>
      <c r="S158" s="3191"/>
      <c r="T158" s="3191"/>
      <c r="U158" s="3191"/>
    </row>
    <row r="159" spans="1:21" s="958" customFormat="1" ht="14.25" customHeight="1">
      <c r="A159" s="3156" t="s">
        <v>1151</v>
      </c>
      <c r="B159" s="3156" t="s">
        <v>1149</v>
      </c>
      <c r="C159" s="3156">
        <v>11190</v>
      </c>
      <c r="D159" s="3156">
        <v>11140</v>
      </c>
      <c r="E159" s="3156">
        <v>14090</v>
      </c>
      <c r="F159" s="3162">
        <v>2470</v>
      </c>
      <c r="G159" s="3162">
        <v>7170</v>
      </c>
      <c r="I159" s="969"/>
      <c r="J159" s="3191"/>
      <c r="K159" s="3191"/>
      <c r="L159" s="3191"/>
      <c r="M159" s="3191"/>
      <c r="N159" s="3191"/>
      <c r="O159" s="3191"/>
      <c r="P159" s="3191"/>
      <c r="Q159" s="3191"/>
      <c r="R159" s="3191"/>
      <c r="S159" s="3191"/>
      <c r="T159" s="3191"/>
      <c r="U159" s="3191"/>
    </row>
    <row r="160" spans="1:21" s="958" customFormat="1" ht="14.25" customHeight="1">
      <c r="A160" s="3156" t="s">
        <v>1151</v>
      </c>
      <c r="B160" s="3156" t="s">
        <v>2849</v>
      </c>
      <c r="C160" s="3156">
        <v>11180</v>
      </c>
      <c r="D160" s="3156">
        <v>11140</v>
      </c>
      <c r="E160" s="3156">
        <v>14050</v>
      </c>
      <c r="F160" s="3162">
        <v>2270</v>
      </c>
      <c r="G160" s="3162">
        <v>7170</v>
      </c>
      <c r="I160" s="969"/>
      <c r="J160" s="3191"/>
      <c r="K160" s="3191"/>
      <c r="L160" s="3191"/>
      <c r="M160" s="3191"/>
      <c r="N160" s="3191"/>
      <c r="O160" s="3191"/>
      <c r="P160" s="3191"/>
      <c r="Q160" s="3191"/>
      <c r="R160" s="3191"/>
      <c r="S160" s="3191"/>
      <c r="T160" s="3191"/>
      <c r="U160" s="3191"/>
    </row>
    <row r="161" spans="1:21" s="958" customFormat="1" ht="14.25" customHeight="1">
      <c r="A161" s="3156" t="s">
        <v>1151</v>
      </c>
      <c r="B161" s="3156" t="s">
        <v>2850</v>
      </c>
      <c r="C161" s="3156">
        <v>11160</v>
      </c>
      <c r="D161" s="3156">
        <v>11120</v>
      </c>
      <c r="E161" s="3156">
        <v>14020</v>
      </c>
      <c r="F161" s="3162">
        <v>2150</v>
      </c>
      <c r="G161" s="3162">
        <v>7160</v>
      </c>
      <c r="I161" s="969"/>
      <c r="J161" s="3191"/>
      <c r="K161" s="3191"/>
      <c r="L161" s="3191"/>
      <c r="M161" s="3191"/>
      <c r="N161" s="3191"/>
      <c r="O161" s="3191"/>
      <c r="P161" s="3191"/>
      <c r="Q161" s="3191"/>
      <c r="R161" s="3191"/>
      <c r="S161" s="3191"/>
      <c r="T161" s="3191"/>
      <c r="U161" s="3191"/>
    </row>
    <row r="162" spans="1:21" s="958" customFormat="1" ht="14.25" customHeight="1">
      <c r="A162" s="3156" t="s">
        <v>1151</v>
      </c>
      <c r="B162" s="3156" t="s">
        <v>2851</v>
      </c>
      <c r="C162" s="3156">
        <v>9620</v>
      </c>
      <c r="D162" s="3156">
        <v>9570</v>
      </c>
      <c r="E162" s="3156">
        <v>12320</v>
      </c>
      <c r="F162" s="3162">
        <v>2010</v>
      </c>
      <c r="G162" s="3162">
        <v>6160</v>
      </c>
      <c r="I162" s="969"/>
      <c r="J162" s="3191"/>
      <c r="K162" s="3191"/>
      <c r="L162" s="3191"/>
      <c r="M162" s="3191"/>
      <c r="N162" s="3191"/>
      <c r="O162" s="3191"/>
      <c r="P162" s="3191"/>
      <c r="Q162" s="3191"/>
      <c r="R162" s="3191"/>
      <c r="S162" s="3191"/>
      <c r="T162" s="3191"/>
      <c r="U162" s="3191"/>
    </row>
    <row r="163" spans="1:21" s="958" customFormat="1" ht="14.25" customHeight="1">
      <c r="A163" s="3156" t="s">
        <v>1151</v>
      </c>
      <c r="B163" s="3156" t="s">
        <v>2852</v>
      </c>
      <c r="C163" s="3156">
        <v>9320</v>
      </c>
      <c r="D163" s="3156">
        <v>9270</v>
      </c>
      <c r="E163" s="3156">
        <v>11790</v>
      </c>
      <c r="F163" s="3162">
        <v>1920</v>
      </c>
      <c r="G163" s="3162">
        <v>5960</v>
      </c>
      <c r="I163" s="969"/>
      <c r="J163" s="3191"/>
      <c r="K163" s="3191"/>
      <c r="L163" s="3191"/>
      <c r="M163" s="3191"/>
      <c r="N163" s="3191"/>
      <c r="O163" s="3191"/>
      <c r="P163" s="3191"/>
      <c r="Q163" s="3191"/>
      <c r="R163" s="3191"/>
      <c r="S163" s="3191"/>
      <c r="T163" s="3191"/>
      <c r="U163" s="3191"/>
    </row>
    <row r="164" spans="1:21" s="958" customFormat="1" ht="14.25" customHeight="1">
      <c r="A164" s="3156" t="s">
        <v>1151</v>
      </c>
      <c r="B164" s="3156" t="s">
        <v>2853</v>
      </c>
      <c r="C164" s="3156"/>
      <c r="D164" s="3156"/>
      <c r="E164" s="3156"/>
      <c r="F164" s="3162">
        <v>1980</v>
      </c>
      <c r="G164" s="3162"/>
      <c r="I164" s="969"/>
      <c r="J164" s="3191"/>
      <c r="K164" s="3191"/>
      <c r="L164" s="3191"/>
      <c r="M164" s="3191"/>
      <c r="N164" s="3191"/>
      <c r="O164" s="3191"/>
      <c r="P164" s="3191"/>
      <c r="Q164" s="3191"/>
      <c r="R164" s="3191"/>
      <c r="S164" s="3191"/>
      <c r="T164" s="3191"/>
      <c r="U164" s="3191"/>
    </row>
    <row r="165" spans="1:21" s="958" customFormat="1" ht="14.25" customHeight="1">
      <c r="A165" s="3156" t="s">
        <v>1151</v>
      </c>
      <c r="B165" s="3156" t="s">
        <v>2854</v>
      </c>
      <c r="C165" s="3156">
        <v>11060</v>
      </c>
      <c r="D165" s="3156">
        <v>11030</v>
      </c>
      <c r="E165" s="3156">
        <v>13850</v>
      </c>
      <c r="F165" s="3162">
        <v>2170</v>
      </c>
      <c r="G165" s="3162">
        <v>7090</v>
      </c>
      <c r="I165" s="969"/>
      <c r="J165" s="3191"/>
      <c r="K165" s="3191"/>
      <c r="L165" s="3191"/>
      <c r="M165" s="3191"/>
      <c r="N165" s="3191"/>
      <c r="O165" s="3191"/>
      <c r="P165" s="3191"/>
      <c r="Q165" s="3191"/>
      <c r="R165" s="3191"/>
      <c r="S165" s="3191"/>
      <c r="T165" s="3191"/>
      <c r="U165" s="3191"/>
    </row>
    <row r="166" spans="1:21" s="958" customFormat="1" ht="14.25" customHeight="1">
      <c r="A166" s="3156" t="s">
        <v>1151</v>
      </c>
      <c r="B166" s="3156" t="s">
        <v>2855</v>
      </c>
      <c r="C166" s="3156">
        <v>11050</v>
      </c>
      <c r="D166" s="3156">
        <v>11010</v>
      </c>
      <c r="E166" s="3156">
        <v>13920</v>
      </c>
      <c r="F166" s="3162">
        <v>2140</v>
      </c>
      <c r="G166" s="3162">
        <v>7080</v>
      </c>
      <c r="I166" s="969"/>
      <c r="J166" s="3191"/>
      <c r="K166" s="3191"/>
      <c r="L166" s="3191"/>
      <c r="M166" s="3191"/>
      <c r="N166" s="3191"/>
      <c r="O166" s="3191"/>
      <c r="P166" s="3191"/>
      <c r="Q166" s="3191"/>
      <c r="R166" s="3191"/>
      <c r="S166" s="3191"/>
      <c r="T166" s="3191"/>
      <c r="U166" s="3191"/>
    </row>
    <row r="167" spans="1:21" s="958" customFormat="1" ht="14.25" customHeight="1">
      <c r="A167" s="3156" t="s">
        <v>1151</v>
      </c>
      <c r="B167" s="3156" t="s">
        <v>2856</v>
      </c>
      <c r="C167" s="3156">
        <v>10930</v>
      </c>
      <c r="D167" s="3156">
        <v>10890</v>
      </c>
      <c r="E167" s="3156">
        <v>13790</v>
      </c>
      <c r="F167" s="3162">
        <v>2010</v>
      </c>
      <c r="G167" s="3164">
        <v>7000</v>
      </c>
      <c r="I167" s="969"/>
      <c r="J167" s="3191"/>
      <c r="K167" s="3191"/>
      <c r="L167" s="3191"/>
      <c r="M167" s="3191"/>
      <c r="N167" s="3191"/>
      <c r="O167" s="3191"/>
      <c r="P167" s="3191"/>
      <c r="Q167" s="3191"/>
      <c r="R167" s="3191"/>
      <c r="S167" s="3191"/>
      <c r="T167" s="3191"/>
      <c r="U167" s="3191"/>
    </row>
    <row r="168" spans="1:21" s="958" customFormat="1" ht="14.25" customHeight="1">
      <c r="A168" s="3156" t="s">
        <v>1151</v>
      </c>
      <c r="B168" s="3156" t="s">
        <v>2857</v>
      </c>
      <c r="C168" s="3156">
        <v>9420</v>
      </c>
      <c r="D168" s="3156">
        <v>9380</v>
      </c>
      <c r="E168" s="3156">
        <v>11970</v>
      </c>
      <c r="F168" s="3162"/>
      <c r="G168" s="3164">
        <v>6040</v>
      </c>
      <c r="I168" s="969"/>
      <c r="J168" s="3191"/>
      <c r="K168" s="3191"/>
      <c r="L168" s="3191"/>
      <c r="M168" s="3191"/>
      <c r="N168" s="3191"/>
      <c r="O168" s="3191"/>
      <c r="P168" s="3191"/>
      <c r="Q168" s="3191"/>
      <c r="R168" s="3191"/>
      <c r="S168" s="3191"/>
      <c r="T168" s="3191"/>
      <c r="U168" s="3191"/>
    </row>
    <row r="169" spans="1:21" s="958" customFormat="1" ht="14.25" customHeight="1">
      <c r="A169" s="3156" t="s">
        <v>1151</v>
      </c>
      <c r="B169" s="3156" t="s">
        <v>2858</v>
      </c>
      <c r="C169" s="3156"/>
      <c r="D169" s="3156"/>
      <c r="E169" s="3156"/>
      <c r="F169" s="3162">
        <v>2880</v>
      </c>
      <c r="G169" s="3164"/>
      <c r="I169" s="969"/>
      <c r="J169" s="3191"/>
      <c r="K169" s="3191"/>
      <c r="L169" s="3191"/>
      <c r="M169" s="3191"/>
      <c r="N169" s="3191"/>
      <c r="O169" s="3191"/>
      <c r="P169" s="3191"/>
      <c r="Q169" s="3191"/>
      <c r="R169" s="3191"/>
      <c r="S169" s="3191"/>
      <c r="T169" s="3191"/>
      <c r="U169" s="3191"/>
    </row>
    <row r="170" spans="1:21" s="958" customFormat="1" ht="14.25" customHeight="1">
      <c r="A170" s="3156" t="s">
        <v>1151</v>
      </c>
      <c r="B170" s="3156" t="s">
        <v>2859</v>
      </c>
      <c r="C170" s="3156"/>
      <c r="D170" s="3156"/>
      <c r="E170" s="3156"/>
      <c r="F170" s="3162">
        <v>2880</v>
      </c>
      <c r="G170" s="3164"/>
      <c r="I170" s="969"/>
      <c r="J170" s="3191"/>
      <c r="K170" s="3191"/>
      <c r="L170" s="3191"/>
      <c r="M170" s="3191"/>
      <c r="N170" s="3191"/>
      <c r="O170" s="3191"/>
      <c r="P170" s="3191"/>
      <c r="Q170" s="3191"/>
      <c r="R170" s="3191"/>
      <c r="S170" s="3191"/>
      <c r="T170" s="3191"/>
      <c r="U170" s="3191"/>
    </row>
    <row r="171" spans="1:21" s="958" customFormat="1" ht="14.25" customHeight="1">
      <c r="A171" s="3156" t="s">
        <v>1151</v>
      </c>
      <c r="B171" s="3156" t="s">
        <v>2860</v>
      </c>
      <c r="C171" s="3156"/>
      <c r="D171" s="3156"/>
      <c r="E171" s="3156"/>
      <c r="F171" s="3162">
        <v>2880</v>
      </c>
      <c r="G171" s="3162"/>
      <c r="I171" s="969"/>
      <c r="J171" s="3191"/>
      <c r="K171" s="3191"/>
      <c r="L171" s="3191"/>
      <c r="M171" s="3191"/>
      <c r="N171" s="3191"/>
      <c r="O171" s="3191"/>
      <c r="P171" s="3191"/>
      <c r="Q171" s="3191"/>
      <c r="R171" s="3191"/>
      <c r="S171" s="3191"/>
      <c r="T171" s="3191"/>
      <c r="U171" s="3191"/>
    </row>
    <row r="172" spans="1:21" s="958" customFormat="1" ht="14.25" customHeight="1">
      <c r="A172" s="3156" t="s">
        <v>1151</v>
      </c>
      <c r="B172" s="3156" t="s">
        <v>2861</v>
      </c>
      <c r="C172" s="3156"/>
      <c r="D172" s="3156"/>
      <c r="E172" s="3156"/>
      <c r="F172" s="3162">
        <v>2880</v>
      </c>
      <c r="G172" s="3164"/>
      <c r="I172" s="969"/>
      <c r="J172" s="3191"/>
      <c r="K172" s="3191"/>
      <c r="L172" s="3191"/>
      <c r="M172" s="3191"/>
      <c r="N172" s="3191"/>
      <c r="O172" s="3191"/>
      <c r="P172" s="3191"/>
      <c r="Q172" s="3191"/>
      <c r="R172" s="3191"/>
      <c r="S172" s="3191"/>
      <c r="T172" s="3191"/>
      <c r="U172" s="3191"/>
    </row>
    <row r="173" spans="1:21" s="958" customFormat="1" ht="14.25" customHeight="1">
      <c r="A173" s="3156" t="s">
        <v>1151</v>
      </c>
      <c r="B173" s="3156" t="s">
        <v>2862</v>
      </c>
      <c r="C173" s="3156"/>
      <c r="D173" s="3156"/>
      <c r="E173" s="3156"/>
      <c r="F173" s="3162">
        <v>2150</v>
      </c>
      <c r="G173" s="3164"/>
      <c r="I173" s="969"/>
      <c r="J173" s="3191"/>
      <c r="K173" s="3191"/>
      <c r="L173" s="3191"/>
      <c r="M173" s="3191"/>
      <c r="N173" s="3191"/>
      <c r="O173" s="3191"/>
      <c r="P173" s="3191"/>
      <c r="Q173" s="3191"/>
      <c r="R173" s="3191"/>
      <c r="S173" s="3191"/>
      <c r="T173" s="3191"/>
      <c r="U173" s="3191"/>
    </row>
    <row r="174" spans="1:21" s="958" customFormat="1" ht="14.25" customHeight="1">
      <c r="A174" s="3156" t="s">
        <v>1151</v>
      </c>
      <c r="B174" s="3156" t="s">
        <v>2863</v>
      </c>
      <c r="C174" s="3156"/>
      <c r="D174" s="3156"/>
      <c r="E174" s="3156"/>
      <c r="F174" s="3162">
        <v>2030</v>
      </c>
      <c r="G174" s="3162"/>
      <c r="I174" s="969"/>
      <c r="J174" s="3191"/>
      <c r="K174" s="3191"/>
      <c r="L174" s="3191"/>
      <c r="M174" s="3191"/>
      <c r="N174" s="3191"/>
      <c r="O174" s="3191"/>
      <c r="P174" s="3191"/>
      <c r="Q174" s="3191"/>
      <c r="R174" s="3191"/>
      <c r="S174" s="3191"/>
      <c r="T174" s="3191"/>
      <c r="U174" s="3191"/>
    </row>
    <row r="175" spans="1:21" s="958" customFormat="1" ht="14.25" customHeight="1">
      <c r="A175" s="3156" t="s">
        <v>1151</v>
      </c>
      <c r="B175" s="3156" t="s">
        <v>2864</v>
      </c>
      <c r="C175" s="3156"/>
      <c r="D175" s="3156"/>
      <c r="E175" s="3156"/>
      <c r="F175" s="3162">
        <v>2780</v>
      </c>
      <c r="G175" s="3162"/>
      <c r="I175" s="969"/>
      <c r="J175" s="3191"/>
      <c r="K175" s="3191"/>
      <c r="L175" s="3191"/>
      <c r="M175" s="3191"/>
      <c r="N175" s="3191"/>
      <c r="O175" s="3191"/>
      <c r="P175" s="3191"/>
      <c r="Q175" s="3191"/>
      <c r="R175" s="3191"/>
      <c r="S175" s="3191"/>
      <c r="T175" s="3191"/>
      <c r="U175" s="3191"/>
    </row>
    <row r="176" spans="1:21" s="958" customFormat="1" ht="14.25" customHeight="1">
      <c r="A176" s="3156" t="s">
        <v>1151</v>
      </c>
      <c r="B176" s="3156" t="s">
        <v>2865</v>
      </c>
      <c r="C176" s="3156"/>
      <c r="D176" s="3156"/>
      <c r="E176" s="3156"/>
      <c r="F176" s="3162">
        <v>2780</v>
      </c>
      <c r="G176" s="3162"/>
      <c r="I176" s="969"/>
      <c r="J176" s="3191"/>
      <c r="K176" s="3191"/>
      <c r="L176" s="3191"/>
      <c r="M176" s="3191"/>
      <c r="N176" s="3191"/>
      <c r="O176" s="3191"/>
      <c r="P176" s="3191"/>
      <c r="Q176" s="3191"/>
      <c r="R176" s="3191"/>
      <c r="S176" s="3191"/>
      <c r="T176" s="3191"/>
      <c r="U176" s="3191"/>
    </row>
    <row r="177" spans="1:21" s="958" customFormat="1" ht="14.25" customHeight="1">
      <c r="A177" s="3156" t="s">
        <v>1151</v>
      </c>
      <c r="B177" s="3156" t="s">
        <v>2866</v>
      </c>
      <c r="C177" s="3156"/>
      <c r="D177" s="3156"/>
      <c r="E177" s="3156"/>
      <c r="F177" s="3162">
        <v>2780</v>
      </c>
      <c r="G177" s="3162"/>
      <c r="I177" s="969"/>
      <c r="J177" s="3191"/>
      <c r="K177" s="3191"/>
      <c r="L177" s="3191"/>
      <c r="M177" s="3191"/>
      <c r="N177" s="3191"/>
      <c r="O177" s="3191"/>
      <c r="P177" s="3191"/>
      <c r="Q177" s="3191"/>
      <c r="R177" s="3191"/>
      <c r="S177" s="3191"/>
      <c r="T177" s="3191"/>
      <c r="U177" s="3191"/>
    </row>
    <row r="178" spans="1:21" s="958" customFormat="1" ht="14.25" customHeight="1">
      <c r="A178" s="3156" t="s">
        <v>1151</v>
      </c>
      <c r="B178" s="3156" t="s">
        <v>2867</v>
      </c>
      <c r="C178" s="3156"/>
      <c r="D178" s="3156"/>
      <c r="E178" s="3156"/>
      <c r="F178" s="3162">
        <v>2060</v>
      </c>
      <c r="G178" s="3162"/>
      <c r="I178" s="969"/>
      <c r="J178" s="3191"/>
      <c r="K178" s="3191"/>
      <c r="L178" s="3191"/>
      <c r="M178" s="3191"/>
      <c r="N178" s="3191"/>
      <c r="O178" s="3191"/>
      <c r="P178" s="3191"/>
      <c r="Q178" s="3191"/>
      <c r="R178" s="3191"/>
      <c r="S178" s="3191"/>
      <c r="T178" s="3191"/>
      <c r="U178" s="3191"/>
    </row>
    <row r="179" spans="1:21" s="958" customFormat="1" ht="14.25" customHeight="1">
      <c r="A179" s="3156" t="s">
        <v>1151</v>
      </c>
      <c r="B179" s="3156" t="s">
        <v>2868</v>
      </c>
      <c r="C179" s="3156"/>
      <c r="D179" s="3156"/>
      <c r="E179" s="3156"/>
      <c r="F179" s="3162">
        <v>2120</v>
      </c>
      <c r="G179" s="3164"/>
      <c r="I179" s="969"/>
      <c r="J179" s="3191"/>
      <c r="K179" s="3191"/>
      <c r="L179" s="3191"/>
      <c r="M179" s="3191"/>
      <c r="N179" s="3191"/>
      <c r="O179" s="3191"/>
      <c r="P179" s="3191"/>
      <c r="Q179" s="3191"/>
      <c r="R179" s="3191"/>
      <c r="S179" s="3191"/>
      <c r="T179" s="3191"/>
      <c r="U179" s="3191"/>
    </row>
    <row r="180" spans="1:21" s="958" customFormat="1" ht="14.25" customHeight="1">
      <c r="A180" s="3156" t="s">
        <v>1151</v>
      </c>
      <c r="B180" s="3156" t="s">
        <v>2869</v>
      </c>
      <c r="C180" s="3156"/>
      <c r="D180" s="3156"/>
      <c r="E180" s="3156"/>
      <c r="F180" s="3162">
        <v>2340</v>
      </c>
      <c r="G180" s="3162"/>
      <c r="I180" s="969"/>
      <c r="J180" s="3191"/>
      <c r="K180" s="3191"/>
      <c r="L180" s="3191"/>
      <c r="M180" s="3191"/>
      <c r="N180" s="3191"/>
      <c r="O180" s="3191"/>
      <c r="P180" s="3191"/>
      <c r="Q180" s="3191"/>
      <c r="R180" s="3191"/>
      <c r="S180" s="3191"/>
      <c r="T180" s="3191"/>
      <c r="U180" s="3191"/>
    </row>
    <row r="181" spans="1:21" s="958" customFormat="1" ht="14.25" customHeight="1">
      <c r="A181" s="3156" t="s">
        <v>1151</v>
      </c>
      <c r="B181" s="3156" t="s">
        <v>2870</v>
      </c>
      <c r="C181" s="3156"/>
      <c r="D181" s="3156"/>
      <c r="E181" s="3156"/>
      <c r="F181" s="3162">
        <v>2340</v>
      </c>
      <c r="G181" s="3162"/>
      <c r="I181" s="969"/>
      <c r="J181" s="3191"/>
      <c r="K181" s="3191"/>
      <c r="L181" s="3191"/>
      <c r="M181" s="3191"/>
      <c r="N181" s="3191"/>
      <c r="O181" s="3191"/>
      <c r="P181" s="3191"/>
      <c r="Q181" s="3191"/>
      <c r="R181" s="3191"/>
      <c r="S181" s="3191"/>
      <c r="T181" s="3191"/>
      <c r="U181" s="3191"/>
    </row>
    <row r="182" spans="1:21" s="958" customFormat="1" ht="14.25" customHeight="1">
      <c r="A182" s="3156" t="s">
        <v>1151</v>
      </c>
      <c r="B182" s="3156" t="s">
        <v>2871</v>
      </c>
      <c r="C182" s="3156"/>
      <c r="D182" s="3156"/>
      <c r="E182" s="3156"/>
      <c r="F182" s="3162">
        <v>2340</v>
      </c>
      <c r="G182" s="3162"/>
      <c r="I182" s="969"/>
      <c r="J182" s="3191"/>
      <c r="K182" s="3191"/>
      <c r="L182" s="3191"/>
      <c r="M182" s="3191"/>
      <c r="N182" s="3191"/>
      <c r="O182" s="3191"/>
      <c r="P182" s="3191"/>
      <c r="Q182" s="3191"/>
      <c r="R182" s="3191"/>
      <c r="S182" s="3191"/>
      <c r="T182" s="3191"/>
      <c r="U182" s="3191"/>
    </row>
    <row r="183" spans="1:21" s="958" customFormat="1" ht="14.25" customHeight="1">
      <c r="A183" s="3156" t="s">
        <v>1151</v>
      </c>
      <c r="B183" s="3156" t="s">
        <v>2872</v>
      </c>
      <c r="C183" s="3156"/>
      <c r="D183" s="3156"/>
      <c r="E183" s="3156"/>
      <c r="F183" s="3162">
        <v>2340</v>
      </c>
      <c r="G183" s="3164"/>
      <c r="I183" s="969"/>
      <c r="J183" s="3191"/>
      <c r="K183" s="3191"/>
      <c r="L183" s="3191"/>
      <c r="M183" s="3191"/>
      <c r="N183" s="3191"/>
      <c r="O183" s="3191"/>
      <c r="P183" s="3191"/>
      <c r="Q183" s="3191"/>
      <c r="R183" s="3191"/>
      <c r="S183" s="3191"/>
      <c r="T183" s="3191"/>
      <c r="U183" s="3191"/>
    </row>
    <row r="184" spans="1:21" s="958" customFormat="1" ht="14.25" customHeight="1">
      <c r="A184" s="3156" t="s">
        <v>1151</v>
      </c>
      <c r="B184" s="3156" t="s">
        <v>2873</v>
      </c>
      <c r="C184" s="3156"/>
      <c r="D184" s="3156"/>
      <c r="E184" s="3156"/>
      <c r="F184" s="3162">
        <v>2340</v>
      </c>
      <c r="G184" s="3164"/>
      <c r="I184" s="969"/>
      <c r="J184" s="3191"/>
      <c r="K184" s="3191"/>
      <c r="L184" s="3191"/>
      <c r="M184" s="3191"/>
      <c r="N184" s="3191"/>
      <c r="O184" s="3191"/>
      <c r="P184" s="3191"/>
      <c r="Q184" s="3191"/>
      <c r="R184" s="3191"/>
      <c r="S184" s="3191"/>
      <c r="T184" s="3191"/>
      <c r="U184" s="3191"/>
    </row>
    <row r="185" spans="1:21" s="958" customFormat="1" ht="14.25" customHeight="1">
      <c r="A185" s="3156" t="s">
        <v>1151</v>
      </c>
      <c r="B185" s="3156" t="s">
        <v>2874</v>
      </c>
      <c r="C185" s="3156"/>
      <c r="D185" s="3156"/>
      <c r="E185" s="3156"/>
      <c r="F185" s="3162">
        <v>2530</v>
      </c>
      <c r="G185" s="3162"/>
      <c r="I185" s="969"/>
      <c r="J185" s="3191"/>
      <c r="K185" s="3191"/>
      <c r="L185" s="3191"/>
      <c r="M185" s="3191"/>
      <c r="N185" s="3191"/>
      <c r="O185" s="3191"/>
      <c r="P185" s="3191"/>
      <c r="Q185" s="3191"/>
      <c r="R185" s="3191"/>
      <c r="S185" s="3191"/>
      <c r="T185" s="3191"/>
      <c r="U185" s="3191"/>
    </row>
    <row r="186" spans="1:21" s="958" customFormat="1" ht="14.25" customHeight="1">
      <c r="A186" s="3156" t="s">
        <v>1151</v>
      </c>
      <c r="B186" s="3156" t="s">
        <v>2875</v>
      </c>
      <c r="C186" s="3156"/>
      <c r="D186" s="3156"/>
      <c r="E186" s="3156"/>
      <c r="F186" s="3162">
        <v>2550</v>
      </c>
      <c r="G186" s="3162"/>
      <c r="I186" s="969"/>
      <c r="J186" s="3191"/>
      <c r="K186" s="3191"/>
      <c r="L186" s="3191"/>
      <c r="M186" s="3191"/>
      <c r="N186" s="3191"/>
      <c r="O186" s="3191"/>
      <c r="P186" s="3191"/>
      <c r="Q186" s="3191"/>
      <c r="R186" s="3191"/>
      <c r="S186" s="3191"/>
      <c r="T186" s="3191"/>
      <c r="U186" s="3191"/>
    </row>
    <row r="187" spans="1:21" s="958" customFormat="1" ht="14.25" customHeight="1">
      <c r="A187" s="3156" t="s">
        <v>1151</v>
      </c>
      <c r="B187" s="3156" t="s">
        <v>2876</v>
      </c>
      <c r="C187" s="3156"/>
      <c r="D187" s="3156"/>
      <c r="E187" s="3156"/>
      <c r="F187" s="3162">
        <v>2070</v>
      </c>
      <c r="G187" s="3162"/>
      <c r="I187" s="969"/>
      <c r="J187" s="3191"/>
      <c r="K187" s="3191"/>
      <c r="L187" s="3191"/>
      <c r="M187" s="3191"/>
      <c r="N187" s="3191"/>
      <c r="O187" s="3191"/>
      <c r="P187" s="3191"/>
      <c r="Q187" s="3191"/>
      <c r="R187" s="3191"/>
      <c r="S187" s="3191"/>
      <c r="T187" s="3191"/>
      <c r="U187" s="3191"/>
    </row>
    <row r="188" spans="1:21" s="958" customFormat="1" ht="14.25" customHeight="1">
      <c r="A188" s="3156" t="s">
        <v>1151</v>
      </c>
      <c r="B188" s="3156" t="s">
        <v>2877</v>
      </c>
      <c r="C188" s="3156"/>
      <c r="D188" s="3156"/>
      <c r="E188" s="3156"/>
      <c r="F188" s="3162">
        <v>2340</v>
      </c>
      <c r="G188" s="3162"/>
      <c r="I188" s="969"/>
      <c r="J188" s="3191"/>
      <c r="K188" s="3191"/>
      <c r="L188" s="3191"/>
      <c r="M188" s="3191"/>
      <c r="N188" s="3191"/>
      <c r="O188" s="3191"/>
      <c r="P188" s="3191"/>
      <c r="Q188" s="3191"/>
      <c r="R188" s="3191"/>
      <c r="S188" s="3191"/>
      <c r="T188" s="3191"/>
      <c r="U188" s="3191"/>
    </row>
    <row r="189" spans="1:21" s="958" customFormat="1" ht="14.25" customHeight="1" thickBot="1">
      <c r="A189" s="3171" t="s">
        <v>1151</v>
      </c>
      <c r="B189" s="3159" t="s">
        <v>2878</v>
      </c>
      <c r="C189" s="3159"/>
      <c r="D189" s="3159"/>
      <c r="E189" s="3159"/>
      <c r="F189" s="3160">
        <v>2050</v>
      </c>
      <c r="G189" s="3172"/>
      <c r="I189" s="969"/>
      <c r="J189" s="3191"/>
      <c r="K189" s="3191"/>
      <c r="L189" s="3191"/>
      <c r="M189" s="3191"/>
      <c r="N189" s="3191"/>
      <c r="O189" s="3191"/>
      <c r="P189" s="3191"/>
      <c r="Q189" s="3191"/>
      <c r="R189" s="3191"/>
      <c r="S189" s="3191"/>
      <c r="T189" s="3191"/>
      <c r="U189" s="3191"/>
    </row>
    <row r="190" spans="1:21" s="958" customFormat="1" ht="14.25" customHeight="1">
      <c r="A190" s="3170" t="s">
        <v>1152</v>
      </c>
      <c r="B190" s="1214" t="s">
        <v>2879</v>
      </c>
      <c r="C190" s="1214">
        <v>8830</v>
      </c>
      <c r="D190" s="1214">
        <v>8790</v>
      </c>
      <c r="E190" s="1214">
        <v>11630</v>
      </c>
      <c r="F190" s="3157">
        <v>1790</v>
      </c>
      <c r="G190" s="3157">
        <v>5550</v>
      </c>
      <c r="I190" s="969"/>
      <c r="J190" s="3191"/>
      <c r="K190" s="3191"/>
      <c r="L190" s="3191"/>
      <c r="M190" s="3191"/>
      <c r="N190" s="3191"/>
      <c r="O190" s="3191"/>
      <c r="P190" s="3191"/>
      <c r="Q190" s="3191"/>
      <c r="R190" s="3191"/>
      <c r="S190" s="3191"/>
      <c r="T190" s="3191"/>
      <c r="U190" s="3191"/>
    </row>
    <row r="191" spans="1:21" s="958" customFormat="1" ht="14.25" customHeight="1">
      <c r="A191" s="3156" t="s">
        <v>1152</v>
      </c>
      <c r="B191" s="3156" t="s">
        <v>976</v>
      </c>
      <c r="C191" s="3156">
        <v>9780</v>
      </c>
      <c r="D191" s="3156">
        <v>9710</v>
      </c>
      <c r="E191" s="3156">
        <v>12550</v>
      </c>
      <c r="F191" s="3162">
        <v>1980</v>
      </c>
      <c r="G191" s="3162">
        <v>6130</v>
      </c>
      <c r="I191" s="969"/>
      <c r="J191" s="3191"/>
      <c r="K191" s="3191"/>
      <c r="L191" s="3191"/>
      <c r="M191" s="3191"/>
      <c r="N191" s="3191"/>
      <c r="O191" s="3191"/>
      <c r="P191" s="3191"/>
      <c r="Q191" s="3191"/>
      <c r="R191" s="3191"/>
      <c r="S191" s="3191"/>
      <c r="T191" s="3191"/>
      <c r="U191" s="3191"/>
    </row>
    <row r="192" spans="1:21" s="958" customFormat="1" ht="14.25" customHeight="1">
      <c r="A192" s="3156" t="s">
        <v>1152</v>
      </c>
      <c r="B192" s="3156" t="s">
        <v>986</v>
      </c>
      <c r="C192" s="3156">
        <v>8180</v>
      </c>
      <c r="D192" s="3156">
        <v>8140</v>
      </c>
      <c r="E192" s="3156">
        <v>10870</v>
      </c>
      <c r="F192" s="3162">
        <v>1690</v>
      </c>
      <c r="G192" s="3162">
        <v>5140</v>
      </c>
      <c r="I192" s="969"/>
      <c r="J192" s="3191"/>
      <c r="K192" s="3191"/>
      <c r="L192" s="3191"/>
      <c r="M192" s="3191"/>
      <c r="N192" s="3191"/>
      <c r="O192" s="3191"/>
      <c r="P192" s="3191"/>
      <c r="Q192" s="3191"/>
      <c r="R192" s="3191"/>
      <c r="S192" s="3191"/>
      <c r="T192" s="3191"/>
      <c r="U192" s="3191"/>
    </row>
    <row r="193" spans="1:21" s="958" customFormat="1" ht="14.25" customHeight="1">
      <c r="A193" s="3156" t="s">
        <v>1152</v>
      </c>
      <c r="B193" s="3156" t="s">
        <v>995</v>
      </c>
      <c r="C193" s="3156">
        <v>8440</v>
      </c>
      <c r="D193" s="3156">
        <v>8390</v>
      </c>
      <c r="E193" s="3156">
        <v>11210</v>
      </c>
      <c r="F193" s="3162">
        <v>1600</v>
      </c>
      <c r="G193" s="3162">
        <v>5300</v>
      </c>
      <c r="I193" s="969"/>
      <c r="J193" s="3191"/>
      <c r="K193" s="3191"/>
      <c r="L193" s="3191"/>
      <c r="M193" s="3191"/>
      <c r="N193" s="3191"/>
      <c r="O193" s="3191"/>
      <c r="P193" s="3191"/>
      <c r="Q193" s="3191"/>
      <c r="R193" s="3191"/>
      <c r="S193" s="3191"/>
      <c r="T193" s="3191"/>
      <c r="U193" s="3191"/>
    </row>
    <row r="194" spans="1:21" s="958" customFormat="1" ht="14.25" customHeight="1">
      <c r="A194" s="3156" t="s">
        <v>1152</v>
      </c>
      <c r="B194" s="3156" t="s">
        <v>1005</v>
      </c>
      <c r="C194" s="3156">
        <v>8780</v>
      </c>
      <c r="D194" s="3156">
        <v>8730</v>
      </c>
      <c r="E194" s="3156">
        <v>11550</v>
      </c>
      <c r="F194" s="3162">
        <v>1660</v>
      </c>
      <c r="G194" s="3162">
        <v>5520</v>
      </c>
      <c r="I194" s="969"/>
      <c r="J194" s="3191"/>
      <c r="K194" s="3191"/>
      <c r="L194" s="3191"/>
      <c r="M194" s="3191"/>
      <c r="N194" s="3191"/>
      <c r="O194" s="3191"/>
      <c r="P194" s="3191"/>
      <c r="Q194" s="3191"/>
      <c r="R194" s="3191"/>
      <c r="S194" s="3191"/>
      <c r="T194" s="3191"/>
      <c r="U194" s="3191"/>
    </row>
    <row r="195" spans="1:21" s="958" customFormat="1" ht="14.25" customHeight="1">
      <c r="A195" s="3156" t="s">
        <v>1152</v>
      </c>
      <c r="B195" s="3156" t="s">
        <v>1012</v>
      </c>
      <c r="C195" s="3156">
        <v>8720</v>
      </c>
      <c r="D195" s="3156">
        <v>8670</v>
      </c>
      <c r="E195" s="3156">
        <v>11450</v>
      </c>
      <c r="F195" s="3162">
        <v>1720</v>
      </c>
      <c r="G195" s="3162">
        <v>5480</v>
      </c>
      <c r="I195" s="969"/>
      <c r="J195" s="3191"/>
      <c r="K195" s="3191"/>
      <c r="L195" s="3191"/>
      <c r="M195" s="3191"/>
      <c r="N195" s="3191"/>
      <c r="O195" s="3191"/>
      <c r="P195" s="3191"/>
      <c r="Q195" s="3191"/>
      <c r="R195" s="3191"/>
      <c r="S195" s="3191"/>
      <c r="T195" s="3191"/>
      <c r="U195" s="3191"/>
    </row>
    <row r="196" spans="1:21" s="958" customFormat="1" ht="14.25" customHeight="1">
      <c r="A196" s="3156" t="s">
        <v>1152</v>
      </c>
      <c r="B196" s="3156" t="s">
        <v>1018</v>
      </c>
      <c r="C196" s="3156">
        <v>8460</v>
      </c>
      <c r="D196" s="3156">
        <v>8410</v>
      </c>
      <c r="E196" s="3156">
        <v>11230</v>
      </c>
      <c r="F196" s="3162">
        <v>1730</v>
      </c>
      <c r="G196" s="3162">
        <v>5310</v>
      </c>
      <c r="I196" s="969"/>
      <c r="J196" s="3191"/>
      <c r="K196" s="3191"/>
      <c r="L196" s="3191"/>
      <c r="M196" s="3191"/>
      <c r="N196" s="3191"/>
      <c r="O196" s="3191"/>
      <c r="P196" s="3191"/>
      <c r="Q196" s="3191"/>
      <c r="R196" s="3191"/>
      <c r="S196" s="3191"/>
      <c r="T196" s="3191"/>
      <c r="U196" s="3191"/>
    </row>
    <row r="197" spans="1:21" s="958" customFormat="1" ht="14.25" customHeight="1">
      <c r="A197" s="3156" t="s">
        <v>1152</v>
      </c>
      <c r="B197" s="3156" t="s">
        <v>1025</v>
      </c>
      <c r="C197" s="3156">
        <v>8790</v>
      </c>
      <c r="D197" s="3156">
        <v>8730</v>
      </c>
      <c r="E197" s="3156">
        <v>11560</v>
      </c>
      <c r="F197" s="3162">
        <v>1750</v>
      </c>
      <c r="G197" s="3162">
        <v>5520</v>
      </c>
      <c r="I197" s="969"/>
      <c r="J197" s="3191"/>
      <c r="K197" s="3191"/>
      <c r="L197" s="3191"/>
      <c r="M197" s="3191"/>
      <c r="N197" s="3191"/>
      <c r="O197" s="3191"/>
      <c r="P197" s="3191"/>
      <c r="Q197" s="3191"/>
      <c r="R197" s="3191"/>
      <c r="S197" s="3191"/>
      <c r="T197" s="3191"/>
      <c r="U197" s="3191"/>
    </row>
    <row r="198" spans="1:21" s="958" customFormat="1" ht="14.25" customHeight="1">
      <c r="A198" s="3156" t="s">
        <v>1152</v>
      </c>
      <c r="B198" s="3156" t="s">
        <v>1035</v>
      </c>
      <c r="C198" s="3156">
        <v>8720</v>
      </c>
      <c r="D198" s="3156">
        <v>8680</v>
      </c>
      <c r="E198" s="3156">
        <v>11470</v>
      </c>
      <c r="F198" s="3162"/>
      <c r="G198" s="3162">
        <v>5480</v>
      </c>
      <c r="I198" s="969"/>
      <c r="J198" s="3191"/>
      <c r="K198" s="3191"/>
      <c r="L198" s="3191"/>
      <c r="M198" s="3191"/>
      <c r="N198" s="3191"/>
      <c r="O198" s="3191"/>
      <c r="P198" s="3191"/>
      <c r="Q198" s="3191"/>
      <c r="R198" s="3191"/>
      <c r="S198" s="3191"/>
      <c r="T198" s="3191"/>
      <c r="U198" s="3191"/>
    </row>
    <row r="199" spans="1:21" s="958" customFormat="1" ht="14.25" customHeight="1">
      <c r="A199" s="3156" t="s">
        <v>1152</v>
      </c>
      <c r="B199" s="3156" t="s">
        <v>2880</v>
      </c>
      <c r="C199" s="3156">
        <v>8690</v>
      </c>
      <c r="D199" s="3156">
        <v>8630</v>
      </c>
      <c r="E199" s="3156">
        <v>11350</v>
      </c>
      <c r="F199" s="3162">
        <v>1600</v>
      </c>
      <c r="G199" s="3162">
        <v>5450</v>
      </c>
      <c r="I199" s="969"/>
      <c r="J199" s="3191"/>
      <c r="K199" s="3191"/>
      <c r="L199" s="3191"/>
      <c r="M199" s="3191"/>
      <c r="N199" s="3191"/>
      <c r="O199" s="3191"/>
      <c r="P199" s="3191"/>
      <c r="Q199" s="3191"/>
      <c r="R199" s="3191"/>
      <c r="S199" s="3191"/>
      <c r="T199" s="3191"/>
      <c r="U199" s="3191"/>
    </row>
    <row r="200" spans="1:21" s="958" customFormat="1" ht="14.25" customHeight="1">
      <c r="A200" s="3156" t="s">
        <v>1152</v>
      </c>
      <c r="B200" s="3156" t="s">
        <v>2881</v>
      </c>
      <c r="C200" s="3156"/>
      <c r="D200" s="3156"/>
      <c r="E200" s="3156"/>
      <c r="F200" s="3162">
        <v>1510</v>
      </c>
      <c r="G200" s="3162"/>
      <c r="I200" s="969"/>
      <c r="J200" s="3191"/>
      <c r="K200" s="3191"/>
      <c r="L200" s="3191"/>
      <c r="M200" s="3191"/>
      <c r="N200" s="3191"/>
      <c r="O200" s="3191"/>
      <c r="P200" s="3191"/>
      <c r="Q200" s="3191"/>
      <c r="R200" s="3191"/>
      <c r="S200" s="3191"/>
      <c r="T200" s="3191"/>
      <c r="U200" s="3191"/>
    </row>
    <row r="201" spans="1:21" s="958" customFormat="1" ht="14.25" customHeight="1">
      <c r="A201" s="3156" t="s">
        <v>1152</v>
      </c>
      <c r="B201" s="3156" t="s">
        <v>2882</v>
      </c>
      <c r="C201" s="3156">
        <v>8440</v>
      </c>
      <c r="D201" s="3156">
        <v>8390</v>
      </c>
      <c r="E201" s="3156">
        <v>10930</v>
      </c>
      <c r="F201" s="3162">
        <v>1500</v>
      </c>
      <c r="G201" s="3162">
        <v>5300</v>
      </c>
      <c r="I201" s="969"/>
      <c r="J201" s="3191"/>
      <c r="K201" s="3191"/>
      <c r="L201" s="3191"/>
      <c r="M201" s="3191"/>
      <c r="N201" s="3191"/>
      <c r="O201" s="3191"/>
      <c r="P201" s="3191"/>
      <c r="Q201" s="3191"/>
      <c r="R201" s="3191"/>
      <c r="S201" s="3191"/>
      <c r="T201" s="3191"/>
      <c r="U201" s="3191"/>
    </row>
    <row r="202" spans="1:21" s="958" customFormat="1" ht="14.25" customHeight="1">
      <c r="A202" s="3156" t="s">
        <v>1152</v>
      </c>
      <c r="B202" s="3156" t="s">
        <v>1086</v>
      </c>
      <c r="C202" s="3156">
        <v>8530</v>
      </c>
      <c r="D202" s="3156">
        <v>8490</v>
      </c>
      <c r="E202" s="3156">
        <v>11160</v>
      </c>
      <c r="F202" s="3162">
        <v>1580</v>
      </c>
      <c r="G202" s="3162">
        <v>5360</v>
      </c>
      <c r="I202" s="969"/>
      <c r="J202" s="3191"/>
      <c r="K202" s="3191"/>
      <c r="L202" s="3191"/>
      <c r="M202" s="3191"/>
      <c r="N202" s="3191"/>
      <c r="O202" s="3191"/>
      <c r="P202" s="3191"/>
      <c r="Q202" s="3191"/>
      <c r="R202" s="3191"/>
      <c r="S202" s="3191"/>
      <c r="T202" s="3191"/>
      <c r="U202" s="3191"/>
    </row>
    <row r="203" spans="1:21" s="958" customFormat="1" ht="14.25" customHeight="1">
      <c r="A203" s="3156" t="s">
        <v>1152</v>
      </c>
      <c r="B203" s="3156" t="s">
        <v>2883</v>
      </c>
      <c r="C203" s="3156">
        <v>8130</v>
      </c>
      <c r="D203" s="3156">
        <v>8070</v>
      </c>
      <c r="E203" s="3156">
        <v>10820</v>
      </c>
      <c r="F203" s="3162">
        <v>1690</v>
      </c>
      <c r="G203" s="3162">
        <v>5100</v>
      </c>
      <c r="I203" s="969"/>
      <c r="J203" s="3191"/>
      <c r="K203" s="3191"/>
      <c r="L203" s="3191"/>
      <c r="M203" s="3191"/>
      <c r="N203" s="3191"/>
      <c r="O203" s="3191"/>
      <c r="P203" s="3191"/>
      <c r="Q203" s="3191"/>
      <c r="R203" s="3191"/>
      <c r="S203" s="3191"/>
      <c r="T203" s="3191"/>
      <c r="U203" s="3191"/>
    </row>
    <row r="204" spans="1:21" s="958" customFormat="1" ht="14.25" customHeight="1">
      <c r="A204" s="3156" t="s">
        <v>1152</v>
      </c>
      <c r="B204" s="3156" t="s">
        <v>2884</v>
      </c>
      <c r="C204" s="3156">
        <v>8350</v>
      </c>
      <c r="D204" s="3156">
        <v>8290</v>
      </c>
      <c r="E204" s="3156">
        <v>11080</v>
      </c>
      <c r="F204" s="3162">
        <v>1450</v>
      </c>
      <c r="G204" s="3162">
        <v>5240</v>
      </c>
      <c r="I204" s="969"/>
      <c r="J204" s="3191"/>
      <c r="K204" s="3191"/>
      <c r="L204" s="3191"/>
      <c r="M204" s="3191"/>
      <c r="N204" s="3191"/>
      <c r="O204" s="3191"/>
      <c r="P204" s="3191"/>
      <c r="Q204" s="3191"/>
      <c r="R204" s="3191"/>
      <c r="S204" s="3191"/>
      <c r="T204" s="3191"/>
      <c r="U204" s="3191"/>
    </row>
    <row r="205" spans="1:21" s="958" customFormat="1" ht="14.25" customHeight="1">
      <c r="A205" s="3156" t="s">
        <v>1152</v>
      </c>
      <c r="B205" s="3156" t="s">
        <v>2885</v>
      </c>
      <c r="C205" s="3156">
        <v>7190</v>
      </c>
      <c r="D205" s="3156">
        <v>7130</v>
      </c>
      <c r="E205" s="3156">
        <v>9490</v>
      </c>
      <c r="F205" s="3162">
        <v>1470</v>
      </c>
      <c r="G205" s="3169">
        <v>4510</v>
      </c>
      <c r="I205" s="969"/>
      <c r="J205" s="3191"/>
      <c r="K205" s="3191"/>
      <c r="L205" s="3191"/>
      <c r="M205" s="3191"/>
      <c r="N205" s="3191"/>
      <c r="O205" s="3191"/>
      <c r="P205" s="3191"/>
      <c r="Q205" s="3191"/>
      <c r="R205" s="3191"/>
      <c r="S205" s="3191"/>
      <c r="T205" s="3191"/>
      <c r="U205" s="3191"/>
    </row>
    <row r="206" spans="1:21" s="958" customFormat="1" ht="14.25" customHeight="1">
      <c r="A206" s="1214" t="s">
        <v>1152</v>
      </c>
      <c r="B206" s="1214" t="s">
        <v>2886</v>
      </c>
      <c r="C206" s="1214">
        <v>7000</v>
      </c>
      <c r="D206" s="1214">
        <v>6950</v>
      </c>
      <c r="E206" s="1214">
        <v>9170</v>
      </c>
      <c r="F206" s="3157">
        <v>1400</v>
      </c>
      <c r="G206" s="3157">
        <v>4380</v>
      </c>
      <c r="I206" s="969"/>
      <c r="J206" s="3191"/>
      <c r="K206" s="3191"/>
      <c r="L206" s="3191"/>
      <c r="M206" s="3191"/>
      <c r="N206" s="3191"/>
      <c r="O206" s="3191"/>
      <c r="P206" s="3191"/>
      <c r="Q206" s="3191"/>
      <c r="R206" s="3191"/>
      <c r="S206" s="3191"/>
      <c r="T206" s="3191"/>
      <c r="U206" s="3191"/>
    </row>
    <row r="207" spans="1:21" s="958" customFormat="1" ht="14.25" customHeight="1">
      <c r="A207" s="3156" t="s">
        <v>1152</v>
      </c>
      <c r="B207" s="3156" t="s">
        <v>2887</v>
      </c>
      <c r="C207" s="3156">
        <v>6950</v>
      </c>
      <c r="D207" s="3156">
        <v>6900</v>
      </c>
      <c r="E207" s="3156">
        <v>9110</v>
      </c>
      <c r="F207" s="3162">
        <v>1790</v>
      </c>
      <c r="G207" s="3162">
        <v>4360</v>
      </c>
      <c r="I207" s="969"/>
      <c r="J207" s="3191"/>
      <c r="K207" s="3191"/>
      <c r="L207" s="3191"/>
      <c r="M207" s="3191"/>
      <c r="N207" s="3191"/>
      <c r="O207" s="3191"/>
      <c r="P207" s="3191"/>
      <c r="Q207" s="3191"/>
      <c r="R207" s="3191"/>
      <c r="S207" s="3191"/>
      <c r="T207" s="3191"/>
      <c r="U207" s="3191"/>
    </row>
    <row r="208" spans="1:21" s="958" customFormat="1" ht="14.25" customHeight="1">
      <c r="A208" s="3156" t="s">
        <v>1152</v>
      </c>
      <c r="B208" s="3156" t="s">
        <v>2888</v>
      </c>
      <c r="C208" s="3156">
        <v>9470</v>
      </c>
      <c r="D208" s="3156">
        <v>9410</v>
      </c>
      <c r="E208" s="3156">
        <v>12330</v>
      </c>
      <c r="F208" s="3162">
        <v>1770</v>
      </c>
      <c r="G208" s="3162">
        <v>5940</v>
      </c>
      <c r="I208" s="969"/>
      <c r="J208" s="3191"/>
      <c r="K208" s="3191"/>
      <c r="L208" s="3191"/>
      <c r="M208" s="3191"/>
      <c r="N208" s="3191"/>
      <c r="O208" s="3191"/>
      <c r="P208" s="3191"/>
      <c r="Q208" s="3191"/>
      <c r="R208" s="3191"/>
      <c r="S208" s="3191"/>
      <c r="T208" s="3191"/>
      <c r="U208" s="3191"/>
    </row>
    <row r="209" spans="1:21" s="958" customFormat="1" ht="14.25" customHeight="1">
      <c r="A209" s="3156" t="s">
        <v>1152</v>
      </c>
      <c r="B209" s="3156" t="s">
        <v>1110</v>
      </c>
      <c r="C209" s="3156">
        <v>8740</v>
      </c>
      <c r="D209" s="3156">
        <v>8700</v>
      </c>
      <c r="E209" s="3156">
        <v>11500</v>
      </c>
      <c r="F209" s="3162">
        <v>1730</v>
      </c>
      <c r="G209" s="3162">
        <v>5490</v>
      </c>
      <c r="I209" s="969"/>
      <c r="J209" s="3191"/>
      <c r="K209" s="3191"/>
      <c r="L209" s="3191"/>
      <c r="M209" s="3191"/>
      <c r="N209" s="3191"/>
      <c r="O209" s="3191"/>
      <c r="P209" s="3191"/>
      <c r="Q209" s="3191"/>
      <c r="R209" s="3191"/>
      <c r="S209" s="3191"/>
      <c r="T209" s="3191"/>
      <c r="U209" s="3191"/>
    </row>
    <row r="210" spans="1:21" s="958" customFormat="1" ht="14.25" customHeight="1">
      <c r="A210" s="3156" t="s">
        <v>1152</v>
      </c>
      <c r="B210" s="3156" t="s">
        <v>2889</v>
      </c>
      <c r="C210" s="3156">
        <v>8710</v>
      </c>
      <c r="D210" s="3156">
        <v>8660</v>
      </c>
      <c r="E210" s="3156">
        <v>11440</v>
      </c>
      <c r="F210" s="3162">
        <v>1740</v>
      </c>
      <c r="G210" s="3162">
        <v>5470</v>
      </c>
      <c r="I210" s="969"/>
      <c r="J210" s="3191"/>
      <c r="K210" s="3191"/>
      <c r="L210" s="3191"/>
      <c r="M210" s="3191"/>
      <c r="N210" s="3191"/>
      <c r="O210" s="3191"/>
      <c r="P210" s="3191"/>
      <c r="Q210" s="3191"/>
      <c r="R210" s="3191"/>
      <c r="S210" s="3191"/>
      <c r="T210" s="3191"/>
      <c r="U210" s="3191"/>
    </row>
    <row r="211" spans="1:21" s="958" customFormat="1" ht="14.25" customHeight="1">
      <c r="A211" s="3156" t="s">
        <v>1152</v>
      </c>
      <c r="B211" s="3156" t="s">
        <v>2890</v>
      </c>
      <c r="C211" s="3156">
        <v>9480</v>
      </c>
      <c r="D211" s="3156">
        <v>9430</v>
      </c>
      <c r="E211" s="3156">
        <v>12360</v>
      </c>
      <c r="F211" s="3162">
        <v>1820</v>
      </c>
      <c r="G211" s="3162">
        <v>5950</v>
      </c>
      <c r="I211" s="969"/>
      <c r="J211" s="3191"/>
      <c r="K211" s="3191"/>
      <c r="L211" s="3191"/>
      <c r="M211" s="3191"/>
      <c r="N211" s="3191"/>
      <c r="O211" s="3191"/>
      <c r="P211" s="3191"/>
      <c r="Q211" s="3191"/>
      <c r="R211" s="3191"/>
      <c r="S211" s="3191"/>
      <c r="T211" s="3191"/>
      <c r="U211" s="3191"/>
    </row>
    <row r="212" spans="1:21" s="958" customFormat="1" ht="14.25" customHeight="1">
      <c r="A212" s="3156" t="s">
        <v>1152</v>
      </c>
      <c r="B212" s="3156" t="s">
        <v>1132</v>
      </c>
      <c r="C212" s="3156">
        <v>9070</v>
      </c>
      <c r="D212" s="3156">
        <v>9020</v>
      </c>
      <c r="E212" s="3156">
        <v>11720</v>
      </c>
      <c r="F212" s="3162">
        <v>1850</v>
      </c>
      <c r="G212" s="3162">
        <v>5700</v>
      </c>
      <c r="I212" s="969"/>
      <c r="J212" s="3191"/>
      <c r="K212" s="3191"/>
      <c r="L212" s="3191"/>
      <c r="M212" s="3191"/>
      <c r="N212" s="3191"/>
      <c r="O212" s="3191"/>
      <c r="P212" s="3191"/>
      <c r="Q212" s="3191"/>
      <c r="R212" s="3191"/>
      <c r="S212" s="3191"/>
      <c r="T212" s="3191"/>
      <c r="U212" s="3191"/>
    </row>
    <row r="213" spans="1:21" s="958" customFormat="1" ht="14.25" customHeight="1">
      <c r="A213" s="3156" t="s">
        <v>1152</v>
      </c>
      <c r="B213" s="3156" t="s">
        <v>1135</v>
      </c>
      <c r="C213" s="3156">
        <v>9030</v>
      </c>
      <c r="D213" s="3156">
        <v>8980</v>
      </c>
      <c r="E213" s="3156">
        <v>11670</v>
      </c>
      <c r="F213" s="3162">
        <v>1690</v>
      </c>
      <c r="G213" s="3162">
        <v>5670</v>
      </c>
      <c r="I213" s="969"/>
      <c r="J213" s="3191"/>
      <c r="K213" s="3191"/>
      <c r="L213" s="3191"/>
      <c r="M213" s="3191"/>
      <c r="N213" s="3191"/>
      <c r="O213" s="3191"/>
      <c r="P213" s="3191"/>
      <c r="Q213" s="3191"/>
      <c r="R213" s="3191"/>
      <c r="S213" s="3191"/>
      <c r="T213" s="3191"/>
      <c r="U213" s="3191"/>
    </row>
    <row r="214" spans="1:21" s="958" customFormat="1" ht="14.25" customHeight="1">
      <c r="A214" s="3156" t="s">
        <v>1152</v>
      </c>
      <c r="B214" s="3156" t="s">
        <v>2891</v>
      </c>
      <c r="C214" s="3156">
        <v>8090</v>
      </c>
      <c r="D214" s="3156">
        <v>8030</v>
      </c>
      <c r="E214" s="3156">
        <v>10780</v>
      </c>
      <c r="F214" s="3162">
        <v>1570</v>
      </c>
      <c r="G214" s="3164">
        <v>5070</v>
      </c>
      <c r="I214" s="969"/>
      <c r="J214" s="3191"/>
      <c r="K214" s="3191"/>
      <c r="L214" s="3191"/>
      <c r="M214" s="3191"/>
      <c r="N214" s="3191"/>
      <c r="O214" s="3191"/>
      <c r="P214" s="3191"/>
      <c r="Q214" s="3191"/>
      <c r="R214" s="3191"/>
      <c r="S214" s="3191"/>
      <c r="T214" s="3191"/>
      <c r="U214" s="3191"/>
    </row>
    <row r="215" spans="1:21" s="958" customFormat="1" ht="14.25" customHeight="1">
      <c r="A215" s="3156" t="s">
        <v>1152</v>
      </c>
      <c r="B215" s="3156" t="s">
        <v>1121</v>
      </c>
      <c r="C215" s="3156">
        <v>7950</v>
      </c>
      <c r="D215" s="3156">
        <v>7900</v>
      </c>
      <c r="E215" s="3156">
        <v>10560</v>
      </c>
      <c r="F215" s="3162">
        <v>1630</v>
      </c>
      <c r="G215" s="3162">
        <v>4990</v>
      </c>
      <c r="I215" s="969"/>
      <c r="J215" s="3191"/>
      <c r="K215" s="3191"/>
      <c r="L215" s="3191"/>
      <c r="M215" s="3191"/>
      <c r="N215" s="3191"/>
      <c r="O215" s="3191"/>
      <c r="P215" s="3191"/>
      <c r="Q215" s="3191"/>
      <c r="R215" s="3191"/>
      <c r="S215" s="3191"/>
      <c r="T215" s="3191"/>
      <c r="U215" s="3191"/>
    </row>
    <row r="216" spans="1:21" s="958" customFormat="1" ht="14.25" customHeight="1">
      <c r="A216" s="3156" t="s">
        <v>1152</v>
      </c>
      <c r="B216" s="3156" t="s">
        <v>2892</v>
      </c>
      <c r="C216" s="3156">
        <v>8490</v>
      </c>
      <c r="D216" s="3156">
        <v>8440</v>
      </c>
      <c r="E216" s="3156">
        <v>11260</v>
      </c>
      <c r="F216" s="3162">
        <v>1690</v>
      </c>
      <c r="G216" s="3162">
        <v>5330</v>
      </c>
      <c r="I216" s="969"/>
      <c r="J216" s="3191"/>
      <c r="K216" s="3191"/>
      <c r="L216" s="3191"/>
      <c r="M216" s="3191"/>
      <c r="N216" s="3191"/>
      <c r="O216" s="3191"/>
      <c r="P216" s="3191"/>
      <c r="Q216" s="3191"/>
      <c r="R216" s="3191"/>
      <c r="S216" s="3191"/>
      <c r="T216" s="3191"/>
      <c r="U216" s="3191"/>
    </row>
    <row r="217" spans="1:21" s="958" customFormat="1" ht="14.25" customHeight="1">
      <c r="A217" s="3156" t="s">
        <v>1152</v>
      </c>
      <c r="B217" s="3156" t="s">
        <v>2893</v>
      </c>
      <c r="C217" s="3156">
        <v>8200</v>
      </c>
      <c r="D217" s="3156">
        <v>8150</v>
      </c>
      <c r="E217" s="3156">
        <v>10910</v>
      </c>
      <c r="F217" s="3162">
        <v>1670</v>
      </c>
      <c r="G217" s="3162">
        <v>5150</v>
      </c>
      <c r="I217" s="969"/>
      <c r="J217" s="3191"/>
      <c r="K217" s="3191"/>
      <c r="L217" s="3191"/>
      <c r="M217" s="3191"/>
      <c r="N217" s="3191"/>
      <c r="O217" s="3191"/>
      <c r="P217" s="3191"/>
      <c r="Q217" s="3191"/>
      <c r="R217" s="3191"/>
      <c r="S217" s="3191"/>
      <c r="T217" s="3191"/>
      <c r="U217" s="3191"/>
    </row>
    <row r="218" spans="1:21" s="958" customFormat="1" ht="14.25" customHeight="1">
      <c r="A218" s="3156" t="s">
        <v>1152</v>
      </c>
      <c r="B218" s="3156" t="s">
        <v>2894</v>
      </c>
      <c r="C218" s="3156"/>
      <c r="D218" s="3156"/>
      <c r="E218" s="3156"/>
      <c r="F218" s="3162">
        <v>2040</v>
      </c>
      <c r="G218" s="3162"/>
      <c r="I218" s="969"/>
      <c r="J218" s="3191"/>
      <c r="K218" s="3191"/>
      <c r="L218" s="3191"/>
      <c r="M218" s="3191"/>
      <c r="N218" s="3191"/>
      <c r="O218" s="3191"/>
      <c r="P218" s="3191"/>
      <c r="Q218" s="3191"/>
      <c r="R218" s="3191"/>
      <c r="S218" s="3191"/>
      <c r="T218" s="3191"/>
      <c r="U218" s="3191"/>
    </row>
    <row r="219" spans="1:21" s="958" customFormat="1" ht="14.25" customHeight="1">
      <c r="A219" s="3156" t="s">
        <v>1152</v>
      </c>
      <c r="B219" s="3156" t="s">
        <v>2895</v>
      </c>
      <c r="C219" s="3156"/>
      <c r="D219" s="3156"/>
      <c r="E219" s="3156"/>
      <c r="F219" s="3162">
        <v>2040</v>
      </c>
      <c r="G219" s="3162"/>
      <c r="I219" s="969"/>
      <c r="J219" s="3191"/>
      <c r="K219" s="3191"/>
      <c r="L219" s="3191"/>
      <c r="M219" s="3191"/>
      <c r="N219" s="3191"/>
      <c r="O219" s="3191"/>
      <c r="P219" s="3191"/>
      <c r="Q219" s="3191"/>
      <c r="R219" s="3191"/>
      <c r="S219" s="3191"/>
      <c r="T219" s="3191"/>
      <c r="U219" s="3191"/>
    </row>
    <row r="220" spans="1:21" s="958" customFormat="1" ht="14.25" customHeight="1">
      <c r="A220" s="3156" t="s">
        <v>1152</v>
      </c>
      <c r="B220" s="3156" t="s">
        <v>2896</v>
      </c>
      <c r="C220" s="3156"/>
      <c r="D220" s="3156"/>
      <c r="E220" s="3156"/>
      <c r="F220" s="3162">
        <v>2040</v>
      </c>
      <c r="G220" s="3162"/>
      <c r="I220" s="969"/>
      <c r="J220" s="3191"/>
      <c r="K220" s="3191"/>
      <c r="L220" s="3191"/>
      <c r="M220" s="3191"/>
      <c r="N220" s="3191"/>
      <c r="O220" s="3191"/>
      <c r="P220" s="3191"/>
      <c r="Q220" s="3191"/>
      <c r="R220" s="3191"/>
      <c r="S220" s="3191"/>
      <c r="T220" s="3191"/>
      <c r="U220" s="3191"/>
    </row>
    <row r="221" spans="1:21" s="958" customFormat="1" ht="14.25" customHeight="1">
      <c r="A221" s="3156" t="s">
        <v>1152</v>
      </c>
      <c r="B221" s="3156" t="s">
        <v>2897</v>
      </c>
      <c r="C221" s="3165"/>
      <c r="D221" s="3165"/>
      <c r="E221" s="3165"/>
      <c r="F221" s="3164">
        <v>2040</v>
      </c>
      <c r="G221" s="3162"/>
      <c r="I221" s="969"/>
      <c r="J221" s="3191"/>
      <c r="K221" s="3191"/>
      <c r="L221" s="3191"/>
      <c r="M221" s="3191"/>
      <c r="N221" s="3191"/>
      <c r="O221" s="3191"/>
      <c r="P221" s="3191"/>
      <c r="Q221" s="3191"/>
      <c r="R221" s="3191"/>
      <c r="S221" s="3191"/>
      <c r="T221" s="3191"/>
      <c r="U221" s="3191"/>
    </row>
    <row r="222" spans="1:21" s="958" customFormat="1" ht="14.25" customHeight="1">
      <c r="A222" s="3156" t="s">
        <v>1152</v>
      </c>
      <c r="B222" s="3156" t="s">
        <v>2898</v>
      </c>
      <c r="C222" s="3165"/>
      <c r="D222" s="3165"/>
      <c r="E222" s="3165"/>
      <c r="F222" s="3164">
        <v>2040</v>
      </c>
      <c r="G222" s="3162"/>
      <c r="I222" s="969"/>
      <c r="J222" s="3191"/>
      <c r="K222" s="3191"/>
      <c r="L222" s="3191"/>
      <c r="M222" s="3191"/>
      <c r="N222" s="3191"/>
      <c r="O222" s="3191"/>
      <c r="P222" s="3191"/>
      <c r="Q222" s="3191"/>
      <c r="R222" s="3191"/>
      <c r="S222" s="3191"/>
      <c r="T222" s="3191"/>
      <c r="U222" s="3191"/>
    </row>
    <row r="223" spans="1:21" s="958" customFormat="1" ht="14.25" customHeight="1">
      <c r="A223" s="3156" t="s">
        <v>1152</v>
      </c>
      <c r="B223" s="3156" t="s">
        <v>2899</v>
      </c>
      <c r="C223" s="3165"/>
      <c r="D223" s="3165"/>
      <c r="E223" s="3165"/>
      <c r="F223" s="3164">
        <v>1930</v>
      </c>
      <c r="G223" s="3162"/>
      <c r="I223" s="969"/>
      <c r="J223" s="3191"/>
      <c r="K223" s="3191"/>
      <c r="L223" s="3191"/>
      <c r="M223" s="3191"/>
      <c r="N223" s="3191"/>
      <c r="O223" s="3191"/>
      <c r="P223" s="3191"/>
      <c r="Q223" s="3191"/>
      <c r="R223" s="3191"/>
      <c r="S223" s="3191"/>
      <c r="T223" s="3191"/>
      <c r="U223" s="3191"/>
    </row>
    <row r="224" spans="1:21" s="958" customFormat="1" ht="14.25" customHeight="1">
      <c r="A224" s="3156" t="s">
        <v>1152</v>
      </c>
      <c r="B224" s="3156" t="s">
        <v>2900</v>
      </c>
      <c r="C224" s="3165"/>
      <c r="D224" s="3165"/>
      <c r="E224" s="3165"/>
      <c r="F224" s="3164">
        <v>1930</v>
      </c>
      <c r="G224" s="3162"/>
      <c r="I224" s="969"/>
      <c r="J224" s="3191"/>
      <c r="K224" s="3191"/>
      <c r="L224" s="3191"/>
      <c r="M224" s="3191"/>
      <c r="N224" s="3191"/>
      <c r="O224" s="3191"/>
      <c r="P224" s="3191"/>
      <c r="Q224" s="3191"/>
      <c r="R224" s="3191"/>
      <c r="S224" s="3191"/>
      <c r="T224" s="3191"/>
      <c r="U224" s="3191"/>
    </row>
    <row r="225" spans="1:21" s="958" customFormat="1" ht="14.25" customHeight="1">
      <c r="A225" s="3156" t="s">
        <v>1152</v>
      </c>
      <c r="B225" s="3156" t="s">
        <v>2901</v>
      </c>
      <c r="C225" s="3156"/>
      <c r="D225" s="3156"/>
      <c r="E225" s="3156"/>
      <c r="F225" s="3162">
        <v>1930</v>
      </c>
      <c r="G225" s="3162"/>
      <c r="I225" s="969"/>
      <c r="J225" s="3191"/>
      <c r="K225" s="3191"/>
      <c r="L225" s="3191"/>
      <c r="M225" s="3191"/>
      <c r="N225" s="3191"/>
      <c r="O225" s="3191"/>
      <c r="P225" s="3191"/>
      <c r="Q225" s="3191"/>
      <c r="R225" s="3191"/>
      <c r="S225" s="3191"/>
      <c r="T225" s="3191"/>
      <c r="U225" s="3191"/>
    </row>
    <row r="226" spans="1:21" s="958" customFormat="1" ht="14.25" customHeight="1">
      <c r="A226" s="3156" t="s">
        <v>1152</v>
      </c>
      <c r="B226" s="3156" t="s">
        <v>2902</v>
      </c>
      <c r="C226" s="3156"/>
      <c r="D226" s="3156"/>
      <c r="E226" s="3156"/>
      <c r="F226" s="3162">
        <v>1700</v>
      </c>
      <c r="G226" s="3162"/>
      <c r="I226" s="969"/>
      <c r="J226" s="3191"/>
      <c r="K226" s="3191"/>
      <c r="L226" s="3191"/>
      <c r="M226" s="3191"/>
      <c r="N226" s="3191"/>
      <c r="O226" s="3191"/>
      <c r="P226" s="3191"/>
      <c r="Q226" s="3191"/>
      <c r="R226" s="3191"/>
      <c r="S226" s="3191"/>
      <c r="T226" s="3191"/>
      <c r="U226" s="3191"/>
    </row>
    <row r="227" spans="1:21" s="958" customFormat="1" ht="14.25" customHeight="1">
      <c r="A227" s="3156" t="s">
        <v>1152</v>
      </c>
      <c r="B227" s="3156" t="s">
        <v>2903</v>
      </c>
      <c r="C227" s="3156"/>
      <c r="D227" s="3156"/>
      <c r="E227" s="3156"/>
      <c r="F227" s="3162">
        <v>1520</v>
      </c>
      <c r="G227" s="3162"/>
      <c r="I227" s="969"/>
      <c r="J227" s="3191"/>
      <c r="K227" s="3191"/>
      <c r="L227" s="3191"/>
      <c r="M227" s="3191"/>
      <c r="N227" s="3191"/>
      <c r="O227" s="3191"/>
      <c r="P227" s="3191"/>
      <c r="Q227" s="3191"/>
      <c r="R227" s="3191"/>
      <c r="S227" s="3191"/>
      <c r="T227" s="3191"/>
      <c r="U227" s="3191"/>
    </row>
    <row r="228" spans="1:21" s="958" customFormat="1" ht="14.25" customHeight="1">
      <c r="A228" s="3156" t="s">
        <v>1152</v>
      </c>
      <c r="B228" s="3156" t="s">
        <v>2904</v>
      </c>
      <c r="C228" s="3156"/>
      <c r="D228" s="3156"/>
      <c r="E228" s="3156"/>
      <c r="F228" s="3162">
        <v>1520</v>
      </c>
      <c r="G228" s="3162"/>
      <c r="I228" s="969"/>
      <c r="J228" s="3191"/>
      <c r="K228" s="3191"/>
      <c r="L228" s="3191"/>
      <c r="M228" s="3191"/>
      <c r="N228" s="3191"/>
      <c r="O228" s="3191"/>
      <c r="P228" s="3191"/>
      <c r="Q228" s="3191"/>
      <c r="R228" s="3191"/>
      <c r="S228" s="3191"/>
      <c r="T228" s="3191"/>
      <c r="U228" s="3191"/>
    </row>
    <row r="229" spans="1:21" s="958" customFormat="1" ht="14.25" customHeight="1">
      <c r="A229" s="3156" t="s">
        <v>1152</v>
      </c>
      <c r="B229" s="3156" t="s">
        <v>2905</v>
      </c>
      <c r="C229" s="3156"/>
      <c r="D229" s="3156"/>
      <c r="E229" s="3156"/>
      <c r="F229" s="3162">
        <v>1520</v>
      </c>
      <c r="G229" s="3164"/>
      <c r="I229" s="969"/>
      <c r="J229" s="3191"/>
      <c r="K229" s="3191"/>
      <c r="L229" s="3191"/>
      <c r="M229" s="3191"/>
      <c r="N229" s="3191"/>
      <c r="O229" s="3191"/>
      <c r="P229" s="3191"/>
      <c r="Q229" s="3191"/>
      <c r="R229" s="3191"/>
      <c r="S229" s="3191"/>
      <c r="T229" s="3191"/>
      <c r="U229" s="3191"/>
    </row>
    <row r="230" spans="1:21" s="958" customFormat="1" ht="14.25" customHeight="1">
      <c r="A230" s="3156" t="s">
        <v>1152</v>
      </c>
      <c r="B230" s="3156" t="s">
        <v>2906</v>
      </c>
      <c r="C230" s="3156"/>
      <c r="D230" s="3156"/>
      <c r="E230" s="3156"/>
      <c r="F230" s="3162">
        <v>1820</v>
      </c>
      <c r="G230" s="3164"/>
      <c r="I230" s="969"/>
      <c r="J230" s="3191"/>
      <c r="K230" s="3191"/>
      <c r="L230" s="3191"/>
      <c r="M230" s="3191"/>
      <c r="N230" s="3191"/>
      <c r="O230" s="3191"/>
      <c r="P230" s="3191"/>
      <c r="Q230" s="3191"/>
      <c r="R230" s="3191"/>
      <c r="S230" s="3191"/>
      <c r="T230" s="3191"/>
      <c r="U230" s="3191"/>
    </row>
    <row r="231" spans="1:21" s="958" customFormat="1" ht="14.25" customHeight="1">
      <c r="A231" s="3156" t="s">
        <v>1152</v>
      </c>
      <c r="B231" s="3156" t="s">
        <v>2907</v>
      </c>
      <c r="C231" s="3156"/>
      <c r="D231" s="3156"/>
      <c r="E231" s="3156"/>
      <c r="F231" s="3162">
        <v>1760</v>
      </c>
      <c r="G231" s="3164"/>
      <c r="I231" s="969"/>
      <c r="J231" s="3191"/>
      <c r="K231" s="3191"/>
      <c r="L231" s="3191"/>
      <c r="M231" s="3191"/>
      <c r="N231" s="3191"/>
      <c r="O231" s="3191"/>
      <c r="P231" s="3191"/>
      <c r="Q231" s="3191"/>
      <c r="R231" s="3191"/>
      <c r="S231" s="3191"/>
      <c r="T231" s="3191"/>
      <c r="U231" s="3191"/>
    </row>
    <row r="232" spans="1:21" s="958" customFormat="1" ht="14.25" customHeight="1">
      <c r="A232" s="3156" t="s">
        <v>1152</v>
      </c>
      <c r="B232" s="3156" t="s">
        <v>2908</v>
      </c>
      <c r="C232" s="3156"/>
      <c r="D232" s="3156"/>
      <c r="E232" s="3156"/>
      <c r="F232" s="3162">
        <v>1840</v>
      </c>
      <c r="G232" s="3162"/>
      <c r="I232" s="969"/>
      <c r="J232" s="3191"/>
      <c r="K232" s="3191"/>
      <c r="L232" s="3191"/>
      <c r="M232" s="3191"/>
      <c r="N232" s="3191"/>
      <c r="O232" s="3191"/>
      <c r="P232" s="3191"/>
      <c r="Q232" s="3191"/>
      <c r="R232" s="3191"/>
      <c r="S232" s="3191"/>
      <c r="T232" s="3191"/>
      <c r="U232" s="3191"/>
    </row>
    <row r="233" spans="1:21" s="958" customFormat="1" ht="14.25" customHeight="1" thickBot="1">
      <c r="A233" s="3171" t="s">
        <v>1152</v>
      </c>
      <c r="B233" s="3159" t="s">
        <v>2909</v>
      </c>
      <c r="C233" s="3159"/>
      <c r="D233" s="3159"/>
      <c r="E233" s="3159"/>
      <c r="F233" s="3160">
        <v>1770</v>
      </c>
      <c r="G233" s="3175"/>
      <c r="I233" s="969"/>
      <c r="J233" s="3191"/>
      <c r="K233" s="3191"/>
      <c r="L233" s="3191"/>
      <c r="M233" s="3191"/>
      <c r="N233" s="3191"/>
      <c r="O233" s="3191"/>
      <c r="P233" s="3191"/>
      <c r="Q233" s="3191"/>
      <c r="R233" s="3191"/>
      <c r="S233" s="3191"/>
      <c r="T233" s="3191"/>
      <c r="U233" s="3191"/>
    </row>
    <row r="234" spans="1:21" s="958" customFormat="1" ht="14.25" customHeight="1">
      <c r="A234" s="3170" t="s">
        <v>1153</v>
      </c>
      <c r="B234" s="1214" t="s">
        <v>2910</v>
      </c>
      <c r="C234" s="1214">
        <v>6980</v>
      </c>
      <c r="D234" s="1214">
        <v>6970</v>
      </c>
      <c r="E234" s="1214">
        <v>8720</v>
      </c>
      <c r="F234" s="3157">
        <v>1350</v>
      </c>
      <c r="G234" s="3173">
        <v>4280</v>
      </c>
      <c r="I234" s="969"/>
      <c r="J234" s="3191"/>
      <c r="K234" s="3191"/>
      <c r="L234" s="3191"/>
      <c r="M234" s="3191"/>
      <c r="N234" s="3191"/>
      <c r="O234" s="3191"/>
      <c r="P234" s="3191"/>
      <c r="Q234" s="3191"/>
      <c r="R234" s="3191"/>
      <c r="S234" s="3191"/>
      <c r="T234" s="3191"/>
      <c r="U234" s="3191"/>
    </row>
    <row r="235" spans="1:21" s="958" customFormat="1" ht="14.25" customHeight="1">
      <c r="A235" s="3156" t="s">
        <v>1153</v>
      </c>
      <c r="B235" s="3156" t="s">
        <v>977</v>
      </c>
      <c r="C235" s="3156">
        <v>7620</v>
      </c>
      <c r="D235" s="3156">
        <v>7580</v>
      </c>
      <c r="E235" s="3156">
        <v>9360</v>
      </c>
      <c r="F235" s="3162">
        <v>1490</v>
      </c>
      <c r="G235" s="3162">
        <v>4650</v>
      </c>
      <c r="I235" s="969"/>
      <c r="J235" s="3191"/>
      <c r="K235" s="3191"/>
      <c r="L235" s="3191"/>
      <c r="M235" s="3191"/>
      <c r="N235" s="3191"/>
      <c r="O235" s="3191"/>
      <c r="P235" s="3191"/>
      <c r="Q235" s="3191"/>
      <c r="R235" s="3191"/>
      <c r="S235" s="3191"/>
      <c r="T235" s="3191"/>
      <c r="U235" s="3191"/>
    </row>
    <row r="236" spans="1:21" s="958" customFormat="1" ht="14.25" customHeight="1">
      <c r="A236" s="3156" t="s">
        <v>1153</v>
      </c>
      <c r="B236" s="3156" t="s">
        <v>987</v>
      </c>
      <c r="C236" s="3156">
        <v>6650</v>
      </c>
      <c r="D236" s="3156">
        <v>6630</v>
      </c>
      <c r="E236" s="3156">
        <v>8330</v>
      </c>
      <c r="F236" s="3162">
        <v>1250</v>
      </c>
      <c r="G236" s="3162">
        <v>4070</v>
      </c>
      <c r="I236" s="969"/>
      <c r="J236" s="3191"/>
      <c r="K236" s="3191"/>
      <c r="L236" s="3191"/>
      <c r="M236" s="3191"/>
      <c r="N236" s="3191"/>
      <c r="O236" s="3191"/>
      <c r="P236" s="3191"/>
      <c r="Q236" s="3191"/>
      <c r="R236" s="3191"/>
      <c r="S236" s="3191"/>
      <c r="T236" s="3191"/>
      <c r="U236" s="3191"/>
    </row>
    <row r="237" spans="1:21" s="958" customFormat="1" ht="14.25" customHeight="1">
      <c r="A237" s="3156" t="s">
        <v>1153</v>
      </c>
      <c r="B237" s="3156" t="s">
        <v>996</v>
      </c>
      <c r="C237" s="3156">
        <v>5850</v>
      </c>
      <c r="D237" s="3156">
        <v>5820</v>
      </c>
      <c r="E237" s="3156">
        <v>7260</v>
      </c>
      <c r="F237" s="3162">
        <v>1140</v>
      </c>
      <c r="G237" s="3162">
        <v>3570</v>
      </c>
      <c r="I237" s="969"/>
      <c r="J237" s="3191"/>
      <c r="K237" s="3191"/>
      <c r="L237" s="3191"/>
      <c r="M237" s="3191"/>
      <c r="N237" s="3191"/>
      <c r="O237" s="3191"/>
      <c r="P237" s="3191"/>
      <c r="Q237" s="3191"/>
      <c r="R237" s="3191"/>
      <c r="S237" s="3191"/>
      <c r="T237" s="3191"/>
      <c r="U237" s="3191"/>
    </row>
    <row r="238" spans="1:21" s="958" customFormat="1" ht="14.25" customHeight="1">
      <c r="A238" s="3156" t="s">
        <v>1153</v>
      </c>
      <c r="B238" s="3156" t="s">
        <v>2911</v>
      </c>
      <c r="C238" s="3156">
        <v>6920</v>
      </c>
      <c r="D238" s="3156">
        <v>6890</v>
      </c>
      <c r="E238" s="3156">
        <v>8640</v>
      </c>
      <c r="F238" s="3162">
        <v>1310</v>
      </c>
      <c r="G238" s="3162">
        <v>4230</v>
      </c>
      <c r="I238" s="969"/>
      <c r="J238" s="3191"/>
      <c r="K238" s="3191"/>
      <c r="L238" s="3191"/>
      <c r="M238" s="3191"/>
      <c r="N238" s="3191"/>
      <c r="O238" s="3191"/>
      <c r="P238" s="3191"/>
      <c r="Q238" s="3191"/>
      <c r="R238" s="3191"/>
      <c r="S238" s="3191"/>
      <c r="T238" s="3191"/>
      <c r="U238" s="3191"/>
    </row>
    <row r="239" spans="1:21" s="958" customFormat="1" ht="14.25" customHeight="1">
      <c r="A239" s="3156" t="s">
        <v>1153</v>
      </c>
      <c r="B239" s="3156" t="s">
        <v>2912</v>
      </c>
      <c r="C239" s="3156">
        <v>6780</v>
      </c>
      <c r="D239" s="3156">
        <v>6750</v>
      </c>
      <c r="E239" s="3156">
        <v>8440</v>
      </c>
      <c r="F239" s="3162">
        <v>1160</v>
      </c>
      <c r="G239" s="3162">
        <v>4140</v>
      </c>
      <c r="I239" s="969"/>
      <c r="J239" s="3191"/>
      <c r="K239" s="3191"/>
      <c r="L239" s="3191"/>
      <c r="M239" s="3191"/>
      <c r="N239" s="3191"/>
      <c r="O239" s="3191"/>
      <c r="P239" s="3191"/>
      <c r="Q239" s="3191"/>
      <c r="R239" s="3191"/>
      <c r="S239" s="3191"/>
      <c r="T239" s="3191"/>
      <c r="U239" s="3191"/>
    </row>
    <row r="240" spans="1:21" s="958" customFormat="1" ht="14.25" customHeight="1">
      <c r="A240" s="3156" t="s">
        <v>1153</v>
      </c>
      <c r="B240" s="3156" t="s">
        <v>2913</v>
      </c>
      <c r="C240" s="3156">
        <v>5420</v>
      </c>
      <c r="D240" s="3156">
        <v>5380</v>
      </c>
      <c r="E240" s="3156">
        <v>6640</v>
      </c>
      <c r="F240" s="3162">
        <v>1020</v>
      </c>
      <c r="G240" s="3162">
        <v>3300</v>
      </c>
      <c r="I240" s="969"/>
      <c r="J240" s="3191"/>
      <c r="K240" s="3191"/>
      <c r="L240" s="3191"/>
      <c r="M240" s="3191"/>
      <c r="N240" s="3191"/>
      <c r="O240" s="3191"/>
      <c r="P240" s="3191"/>
      <c r="Q240" s="3191"/>
      <c r="R240" s="3191"/>
      <c r="S240" s="3191"/>
      <c r="T240" s="3191"/>
      <c r="U240" s="3191"/>
    </row>
    <row r="241" spans="1:21" s="958" customFormat="1" ht="14.25" customHeight="1">
      <c r="A241" s="3156" t="s">
        <v>1153</v>
      </c>
      <c r="B241" s="3156" t="s">
        <v>2914</v>
      </c>
      <c r="C241" s="3156">
        <v>6660</v>
      </c>
      <c r="D241" s="3156">
        <v>6640</v>
      </c>
      <c r="E241" s="3156">
        <v>8340</v>
      </c>
      <c r="F241" s="3162">
        <v>1130</v>
      </c>
      <c r="G241" s="3162">
        <v>4080</v>
      </c>
      <c r="I241" s="969"/>
      <c r="J241" s="3191"/>
      <c r="K241" s="3191"/>
      <c r="L241" s="3191"/>
      <c r="M241" s="3191"/>
      <c r="N241" s="3191"/>
      <c r="O241" s="3191"/>
      <c r="P241" s="3191"/>
      <c r="Q241" s="3191"/>
      <c r="R241" s="3191"/>
      <c r="S241" s="3191"/>
      <c r="T241" s="3191"/>
      <c r="U241" s="3191"/>
    </row>
    <row r="242" spans="1:21" s="958" customFormat="1" ht="14.25" customHeight="1">
      <c r="A242" s="3156" t="s">
        <v>1153</v>
      </c>
      <c r="B242" s="3156" t="s">
        <v>1026</v>
      </c>
      <c r="C242" s="3156">
        <v>6580</v>
      </c>
      <c r="D242" s="3156">
        <v>6550</v>
      </c>
      <c r="E242" s="3156">
        <v>8090</v>
      </c>
      <c r="F242" s="3162">
        <v>1240</v>
      </c>
      <c r="G242" s="3162">
        <v>4020</v>
      </c>
      <c r="I242" s="969"/>
      <c r="J242" s="3191"/>
      <c r="K242" s="3191"/>
      <c r="L242" s="3191"/>
      <c r="M242" s="3191"/>
      <c r="N242" s="3191"/>
      <c r="O242" s="3191"/>
      <c r="P242" s="3191"/>
      <c r="Q242" s="3191"/>
      <c r="R242" s="3191"/>
      <c r="S242" s="3191"/>
      <c r="T242" s="3191"/>
      <c r="U242" s="3191"/>
    </row>
    <row r="243" spans="1:21" s="958" customFormat="1" ht="14.25" customHeight="1">
      <c r="A243" s="3156" t="s">
        <v>1153</v>
      </c>
      <c r="B243" s="3156" t="s">
        <v>1036</v>
      </c>
      <c r="C243" s="3156">
        <v>6000</v>
      </c>
      <c r="D243" s="3156">
        <v>5970</v>
      </c>
      <c r="E243" s="3156">
        <v>7370</v>
      </c>
      <c r="F243" s="3162">
        <v>1070</v>
      </c>
      <c r="G243" s="3162">
        <v>3670</v>
      </c>
      <c r="I243" s="969"/>
      <c r="J243" s="3191"/>
      <c r="K243" s="3191"/>
      <c r="L243" s="3191"/>
      <c r="M243" s="3191"/>
      <c r="N243" s="3191"/>
      <c r="O243" s="3191"/>
      <c r="P243" s="3191"/>
      <c r="Q243" s="3191"/>
      <c r="R243" s="3191"/>
      <c r="S243" s="3191"/>
      <c r="T243" s="3191"/>
      <c r="U243" s="3191"/>
    </row>
    <row r="244" spans="1:21" s="958" customFormat="1" ht="14.25" customHeight="1">
      <c r="A244" s="3156" t="s">
        <v>1153</v>
      </c>
      <c r="B244" s="3156" t="s">
        <v>2915</v>
      </c>
      <c r="C244" s="3156">
        <v>5840</v>
      </c>
      <c r="D244" s="3156">
        <v>5810</v>
      </c>
      <c r="E244" s="3156">
        <v>7240</v>
      </c>
      <c r="F244" s="3162">
        <v>1100</v>
      </c>
      <c r="G244" s="3169">
        <v>3560</v>
      </c>
      <c r="I244" s="969"/>
      <c r="J244" s="3191"/>
      <c r="K244" s="3191"/>
      <c r="L244" s="3191"/>
      <c r="M244" s="3191"/>
      <c r="N244" s="3191"/>
      <c r="O244" s="3191"/>
      <c r="P244" s="3191"/>
      <c r="Q244" s="3191"/>
      <c r="R244" s="3191"/>
      <c r="S244" s="3191"/>
      <c r="T244" s="3191"/>
      <c r="U244" s="3191"/>
    </row>
    <row r="245" spans="1:21" s="958" customFormat="1" ht="14.25" customHeight="1">
      <c r="A245" s="1214" t="s">
        <v>1153</v>
      </c>
      <c r="B245" s="1214" t="s">
        <v>1051</v>
      </c>
      <c r="C245" s="1214">
        <v>6040</v>
      </c>
      <c r="D245" s="1214">
        <v>6000</v>
      </c>
      <c r="E245" s="1214">
        <v>7420</v>
      </c>
      <c r="F245" s="3157">
        <v>1140</v>
      </c>
      <c r="G245" s="3157">
        <v>3690</v>
      </c>
      <c r="I245" s="969"/>
      <c r="J245" s="3191"/>
      <c r="K245" s="3191"/>
      <c r="L245" s="3191"/>
      <c r="M245" s="3191"/>
      <c r="N245" s="3191"/>
      <c r="O245" s="3191"/>
      <c r="P245" s="3191"/>
      <c r="Q245" s="3191"/>
      <c r="R245" s="3191"/>
      <c r="S245" s="3191"/>
      <c r="T245" s="3191"/>
      <c r="U245" s="3191"/>
    </row>
    <row r="246" spans="1:21" s="958" customFormat="1" ht="14.25" customHeight="1">
      <c r="A246" s="3156" t="s">
        <v>1153</v>
      </c>
      <c r="B246" s="3156" t="s">
        <v>1058</v>
      </c>
      <c r="C246" s="3156">
        <v>5890</v>
      </c>
      <c r="D246" s="3156">
        <v>5860</v>
      </c>
      <c r="E246" s="3156">
        <v>7300</v>
      </c>
      <c r="F246" s="3162">
        <v>1110</v>
      </c>
      <c r="G246" s="3162">
        <v>3590</v>
      </c>
      <c r="I246" s="969"/>
      <c r="J246" s="3191"/>
      <c r="K246" s="3191"/>
      <c r="L246" s="3191"/>
      <c r="M246" s="3191"/>
      <c r="N246" s="3191"/>
      <c r="O246" s="3191"/>
      <c r="P246" s="3191"/>
      <c r="Q246" s="3191"/>
      <c r="R246" s="3191"/>
      <c r="S246" s="3191"/>
      <c r="T246" s="3191"/>
      <c r="U246" s="3191"/>
    </row>
    <row r="247" spans="1:21" s="958" customFormat="1" ht="14.25" customHeight="1">
      <c r="A247" s="3156" t="s">
        <v>1153</v>
      </c>
      <c r="B247" s="3156" t="s">
        <v>2916</v>
      </c>
      <c r="C247" s="3156">
        <v>6480</v>
      </c>
      <c r="D247" s="3156">
        <v>6450</v>
      </c>
      <c r="E247" s="3156">
        <v>8010</v>
      </c>
      <c r="F247" s="3162">
        <v>1170</v>
      </c>
      <c r="G247" s="3162">
        <v>3960</v>
      </c>
      <c r="I247" s="969"/>
      <c r="J247" s="3191"/>
      <c r="K247" s="3191"/>
      <c r="L247" s="3191"/>
      <c r="M247" s="3191"/>
      <c r="N247" s="3191"/>
      <c r="O247" s="3191"/>
      <c r="P247" s="3191"/>
      <c r="Q247" s="3191"/>
      <c r="R247" s="3191"/>
      <c r="S247" s="3191"/>
      <c r="T247" s="3191"/>
      <c r="U247" s="3191"/>
    </row>
    <row r="248" spans="1:21" s="958" customFormat="1" ht="14.25" customHeight="1">
      <c r="A248" s="3156" t="s">
        <v>1153</v>
      </c>
      <c r="B248" s="3156" t="s">
        <v>1073</v>
      </c>
      <c r="C248" s="3156">
        <v>6860</v>
      </c>
      <c r="D248" s="3156">
        <v>6840</v>
      </c>
      <c r="E248" s="3156">
        <v>8520</v>
      </c>
      <c r="F248" s="3162">
        <v>1240</v>
      </c>
      <c r="G248" s="3162">
        <v>4200</v>
      </c>
      <c r="I248" s="969"/>
      <c r="J248" s="3191"/>
      <c r="K248" s="3191"/>
      <c r="L248" s="3191"/>
      <c r="M248" s="3191"/>
      <c r="N248" s="3191"/>
      <c r="O248" s="3191"/>
      <c r="P248" s="3191"/>
      <c r="Q248" s="3191"/>
      <c r="R248" s="3191"/>
      <c r="S248" s="3191"/>
      <c r="T248" s="3191"/>
      <c r="U248" s="3191"/>
    </row>
    <row r="249" spans="1:21" s="958" customFormat="1" ht="14.25" customHeight="1">
      <c r="A249" s="3156" t="s">
        <v>1153</v>
      </c>
      <c r="B249" s="3156" t="s">
        <v>2917</v>
      </c>
      <c r="C249" s="3156">
        <v>7180</v>
      </c>
      <c r="D249" s="3156">
        <v>7140</v>
      </c>
      <c r="E249" s="3156">
        <v>8900</v>
      </c>
      <c r="F249" s="3162">
        <v>1350</v>
      </c>
      <c r="G249" s="3162">
        <v>4380</v>
      </c>
      <c r="I249" s="969"/>
      <c r="J249" s="3191"/>
      <c r="K249" s="3191"/>
      <c r="L249" s="3191"/>
      <c r="M249" s="3191"/>
      <c r="N249" s="3191"/>
      <c r="O249" s="3191"/>
      <c r="P249" s="3191"/>
      <c r="Q249" s="3191"/>
      <c r="R249" s="3191"/>
      <c r="S249" s="3191"/>
      <c r="T249" s="3191"/>
      <c r="U249" s="3191"/>
    </row>
    <row r="250" spans="1:21" s="958" customFormat="1" ht="14.25" customHeight="1">
      <c r="A250" s="3156" t="s">
        <v>1153</v>
      </c>
      <c r="B250" s="3156" t="s">
        <v>1087</v>
      </c>
      <c r="C250" s="3156">
        <v>6880</v>
      </c>
      <c r="D250" s="3156">
        <v>6860</v>
      </c>
      <c r="E250" s="3156">
        <v>8550</v>
      </c>
      <c r="F250" s="3162">
        <v>1220</v>
      </c>
      <c r="G250" s="3162">
        <v>4210</v>
      </c>
      <c r="I250" s="969"/>
      <c r="J250" s="3191"/>
      <c r="K250" s="3191"/>
      <c r="L250" s="3191"/>
      <c r="M250" s="3191"/>
      <c r="N250" s="3191"/>
      <c r="O250" s="3191"/>
      <c r="P250" s="3191"/>
      <c r="Q250" s="3191"/>
      <c r="R250" s="3191"/>
      <c r="S250" s="3191"/>
      <c r="T250" s="3191"/>
      <c r="U250" s="3191"/>
    </row>
    <row r="251" spans="1:21" s="958" customFormat="1" ht="14.25" customHeight="1">
      <c r="A251" s="3156" t="s">
        <v>1153</v>
      </c>
      <c r="B251" s="3156" t="s">
        <v>1095</v>
      </c>
      <c r="C251" s="3156"/>
      <c r="D251" s="3156"/>
      <c r="E251" s="3156"/>
      <c r="F251" s="3162">
        <v>1100</v>
      </c>
      <c r="G251" s="3162"/>
      <c r="I251" s="969"/>
      <c r="J251" s="3191"/>
      <c r="K251" s="3191"/>
      <c r="L251" s="3191"/>
      <c r="M251" s="3191"/>
      <c r="N251" s="3191"/>
      <c r="O251" s="3191"/>
      <c r="P251" s="3191"/>
      <c r="Q251" s="3191"/>
      <c r="R251" s="3191"/>
      <c r="S251" s="3191"/>
      <c r="T251" s="3191"/>
      <c r="U251" s="3191"/>
    </row>
    <row r="252" spans="1:21" s="958" customFormat="1" ht="14.25" customHeight="1">
      <c r="A252" s="3156" t="s">
        <v>1153</v>
      </c>
      <c r="B252" s="3156" t="s">
        <v>2918</v>
      </c>
      <c r="C252" s="3156">
        <v>7240</v>
      </c>
      <c r="D252" s="3156">
        <v>7200</v>
      </c>
      <c r="E252" s="3156">
        <v>9040</v>
      </c>
      <c r="F252" s="3162">
        <v>1380</v>
      </c>
      <c r="G252" s="3162">
        <v>4420</v>
      </c>
      <c r="I252" s="969"/>
      <c r="J252" s="3191"/>
      <c r="K252" s="3191"/>
      <c r="L252" s="3191"/>
      <c r="M252" s="3191"/>
      <c r="N252" s="3191"/>
      <c r="O252" s="3191"/>
      <c r="P252" s="3191"/>
      <c r="Q252" s="3191"/>
      <c r="R252" s="3191"/>
      <c r="S252" s="3191"/>
      <c r="T252" s="3191"/>
      <c r="U252" s="3191"/>
    </row>
    <row r="253" spans="1:21" s="958" customFormat="1" ht="14.25" customHeight="1">
      <c r="A253" s="3156" t="s">
        <v>1153</v>
      </c>
      <c r="B253" s="3156" t="s">
        <v>1130</v>
      </c>
      <c r="C253" s="3156">
        <v>6670</v>
      </c>
      <c r="D253" s="3156">
        <v>6650</v>
      </c>
      <c r="E253" s="3156">
        <v>8350</v>
      </c>
      <c r="F253" s="3162">
        <v>1260</v>
      </c>
      <c r="G253" s="3162">
        <v>4080</v>
      </c>
      <c r="I253" s="969"/>
      <c r="J253" s="3191"/>
      <c r="K253" s="3191"/>
      <c r="L253" s="3191"/>
      <c r="M253" s="3191"/>
      <c r="N253" s="3191"/>
      <c r="O253" s="3191"/>
      <c r="P253" s="3191"/>
      <c r="Q253" s="3191"/>
      <c r="R253" s="3191"/>
      <c r="S253" s="3191"/>
      <c r="T253" s="3191"/>
      <c r="U253" s="3191"/>
    </row>
    <row r="254" spans="1:21" s="958" customFormat="1" ht="14.25" customHeight="1">
      <c r="A254" s="3156" t="s">
        <v>1153</v>
      </c>
      <c r="B254" s="3156" t="s">
        <v>1133</v>
      </c>
      <c r="C254" s="3165">
        <v>7630</v>
      </c>
      <c r="D254" s="3165">
        <v>7590</v>
      </c>
      <c r="E254" s="3165">
        <v>9380</v>
      </c>
      <c r="F254" s="3164">
        <v>1320</v>
      </c>
      <c r="G254" s="3162">
        <v>4660</v>
      </c>
      <c r="I254" s="969"/>
      <c r="J254" s="3191"/>
      <c r="K254" s="3191"/>
      <c r="L254" s="3191"/>
      <c r="M254" s="3191"/>
      <c r="N254" s="3191"/>
      <c r="O254" s="3191"/>
      <c r="P254" s="3191"/>
      <c r="Q254" s="3191"/>
      <c r="R254" s="3191"/>
      <c r="S254" s="3191"/>
      <c r="T254" s="3191"/>
      <c r="U254" s="3191"/>
    </row>
    <row r="255" spans="1:21" s="958" customFormat="1" ht="14.25" customHeight="1">
      <c r="A255" s="3156" t="s">
        <v>1153</v>
      </c>
      <c r="B255" s="3156" t="s">
        <v>1136</v>
      </c>
      <c r="C255" s="3165">
        <v>6940</v>
      </c>
      <c r="D255" s="3165">
        <v>6890</v>
      </c>
      <c r="E255" s="3165">
        <v>8650</v>
      </c>
      <c r="F255" s="3164">
        <v>1210</v>
      </c>
      <c r="G255" s="3162">
        <v>4230</v>
      </c>
      <c r="I255" s="969"/>
      <c r="J255" s="3191"/>
      <c r="K255" s="3191"/>
      <c r="L255" s="3191"/>
      <c r="M255" s="3191"/>
      <c r="N255" s="3191"/>
      <c r="O255" s="3191"/>
      <c r="P255" s="3191"/>
      <c r="Q255" s="3191"/>
      <c r="R255" s="3191"/>
      <c r="S255" s="3191"/>
      <c r="T255" s="3191"/>
      <c r="U255" s="3191"/>
    </row>
    <row r="256" spans="1:21" s="958" customFormat="1" ht="14.25" customHeight="1">
      <c r="A256" s="3156" t="s">
        <v>1153</v>
      </c>
      <c r="B256" s="3156" t="s">
        <v>2919</v>
      </c>
      <c r="C256" s="3156">
        <v>7520</v>
      </c>
      <c r="D256" s="3156">
        <v>7490</v>
      </c>
      <c r="E256" s="3156">
        <v>9240</v>
      </c>
      <c r="F256" s="3162">
        <v>1270</v>
      </c>
      <c r="G256" s="3162">
        <v>4590</v>
      </c>
      <c r="I256" s="969"/>
      <c r="J256" s="3191"/>
      <c r="K256" s="3191"/>
      <c r="L256" s="3191"/>
      <c r="M256" s="3191"/>
      <c r="N256" s="3191"/>
      <c r="O256" s="3191"/>
      <c r="P256" s="3191"/>
      <c r="Q256" s="3191"/>
      <c r="R256" s="3191"/>
      <c r="S256" s="3191"/>
      <c r="T256" s="3191"/>
      <c r="U256" s="3191"/>
    </row>
    <row r="257" spans="1:21" s="958" customFormat="1" ht="14.25" customHeight="1">
      <c r="A257" s="3156" t="s">
        <v>1153</v>
      </c>
      <c r="B257" s="3156" t="s">
        <v>1122</v>
      </c>
      <c r="C257" s="3156">
        <v>6280</v>
      </c>
      <c r="D257" s="3156">
        <v>6230</v>
      </c>
      <c r="E257" s="3156">
        <v>7740</v>
      </c>
      <c r="F257" s="3162">
        <v>1080</v>
      </c>
      <c r="G257" s="3162">
        <v>3830</v>
      </c>
      <c r="I257" s="969"/>
      <c r="J257" s="3191"/>
      <c r="K257" s="3191"/>
      <c r="L257" s="3191"/>
      <c r="M257" s="3191"/>
      <c r="N257" s="3191"/>
      <c r="O257" s="3191"/>
      <c r="P257" s="3191"/>
      <c r="Q257" s="3191"/>
      <c r="R257" s="3191"/>
      <c r="S257" s="3191"/>
      <c r="T257" s="3191"/>
      <c r="U257" s="3191"/>
    </row>
    <row r="258" spans="1:21" s="958" customFormat="1" ht="14.25" customHeight="1">
      <c r="A258" s="3156" t="s">
        <v>1153</v>
      </c>
      <c r="B258" s="3156" t="s">
        <v>2920</v>
      </c>
      <c r="C258" s="3156">
        <v>6190</v>
      </c>
      <c r="D258" s="3156">
        <v>6160</v>
      </c>
      <c r="E258" s="3156">
        <v>7680</v>
      </c>
      <c r="F258" s="3162">
        <v>1170</v>
      </c>
      <c r="G258" s="3162">
        <v>3780</v>
      </c>
      <c r="I258" s="969"/>
      <c r="J258" s="3191"/>
      <c r="K258" s="3191"/>
      <c r="L258" s="3191"/>
      <c r="M258" s="3191"/>
      <c r="N258" s="3191"/>
      <c r="O258" s="3191"/>
      <c r="P258" s="3191"/>
      <c r="Q258" s="3191"/>
      <c r="R258" s="3191"/>
      <c r="S258" s="3191"/>
      <c r="T258" s="3191"/>
      <c r="U258" s="3191"/>
    </row>
    <row r="259" spans="1:21" s="958" customFormat="1" ht="14.25" customHeight="1">
      <c r="A259" s="3156" t="s">
        <v>1153</v>
      </c>
      <c r="B259" s="3156" t="s">
        <v>2921</v>
      </c>
      <c r="C259" s="3156">
        <v>7610</v>
      </c>
      <c r="D259" s="3156">
        <v>7570</v>
      </c>
      <c r="E259" s="3156">
        <v>9350</v>
      </c>
      <c r="F259" s="3162">
        <v>1350</v>
      </c>
      <c r="G259" s="3162">
        <v>4650</v>
      </c>
      <c r="I259" s="969"/>
      <c r="J259" s="3191"/>
      <c r="K259" s="3191"/>
      <c r="L259" s="3191"/>
      <c r="M259" s="3191"/>
      <c r="N259" s="3191"/>
      <c r="O259" s="3191"/>
      <c r="P259" s="3191"/>
      <c r="Q259" s="3191"/>
      <c r="R259" s="3191"/>
      <c r="S259" s="3191"/>
      <c r="T259" s="3191"/>
      <c r="U259" s="3191"/>
    </row>
    <row r="260" spans="1:21" s="958" customFormat="1" ht="14.25" customHeight="1">
      <c r="A260" s="3156" t="s">
        <v>1153</v>
      </c>
      <c r="B260" s="3156" t="s">
        <v>2922</v>
      </c>
      <c r="C260" s="3156">
        <v>6920</v>
      </c>
      <c r="D260" s="3156">
        <v>6880</v>
      </c>
      <c r="E260" s="3156">
        <v>8380</v>
      </c>
      <c r="F260" s="3162">
        <v>1160</v>
      </c>
      <c r="G260" s="3162">
        <v>4220</v>
      </c>
      <c r="I260" s="969"/>
      <c r="J260" s="3191"/>
      <c r="K260" s="3191"/>
      <c r="L260" s="3191"/>
      <c r="M260" s="3191"/>
      <c r="N260" s="3191"/>
      <c r="O260" s="3191"/>
      <c r="P260" s="3191"/>
      <c r="Q260" s="3191"/>
      <c r="R260" s="3191"/>
      <c r="S260" s="3191"/>
      <c r="T260" s="3191"/>
      <c r="U260" s="3191"/>
    </row>
    <row r="261" spans="1:21" s="958" customFormat="1" ht="14.25" customHeight="1">
      <c r="A261" s="3156" t="s">
        <v>1153</v>
      </c>
      <c r="B261" s="3156" t="s">
        <v>2923</v>
      </c>
      <c r="C261" s="3156">
        <v>6850</v>
      </c>
      <c r="D261" s="3156">
        <v>6810</v>
      </c>
      <c r="E261" s="3156">
        <v>8290</v>
      </c>
      <c r="F261" s="3162">
        <v>1130</v>
      </c>
      <c r="G261" s="3162">
        <v>4180</v>
      </c>
      <c r="I261" s="969"/>
      <c r="J261" s="3191"/>
      <c r="K261" s="3191"/>
      <c r="L261" s="3191"/>
      <c r="M261" s="3191"/>
      <c r="N261" s="3191"/>
      <c r="O261" s="3191"/>
      <c r="P261" s="3191"/>
      <c r="Q261" s="3191"/>
      <c r="R261" s="3191"/>
      <c r="S261" s="3191"/>
      <c r="T261" s="3191"/>
      <c r="U261" s="3191"/>
    </row>
    <row r="262" spans="1:21" s="958" customFormat="1" ht="14.25" customHeight="1">
      <c r="A262" s="3156" t="s">
        <v>1153</v>
      </c>
      <c r="B262" s="3156" t="s">
        <v>2924</v>
      </c>
      <c r="C262" s="3156">
        <v>5860</v>
      </c>
      <c r="D262" s="3156">
        <v>5820</v>
      </c>
      <c r="E262" s="3156">
        <v>7640</v>
      </c>
      <c r="F262" s="3162">
        <v>1070</v>
      </c>
      <c r="G262" s="3164">
        <v>3570</v>
      </c>
      <c r="I262" s="969"/>
      <c r="J262" s="3191"/>
      <c r="K262" s="3191"/>
      <c r="L262" s="3191"/>
      <c r="M262" s="3191"/>
      <c r="N262" s="3191"/>
      <c r="O262" s="3191"/>
      <c r="P262" s="3191"/>
      <c r="Q262" s="3191"/>
      <c r="R262" s="3191"/>
      <c r="S262" s="3191"/>
      <c r="T262" s="3191"/>
      <c r="U262" s="3191"/>
    </row>
    <row r="263" spans="1:21" s="958" customFormat="1" ht="14.25" customHeight="1">
      <c r="A263" s="3156" t="s">
        <v>1153</v>
      </c>
      <c r="B263" s="3156" t="s">
        <v>2925</v>
      </c>
      <c r="C263" s="3156">
        <v>5870</v>
      </c>
      <c r="D263" s="3156">
        <v>5840</v>
      </c>
      <c r="E263" s="3156">
        <v>7270</v>
      </c>
      <c r="F263" s="3162">
        <v>1190</v>
      </c>
      <c r="G263" s="3162">
        <v>3580</v>
      </c>
      <c r="I263" s="969"/>
      <c r="J263" s="3191"/>
      <c r="K263" s="3191"/>
      <c r="L263" s="3191"/>
      <c r="M263" s="3191"/>
      <c r="N263" s="3191"/>
      <c r="O263" s="3191"/>
      <c r="P263" s="3191"/>
      <c r="Q263" s="3191"/>
      <c r="R263" s="3191"/>
      <c r="S263" s="3191"/>
      <c r="T263" s="3191"/>
      <c r="U263" s="3191"/>
    </row>
    <row r="264" spans="1:21" s="958" customFormat="1" ht="14.25" customHeight="1">
      <c r="A264" s="3156" t="s">
        <v>1153</v>
      </c>
      <c r="B264" s="3156" t="s">
        <v>1146</v>
      </c>
      <c r="C264" s="3156">
        <v>6190</v>
      </c>
      <c r="D264" s="3156">
        <v>6150</v>
      </c>
      <c r="E264" s="3156">
        <v>7660</v>
      </c>
      <c r="F264" s="3162">
        <v>1160</v>
      </c>
      <c r="G264" s="3162">
        <v>3770</v>
      </c>
      <c r="I264" s="969"/>
      <c r="J264" s="3191"/>
      <c r="K264" s="3191"/>
      <c r="L264" s="3191"/>
      <c r="M264" s="3191"/>
      <c r="N264" s="3191"/>
      <c r="O264" s="3191"/>
      <c r="P264" s="3191"/>
      <c r="Q264" s="3191"/>
      <c r="R264" s="3191"/>
      <c r="S264" s="3191"/>
      <c r="T264" s="3191"/>
      <c r="U264" s="3191"/>
    </row>
    <row r="265" spans="1:21" s="958" customFormat="1" ht="14.25" customHeight="1">
      <c r="A265" s="3156" t="s">
        <v>1153</v>
      </c>
      <c r="B265" s="3156" t="s">
        <v>2926</v>
      </c>
      <c r="C265" s="3156"/>
      <c r="D265" s="3156"/>
      <c r="E265" s="3156"/>
      <c r="F265" s="3162">
        <v>1500</v>
      </c>
      <c r="G265" s="3162"/>
      <c r="I265" s="969"/>
      <c r="J265" s="3191"/>
      <c r="K265" s="3191"/>
      <c r="L265" s="3191"/>
      <c r="M265" s="3191"/>
      <c r="N265" s="3191"/>
      <c r="O265" s="3191"/>
      <c r="P265" s="3191"/>
      <c r="Q265" s="3191"/>
      <c r="R265" s="3191"/>
      <c r="S265" s="3191"/>
      <c r="T265" s="3191"/>
      <c r="U265" s="3191"/>
    </row>
    <row r="266" spans="1:21" s="958" customFormat="1" ht="14.25" customHeight="1">
      <c r="A266" s="3156" t="s">
        <v>1153</v>
      </c>
      <c r="B266" s="3156" t="s">
        <v>2927</v>
      </c>
      <c r="C266" s="3156"/>
      <c r="D266" s="3156"/>
      <c r="E266" s="3156"/>
      <c r="F266" s="3162">
        <v>1500</v>
      </c>
      <c r="G266" s="3162"/>
      <c r="I266" s="969"/>
      <c r="J266" s="3191"/>
      <c r="K266" s="3191"/>
      <c r="L266" s="3191"/>
      <c r="M266" s="3191"/>
      <c r="N266" s="3191"/>
      <c r="O266" s="3191"/>
      <c r="P266" s="3191"/>
      <c r="Q266" s="3191"/>
      <c r="R266" s="3191"/>
      <c r="S266" s="3191"/>
      <c r="T266" s="3191"/>
      <c r="U266" s="3191"/>
    </row>
    <row r="267" spans="1:21" s="958" customFormat="1" ht="14.25" customHeight="1">
      <c r="A267" s="3156" t="s">
        <v>1153</v>
      </c>
      <c r="B267" s="3156" t="s">
        <v>2928</v>
      </c>
      <c r="C267" s="3156"/>
      <c r="D267" s="3156"/>
      <c r="E267" s="3156"/>
      <c r="F267" s="3162">
        <v>1500</v>
      </c>
      <c r="G267" s="3164"/>
      <c r="I267" s="969"/>
      <c r="J267" s="3191"/>
      <c r="K267" s="3191"/>
      <c r="L267" s="3191"/>
      <c r="M267" s="3191"/>
      <c r="N267" s="3191"/>
      <c r="O267" s="3191"/>
      <c r="P267" s="3191"/>
      <c r="Q267" s="3191"/>
      <c r="R267" s="3191"/>
      <c r="S267" s="3191"/>
      <c r="T267" s="3191"/>
      <c r="U267" s="3191"/>
    </row>
    <row r="268" spans="1:21" s="958" customFormat="1" ht="14.25" customHeight="1">
      <c r="A268" s="3156" t="s">
        <v>1153</v>
      </c>
      <c r="B268" s="3156" t="s">
        <v>2929</v>
      </c>
      <c r="C268" s="3156"/>
      <c r="D268" s="3156"/>
      <c r="E268" s="3156"/>
      <c r="F268" s="3162">
        <v>1290</v>
      </c>
      <c r="G268" s="3162"/>
      <c r="I268" s="969"/>
      <c r="J268" s="3191"/>
      <c r="K268" s="3191"/>
      <c r="L268" s="3191"/>
      <c r="M268" s="3191"/>
      <c r="N268" s="3191"/>
      <c r="O268" s="3191"/>
      <c r="P268" s="3191"/>
      <c r="Q268" s="3191"/>
      <c r="R268" s="3191"/>
      <c r="S268" s="3191"/>
      <c r="T268" s="3191"/>
      <c r="U268" s="3191"/>
    </row>
    <row r="269" spans="1:21" s="958" customFormat="1" ht="14.25" customHeight="1">
      <c r="A269" s="3156" t="s">
        <v>1153</v>
      </c>
      <c r="B269" s="3156" t="s">
        <v>2930</v>
      </c>
      <c r="C269" s="3156"/>
      <c r="D269" s="3156"/>
      <c r="E269" s="3156"/>
      <c r="F269" s="3162">
        <v>1150</v>
      </c>
      <c r="G269" s="3162"/>
      <c r="I269" s="969"/>
      <c r="J269" s="3191"/>
      <c r="K269" s="3191"/>
      <c r="L269" s="3191"/>
      <c r="M269" s="3191"/>
      <c r="N269" s="3191"/>
      <c r="O269" s="3191"/>
      <c r="P269" s="3191"/>
      <c r="Q269" s="3191"/>
      <c r="R269" s="3191"/>
      <c r="S269" s="3191"/>
      <c r="T269" s="3191"/>
      <c r="U269" s="3191"/>
    </row>
    <row r="270" spans="1:21" s="958" customFormat="1" ht="14.25" customHeight="1">
      <c r="A270" s="3156" t="s">
        <v>1153</v>
      </c>
      <c r="B270" s="3156" t="s">
        <v>2931</v>
      </c>
      <c r="C270" s="3156"/>
      <c r="D270" s="3156"/>
      <c r="E270" s="3156"/>
      <c r="F270" s="3162">
        <v>1380</v>
      </c>
      <c r="G270" s="3162"/>
      <c r="I270" s="969"/>
      <c r="J270" s="3191"/>
      <c r="K270" s="3191"/>
      <c r="L270" s="3191"/>
      <c r="M270" s="3191"/>
      <c r="N270" s="3191"/>
      <c r="O270" s="3191"/>
      <c r="P270" s="3191"/>
      <c r="Q270" s="3191"/>
      <c r="R270" s="3191"/>
      <c r="S270" s="3191"/>
      <c r="T270" s="3191"/>
      <c r="U270" s="3191"/>
    </row>
    <row r="271" spans="1:21" s="958" customFormat="1" ht="14.25" customHeight="1">
      <c r="A271" s="3156" t="s">
        <v>1153</v>
      </c>
      <c r="B271" s="3156" t="s">
        <v>2932</v>
      </c>
      <c r="C271" s="3156"/>
      <c r="D271" s="3156"/>
      <c r="E271" s="3156"/>
      <c r="F271" s="3162">
        <v>1460</v>
      </c>
      <c r="G271" s="3162"/>
      <c r="I271" s="969"/>
      <c r="J271" s="3191"/>
      <c r="K271" s="3191"/>
      <c r="L271" s="3191"/>
      <c r="M271" s="3191"/>
      <c r="N271" s="3191"/>
      <c r="O271" s="3191"/>
      <c r="P271" s="3191"/>
      <c r="Q271" s="3191"/>
      <c r="R271" s="3191"/>
      <c r="S271" s="3191"/>
      <c r="T271" s="3191"/>
      <c r="U271" s="3191"/>
    </row>
    <row r="272" spans="1:21" s="958" customFormat="1" ht="14.25" customHeight="1">
      <c r="A272" s="3156" t="s">
        <v>1153</v>
      </c>
      <c r="B272" s="3156" t="s">
        <v>2933</v>
      </c>
      <c r="C272" s="3165"/>
      <c r="D272" s="3165"/>
      <c r="E272" s="3165"/>
      <c r="F272" s="3164">
        <v>1460</v>
      </c>
      <c r="G272" s="3162"/>
      <c r="I272" s="969"/>
      <c r="J272" s="3191"/>
      <c r="K272" s="3191"/>
      <c r="L272" s="3191"/>
      <c r="M272" s="3191"/>
      <c r="N272" s="3191"/>
      <c r="O272" s="3191"/>
      <c r="P272" s="3191"/>
      <c r="Q272" s="3191"/>
      <c r="R272" s="3191"/>
      <c r="S272" s="3191"/>
      <c r="T272" s="3191"/>
      <c r="U272" s="3191"/>
    </row>
    <row r="273" spans="1:21" s="958" customFormat="1" ht="14.25" customHeight="1">
      <c r="A273" s="3156" t="s">
        <v>1153</v>
      </c>
      <c r="B273" s="3156" t="s">
        <v>2934</v>
      </c>
      <c r="C273" s="3156"/>
      <c r="D273" s="3156"/>
      <c r="E273" s="3156"/>
      <c r="F273" s="3162">
        <v>1490</v>
      </c>
      <c r="G273" s="3162"/>
      <c r="I273" s="969"/>
      <c r="J273" s="3191"/>
      <c r="K273" s="3191"/>
      <c r="L273" s="3191"/>
      <c r="M273" s="3191"/>
      <c r="N273" s="3191"/>
      <c r="O273" s="3191"/>
      <c r="P273" s="3191"/>
      <c r="Q273" s="3191"/>
      <c r="R273" s="3191"/>
      <c r="S273" s="3191"/>
      <c r="T273" s="3191"/>
      <c r="U273" s="3191"/>
    </row>
    <row r="274" spans="1:21" s="958" customFormat="1" ht="14.25" customHeight="1">
      <c r="A274" s="3156" t="s">
        <v>1153</v>
      </c>
      <c r="B274" s="3156" t="s">
        <v>2935</v>
      </c>
      <c r="C274" s="3156"/>
      <c r="D274" s="3156"/>
      <c r="E274" s="3156"/>
      <c r="F274" s="3162">
        <v>1490</v>
      </c>
      <c r="G274" s="3162"/>
      <c r="I274" s="969"/>
      <c r="J274" s="3191"/>
      <c r="K274" s="3191"/>
      <c r="L274" s="3191"/>
      <c r="M274" s="3191"/>
      <c r="N274" s="3191"/>
      <c r="O274" s="3191"/>
      <c r="P274" s="3191"/>
      <c r="Q274" s="3191"/>
      <c r="R274" s="3191"/>
      <c r="S274" s="3191"/>
      <c r="T274" s="3191"/>
      <c r="U274" s="3191"/>
    </row>
    <row r="275" spans="1:21" s="958" customFormat="1" ht="14.25" customHeight="1">
      <c r="A275" s="3156" t="s">
        <v>1153</v>
      </c>
      <c r="B275" s="3156" t="s">
        <v>2936</v>
      </c>
      <c r="C275" s="3156"/>
      <c r="D275" s="3156"/>
      <c r="E275" s="3156"/>
      <c r="F275" s="3162">
        <v>1220</v>
      </c>
      <c r="G275" s="3162"/>
      <c r="I275" s="969"/>
      <c r="J275" s="3191"/>
      <c r="K275" s="3191"/>
      <c r="L275" s="3191"/>
      <c r="M275" s="3191"/>
      <c r="N275" s="3191"/>
      <c r="O275" s="3191"/>
      <c r="P275" s="3191"/>
      <c r="Q275" s="3191"/>
      <c r="R275" s="3191"/>
      <c r="S275" s="3191"/>
      <c r="T275" s="3191"/>
      <c r="U275" s="3191"/>
    </row>
    <row r="276" spans="1:21" s="958" customFormat="1" ht="14.25" customHeight="1" thickBot="1">
      <c r="A276" s="3171" t="s">
        <v>1153</v>
      </c>
      <c r="B276" s="3159" t="s">
        <v>2937</v>
      </c>
      <c r="C276" s="3159"/>
      <c r="D276" s="3159"/>
      <c r="E276" s="3159"/>
      <c r="F276" s="3160">
        <v>1380</v>
      </c>
      <c r="G276" s="3172"/>
      <c r="I276" s="969"/>
      <c r="J276" s="3191"/>
      <c r="K276" s="3191"/>
      <c r="L276" s="3191"/>
      <c r="M276" s="3191"/>
      <c r="N276" s="3191"/>
      <c r="O276" s="3191"/>
      <c r="P276" s="3191"/>
      <c r="Q276" s="3191"/>
      <c r="R276" s="3191"/>
      <c r="S276" s="3191"/>
      <c r="T276" s="3191"/>
      <c r="U276" s="3191"/>
    </row>
    <row r="277" spans="1:21" s="958" customFormat="1" ht="14.25" customHeight="1">
      <c r="A277" s="3170" t="s">
        <v>1154</v>
      </c>
      <c r="B277" s="1214" t="s">
        <v>2938</v>
      </c>
      <c r="C277" s="1214">
        <v>5790</v>
      </c>
      <c r="D277" s="1214">
        <v>5740</v>
      </c>
      <c r="E277" s="1214">
        <v>6730</v>
      </c>
      <c r="F277" s="3157">
        <v>1110</v>
      </c>
      <c r="G277" s="3157">
        <v>3460</v>
      </c>
      <c r="I277" s="969"/>
      <c r="J277" s="3191"/>
      <c r="K277" s="3191"/>
      <c r="L277" s="3191"/>
      <c r="M277" s="3191"/>
      <c r="N277" s="3191"/>
      <c r="O277" s="3191"/>
      <c r="P277" s="3191"/>
      <c r="Q277" s="3191"/>
      <c r="R277" s="3191"/>
      <c r="S277" s="3191"/>
      <c r="T277" s="3191"/>
      <c r="U277" s="3191"/>
    </row>
    <row r="278" spans="1:21" s="958" customFormat="1" ht="14.25" customHeight="1">
      <c r="A278" s="3156" t="s">
        <v>1154</v>
      </c>
      <c r="B278" s="3156" t="s">
        <v>978</v>
      </c>
      <c r="C278" s="3156">
        <v>5740</v>
      </c>
      <c r="D278" s="3156">
        <v>5670</v>
      </c>
      <c r="E278" s="3156">
        <v>6680</v>
      </c>
      <c r="F278" s="3162">
        <v>1070</v>
      </c>
      <c r="G278" s="3162">
        <v>3420</v>
      </c>
      <c r="I278" s="969"/>
      <c r="J278" s="3191"/>
      <c r="K278" s="3191"/>
      <c r="L278" s="3191"/>
      <c r="M278" s="3191"/>
      <c r="N278" s="3191"/>
      <c r="O278" s="3191"/>
      <c r="P278" s="3191"/>
      <c r="Q278" s="3191"/>
      <c r="R278" s="3191"/>
      <c r="S278" s="3191"/>
      <c r="T278" s="3191"/>
      <c r="U278" s="3191"/>
    </row>
    <row r="279" spans="1:21" s="958" customFormat="1" ht="14.25" customHeight="1">
      <c r="A279" s="3156" t="s">
        <v>1154</v>
      </c>
      <c r="B279" s="3156" t="s">
        <v>2939</v>
      </c>
      <c r="C279" s="3156">
        <v>4760</v>
      </c>
      <c r="D279" s="3156">
        <v>4720</v>
      </c>
      <c r="E279" s="3156">
        <v>5540</v>
      </c>
      <c r="F279" s="3162">
        <v>810</v>
      </c>
      <c r="G279" s="3162">
        <v>2850</v>
      </c>
      <c r="I279" s="969"/>
      <c r="J279" s="3191"/>
      <c r="K279" s="3191"/>
      <c r="L279" s="3191"/>
      <c r="M279" s="3191"/>
      <c r="N279" s="3191"/>
      <c r="O279" s="3191"/>
      <c r="P279" s="3191"/>
      <c r="Q279" s="3191"/>
      <c r="R279" s="3191"/>
      <c r="S279" s="3191"/>
      <c r="T279" s="3191"/>
      <c r="U279" s="3191"/>
    </row>
    <row r="280" spans="1:21" s="958" customFormat="1" ht="14.25" customHeight="1">
      <c r="A280" s="3156" t="s">
        <v>1154</v>
      </c>
      <c r="B280" s="3156" t="s">
        <v>2940</v>
      </c>
      <c r="C280" s="3156">
        <v>4010</v>
      </c>
      <c r="D280" s="3156">
        <v>3950</v>
      </c>
      <c r="E280" s="3156">
        <v>4710</v>
      </c>
      <c r="F280" s="3162">
        <v>800</v>
      </c>
      <c r="G280" s="3162">
        <v>2390</v>
      </c>
      <c r="I280" s="969"/>
      <c r="J280" s="3191"/>
      <c r="K280" s="3191"/>
      <c r="L280" s="3191"/>
      <c r="M280" s="3191"/>
      <c r="N280" s="3191"/>
      <c r="O280" s="3191"/>
      <c r="P280" s="3191"/>
      <c r="Q280" s="3191"/>
      <c r="R280" s="3191"/>
      <c r="S280" s="3191"/>
      <c r="T280" s="3191"/>
      <c r="U280" s="3191"/>
    </row>
    <row r="281" spans="1:21" s="958" customFormat="1" ht="14.25" customHeight="1">
      <c r="A281" s="3156" t="s">
        <v>1154</v>
      </c>
      <c r="B281" s="3156" t="s">
        <v>2941</v>
      </c>
      <c r="C281" s="3156">
        <v>4480</v>
      </c>
      <c r="D281" s="3156">
        <v>4420</v>
      </c>
      <c r="E281" s="3156">
        <v>5230</v>
      </c>
      <c r="F281" s="3162">
        <v>870</v>
      </c>
      <c r="G281" s="3162">
        <v>2660</v>
      </c>
      <c r="I281" s="969"/>
      <c r="J281" s="3191"/>
      <c r="K281" s="3191"/>
      <c r="L281" s="3191"/>
      <c r="M281" s="3191"/>
      <c r="N281" s="3191"/>
      <c r="O281" s="3191"/>
      <c r="P281" s="3191"/>
      <c r="Q281" s="3191"/>
      <c r="R281" s="3191"/>
      <c r="S281" s="3191"/>
      <c r="T281" s="3191"/>
      <c r="U281" s="3191"/>
    </row>
    <row r="282" spans="1:21" s="958" customFormat="1" ht="14.25" customHeight="1">
      <c r="A282" s="3156" t="s">
        <v>1154</v>
      </c>
      <c r="B282" s="3156" t="s">
        <v>2942</v>
      </c>
      <c r="C282" s="3156">
        <v>5360</v>
      </c>
      <c r="D282" s="3156">
        <v>5300</v>
      </c>
      <c r="E282" s="3156">
        <v>6190</v>
      </c>
      <c r="F282" s="3162">
        <v>950</v>
      </c>
      <c r="G282" s="3162">
        <v>3190</v>
      </c>
      <c r="I282" s="969"/>
      <c r="J282" s="3191"/>
      <c r="K282" s="3191"/>
      <c r="L282" s="3191"/>
      <c r="M282" s="3191"/>
      <c r="N282" s="3191"/>
      <c r="O282" s="3191"/>
      <c r="P282" s="3191"/>
      <c r="Q282" s="3191"/>
      <c r="R282" s="3191"/>
      <c r="S282" s="3191"/>
      <c r="T282" s="3191"/>
      <c r="U282" s="3191"/>
    </row>
    <row r="283" spans="1:21" s="958" customFormat="1" ht="14.25" customHeight="1">
      <c r="A283" s="3156" t="s">
        <v>1154</v>
      </c>
      <c r="B283" s="3156" t="s">
        <v>1019</v>
      </c>
      <c r="C283" s="3156">
        <v>4950</v>
      </c>
      <c r="D283" s="3156">
        <v>4900</v>
      </c>
      <c r="E283" s="3156">
        <v>5720</v>
      </c>
      <c r="F283" s="3162">
        <v>920</v>
      </c>
      <c r="G283" s="3162">
        <v>2950</v>
      </c>
      <c r="I283" s="969"/>
      <c r="J283" s="3191"/>
      <c r="K283" s="3191"/>
      <c r="L283" s="3191"/>
      <c r="M283" s="3191"/>
      <c r="N283" s="3191"/>
      <c r="O283" s="3191"/>
      <c r="P283" s="3191"/>
      <c r="Q283" s="3191"/>
      <c r="R283" s="3191"/>
      <c r="S283" s="3191"/>
      <c r="T283" s="3191"/>
      <c r="U283" s="3191"/>
    </row>
    <row r="284" spans="1:21" s="958" customFormat="1" ht="14.25" customHeight="1">
      <c r="A284" s="3156" t="s">
        <v>1154</v>
      </c>
      <c r="B284" s="3156" t="s">
        <v>1027</v>
      </c>
      <c r="C284" s="3156">
        <v>5610</v>
      </c>
      <c r="D284" s="3156">
        <v>5560</v>
      </c>
      <c r="E284" s="3156">
        <v>6520</v>
      </c>
      <c r="F284" s="3162">
        <v>1030</v>
      </c>
      <c r="G284" s="3162">
        <v>3360</v>
      </c>
      <c r="I284" s="969"/>
      <c r="J284" s="3191"/>
      <c r="K284" s="3191"/>
      <c r="L284" s="3191"/>
      <c r="M284" s="3191"/>
      <c r="N284" s="3191"/>
      <c r="O284" s="3191"/>
      <c r="P284" s="3191"/>
      <c r="Q284" s="3191"/>
      <c r="R284" s="3191"/>
      <c r="S284" s="3191"/>
      <c r="T284" s="3191"/>
      <c r="U284" s="3191"/>
    </row>
    <row r="285" spans="1:21" s="958" customFormat="1" ht="14.25" customHeight="1">
      <c r="A285" s="3156" t="s">
        <v>1154</v>
      </c>
      <c r="B285" s="3156" t="s">
        <v>1037</v>
      </c>
      <c r="C285" s="3156">
        <v>5340</v>
      </c>
      <c r="D285" s="3156">
        <v>5290</v>
      </c>
      <c r="E285" s="3156">
        <v>6170</v>
      </c>
      <c r="F285" s="3162">
        <v>1080</v>
      </c>
      <c r="G285" s="3162">
        <v>3180</v>
      </c>
      <c r="I285" s="969"/>
      <c r="J285" s="3191"/>
      <c r="K285" s="3191"/>
      <c r="L285" s="3191"/>
      <c r="M285" s="3191"/>
      <c r="N285" s="3191"/>
      <c r="O285" s="3191"/>
      <c r="P285" s="3191"/>
      <c r="Q285" s="3191"/>
      <c r="R285" s="3191"/>
      <c r="S285" s="3191"/>
      <c r="T285" s="3191"/>
      <c r="U285" s="3191"/>
    </row>
    <row r="286" spans="1:21" s="958" customFormat="1" ht="14.25" customHeight="1">
      <c r="A286" s="3156" t="s">
        <v>1154</v>
      </c>
      <c r="B286" s="3156" t="s">
        <v>1044</v>
      </c>
      <c r="C286" s="3156">
        <v>4890</v>
      </c>
      <c r="D286" s="3156">
        <v>4840</v>
      </c>
      <c r="E286" s="3156">
        <v>5640</v>
      </c>
      <c r="F286" s="3162">
        <v>960</v>
      </c>
      <c r="G286" s="3162">
        <v>2910</v>
      </c>
      <c r="I286" s="969"/>
      <c r="J286" s="3191"/>
      <c r="K286" s="3191"/>
      <c r="L286" s="3191"/>
      <c r="M286" s="3191"/>
      <c r="N286" s="3191"/>
      <c r="O286" s="3191"/>
      <c r="P286" s="3191"/>
      <c r="Q286" s="3191"/>
      <c r="R286" s="3191"/>
      <c r="S286" s="3191"/>
      <c r="T286" s="3191"/>
      <c r="U286" s="3191"/>
    </row>
    <row r="287" spans="1:21" s="958" customFormat="1" ht="14.25" customHeight="1">
      <c r="A287" s="3156" t="s">
        <v>1154</v>
      </c>
      <c r="B287" s="3156" t="s">
        <v>2943</v>
      </c>
      <c r="C287" s="3156">
        <v>4960</v>
      </c>
      <c r="D287" s="3156">
        <v>4920</v>
      </c>
      <c r="E287" s="3156">
        <v>5730</v>
      </c>
      <c r="F287" s="3162">
        <v>930</v>
      </c>
      <c r="G287" s="3162">
        <v>2960</v>
      </c>
      <c r="I287" s="969"/>
      <c r="J287" s="3191"/>
      <c r="K287" s="3191"/>
      <c r="L287" s="3191"/>
      <c r="M287" s="3191"/>
      <c r="N287" s="3191"/>
      <c r="O287" s="3191"/>
      <c r="P287" s="3191"/>
      <c r="Q287" s="3191"/>
      <c r="R287" s="3191"/>
      <c r="S287" s="3191"/>
      <c r="T287" s="3191"/>
      <c r="U287" s="3191"/>
    </row>
    <row r="288" spans="1:21" s="958" customFormat="1" ht="14.25" customHeight="1">
      <c r="A288" s="3156" t="s">
        <v>1154</v>
      </c>
      <c r="B288" s="3156" t="s">
        <v>1065</v>
      </c>
      <c r="C288" s="3156">
        <v>4350</v>
      </c>
      <c r="D288" s="3156">
        <v>4300</v>
      </c>
      <c r="E288" s="3156">
        <v>4900</v>
      </c>
      <c r="F288" s="3162">
        <v>820</v>
      </c>
      <c r="G288" s="3162">
        <v>2590</v>
      </c>
      <c r="I288" s="969"/>
      <c r="J288" s="3191"/>
      <c r="K288" s="3191"/>
      <c r="L288" s="3191"/>
      <c r="M288" s="3191"/>
      <c r="N288" s="3191"/>
      <c r="O288" s="3191"/>
      <c r="P288" s="3191"/>
      <c r="Q288" s="3191"/>
      <c r="R288" s="3191"/>
      <c r="S288" s="3191"/>
      <c r="T288" s="3191"/>
      <c r="U288" s="3191"/>
    </row>
    <row r="289" spans="1:21" s="958" customFormat="1" ht="14.25" customHeight="1">
      <c r="A289" s="3156" t="s">
        <v>1154</v>
      </c>
      <c r="B289" s="3156" t="s">
        <v>2944</v>
      </c>
      <c r="C289" s="3156">
        <v>5230</v>
      </c>
      <c r="D289" s="3156">
        <v>5170</v>
      </c>
      <c r="E289" s="3156">
        <v>6060</v>
      </c>
      <c r="F289" s="3156">
        <v>900</v>
      </c>
      <c r="G289" s="3156">
        <v>3120</v>
      </c>
      <c r="H289" s="955"/>
      <c r="I289" s="969"/>
      <c r="J289" s="3191"/>
      <c r="K289" s="3191"/>
      <c r="L289" s="3191"/>
      <c r="M289" s="3191"/>
      <c r="N289" s="3191"/>
      <c r="O289" s="3191"/>
      <c r="P289" s="3191"/>
      <c r="Q289" s="3191"/>
      <c r="R289" s="3191"/>
      <c r="S289" s="3191"/>
      <c r="T289" s="3191"/>
      <c r="U289" s="3191"/>
    </row>
    <row r="290" spans="1:21" s="958" customFormat="1" ht="14.25" customHeight="1">
      <c r="A290" s="1214" t="s">
        <v>1154</v>
      </c>
      <c r="B290" s="1214" t="s">
        <v>1088</v>
      </c>
      <c r="C290" s="1214">
        <v>5550</v>
      </c>
      <c r="D290" s="1214">
        <v>5500</v>
      </c>
      <c r="E290" s="1214">
        <v>6440</v>
      </c>
      <c r="F290" s="3157">
        <v>960</v>
      </c>
      <c r="G290" s="3173">
        <v>3320</v>
      </c>
      <c r="I290" s="969"/>
      <c r="J290" s="3191"/>
      <c r="K290" s="3191"/>
      <c r="L290" s="3191"/>
      <c r="M290" s="3191"/>
      <c r="N290" s="3191"/>
      <c r="O290" s="3191"/>
      <c r="P290" s="3191"/>
      <c r="Q290" s="3191"/>
      <c r="R290" s="3191"/>
      <c r="S290" s="3191"/>
      <c r="T290" s="3191"/>
      <c r="U290" s="3191"/>
    </row>
    <row r="291" spans="1:21" s="958" customFormat="1" ht="14.25" customHeight="1">
      <c r="A291" s="3156" t="s">
        <v>1154</v>
      </c>
      <c r="B291" s="3156" t="s">
        <v>1096</v>
      </c>
      <c r="C291" s="3156">
        <v>5440</v>
      </c>
      <c r="D291" s="3156">
        <v>5400</v>
      </c>
      <c r="E291" s="3156">
        <v>6320</v>
      </c>
      <c r="F291" s="3162">
        <v>930</v>
      </c>
      <c r="G291" s="3164">
        <v>3250</v>
      </c>
      <c r="I291" s="969"/>
      <c r="J291" s="3191"/>
      <c r="K291" s="3191"/>
      <c r="L291" s="3191"/>
      <c r="M291" s="3191"/>
      <c r="N291" s="3191"/>
      <c r="O291" s="3191"/>
      <c r="P291" s="3191"/>
      <c r="Q291" s="3191"/>
      <c r="R291" s="3191"/>
      <c r="S291" s="3191"/>
      <c r="T291" s="3191"/>
      <c r="U291" s="3191"/>
    </row>
    <row r="292" spans="1:21" s="958" customFormat="1" ht="14.25" customHeight="1">
      <c r="A292" s="3156" t="s">
        <v>1154</v>
      </c>
      <c r="B292" s="3156" t="s">
        <v>1102</v>
      </c>
      <c r="C292" s="3156">
        <v>5400</v>
      </c>
      <c r="D292" s="3156">
        <v>5360</v>
      </c>
      <c r="E292" s="3156">
        <v>6270</v>
      </c>
      <c r="F292" s="3162">
        <v>1040</v>
      </c>
      <c r="G292" s="3162">
        <v>3230</v>
      </c>
      <c r="I292" s="969"/>
      <c r="J292" s="3191"/>
      <c r="K292" s="3191"/>
      <c r="L292" s="3191"/>
      <c r="M292" s="3191"/>
      <c r="N292" s="3191"/>
      <c r="O292" s="3191"/>
      <c r="P292" s="3191"/>
      <c r="Q292" s="3191"/>
      <c r="R292" s="3191"/>
      <c r="S292" s="3191"/>
      <c r="T292" s="3191"/>
      <c r="U292" s="3191"/>
    </row>
    <row r="293" spans="1:21" s="958" customFormat="1" ht="14.25" customHeight="1">
      <c r="A293" s="3156" t="s">
        <v>1154</v>
      </c>
      <c r="B293" s="3156" t="s">
        <v>2945</v>
      </c>
      <c r="C293" s="3156">
        <v>5320</v>
      </c>
      <c r="D293" s="3156">
        <v>5270</v>
      </c>
      <c r="E293" s="3156">
        <v>6160</v>
      </c>
      <c r="F293" s="3162">
        <v>990</v>
      </c>
      <c r="G293" s="3162">
        <v>3170</v>
      </c>
      <c r="I293" s="969"/>
      <c r="J293" s="3191"/>
      <c r="K293" s="3191"/>
      <c r="L293" s="3191"/>
      <c r="M293" s="3191"/>
      <c r="N293" s="3191"/>
      <c r="O293" s="3191"/>
      <c r="P293" s="3191"/>
      <c r="Q293" s="3191"/>
      <c r="R293" s="3191"/>
      <c r="S293" s="3191"/>
      <c r="T293" s="3191"/>
      <c r="U293" s="3191"/>
    </row>
    <row r="294" spans="1:21" s="958" customFormat="1" ht="14.25" customHeight="1">
      <c r="A294" s="3156" t="s">
        <v>1154</v>
      </c>
      <c r="B294" s="3156" t="s">
        <v>2946</v>
      </c>
      <c r="C294" s="3156">
        <v>5260</v>
      </c>
      <c r="D294" s="3156">
        <v>5210</v>
      </c>
      <c r="E294" s="3156">
        <v>6100</v>
      </c>
      <c r="F294" s="3162">
        <v>950</v>
      </c>
      <c r="G294" s="3162">
        <v>3150</v>
      </c>
      <c r="I294" s="969"/>
      <c r="J294" s="3191"/>
      <c r="K294" s="3191"/>
      <c r="L294" s="3191"/>
      <c r="M294" s="3191"/>
      <c r="N294" s="3191"/>
      <c r="O294" s="3191"/>
      <c r="P294" s="3191"/>
      <c r="Q294" s="3191"/>
      <c r="R294" s="3191"/>
      <c r="S294" s="3191"/>
      <c r="T294" s="3191"/>
      <c r="U294" s="3191"/>
    </row>
    <row r="295" spans="1:21" s="958" customFormat="1" ht="14.25" customHeight="1">
      <c r="A295" s="3156" t="s">
        <v>1154</v>
      </c>
      <c r="B295" s="3156" t="s">
        <v>1137</v>
      </c>
      <c r="C295" s="3156">
        <v>5610</v>
      </c>
      <c r="D295" s="3156">
        <v>5570</v>
      </c>
      <c r="E295" s="3156">
        <v>6530</v>
      </c>
      <c r="F295" s="3162">
        <v>960</v>
      </c>
      <c r="G295" s="3162">
        <v>3360</v>
      </c>
      <c r="I295" s="969"/>
      <c r="J295" s="3191"/>
      <c r="K295" s="3191"/>
      <c r="L295" s="3191"/>
      <c r="M295" s="3191"/>
      <c r="N295" s="3191"/>
      <c r="O295" s="3191"/>
      <c r="P295" s="3191"/>
      <c r="Q295" s="3191"/>
      <c r="R295" s="3191"/>
      <c r="S295" s="3191"/>
      <c r="T295" s="3191"/>
      <c r="U295" s="3191"/>
    </row>
    <row r="296" spans="1:21" s="958" customFormat="1" ht="14.25" customHeight="1">
      <c r="A296" s="3156" t="s">
        <v>1154</v>
      </c>
      <c r="B296" s="3156" t="s">
        <v>1140</v>
      </c>
      <c r="C296" s="3156">
        <v>5540</v>
      </c>
      <c r="D296" s="3156">
        <v>5490</v>
      </c>
      <c r="E296" s="3156">
        <v>6430</v>
      </c>
      <c r="F296" s="3162">
        <v>980</v>
      </c>
      <c r="G296" s="3162">
        <v>3310</v>
      </c>
      <c r="I296" s="969"/>
      <c r="J296" s="3191"/>
      <c r="K296" s="3191"/>
      <c r="L296" s="3191"/>
      <c r="M296" s="3191"/>
      <c r="N296" s="3191"/>
      <c r="O296" s="3191"/>
      <c r="P296" s="3191"/>
      <c r="Q296" s="3191"/>
      <c r="R296" s="3191"/>
      <c r="S296" s="3191"/>
      <c r="T296" s="3191"/>
      <c r="U296" s="3191"/>
    </row>
    <row r="297" spans="1:21" s="958" customFormat="1" ht="14.25" customHeight="1">
      <c r="A297" s="3156" t="s">
        <v>1154</v>
      </c>
      <c r="B297" s="3156" t="s">
        <v>1142</v>
      </c>
      <c r="C297" s="3156">
        <v>5480</v>
      </c>
      <c r="D297" s="3156">
        <v>5420</v>
      </c>
      <c r="E297" s="3156">
        <v>6370</v>
      </c>
      <c r="F297" s="3162">
        <v>990</v>
      </c>
      <c r="G297" s="3162">
        <v>3270</v>
      </c>
      <c r="I297" s="969"/>
      <c r="J297" s="3191"/>
      <c r="K297" s="3191"/>
      <c r="L297" s="3191"/>
      <c r="M297" s="3191"/>
      <c r="N297" s="3191"/>
      <c r="O297" s="3191"/>
      <c r="P297" s="3191"/>
      <c r="Q297" s="3191"/>
      <c r="R297" s="3191"/>
      <c r="S297" s="3191"/>
      <c r="T297" s="3191"/>
      <c r="U297" s="3191"/>
    </row>
    <row r="298" spans="1:21" s="958" customFormat="1" ht="14.25" customHeight="1">
      <c r="A298" s="3156" t="s">
        <v>1154</v>
      </c>
      <c r="B298" s="3156" t="s">
        <v>1145</v>
      </c>
      <c r="C298" s="3156">
        <v>5090</v>
      </c>
      <c r="D298" s="3156">
        <v>5050</v>
      </c>
      <c r="E298" s="3156">
        <v>5910</v>
      </c>
      <c r="F298" s="3162">
        <v>900</v>
      </c>
      <c r="G298" s="3162">
        <v>3040</v>
      </c>
      <c r="I298" s="969"/>
      <c r="J298" s="3191"/>
      <c r="K298" s="3191"/>
      <c r="L298" s="3191"/>
      <c r="M298" s="3191"/>
      <c r="N298" s="3191"/>
      <c r="O298" s="3191"/>
      <c r="P298" s="3191"/>
      <c r="Q298" s="3191"/>
      <c r="R298" s="3191"/>
      <c r="S298" s="3191"/>
      <c r="T298" s="3191"/>
      <c r="U298" s="3191"/>
    </row>
    <row r="299" spans="1:21" s="958" customFormat="1" ht="14.25" customHeight="1">
      <c r="A299" s="3156" t="s">
        <v>1154</v>
      </c>
      <c r="B299" s="3156" t="s">
        <v>2947</v>
      </c>
      <c r="C299" s="3156">
        <v>5430</v>
      </c>
      <c r="D299" s="3156">
        <v>5380</v>
      </c>
      <c r="E299" s="3156">
        <v>6280</v>
      </c>
      <c r="F299" s="3162">
        <v>1000</v>
      </c>
      <c r="G299" s="3164">
        <v>3240</v>
      </c>
      <c r="I299" s="969"/>
      <c r="J299" s="3191"/>
      <c r="K299" s="3191"/>
      <c r="L299" s="3191"/>
      <c r="M299" s="3191"/>
      <c r="N299" s="3191"/>
      <c r="O299" s="3191"/>
      <c r="P299" s="3191"/>
      <c r="Q299" s="3191"/>
      <c r="R299" s="3191"/>
      <c r="S299" s="3191"/>
      <c r="T299" s="3191"/>
      <c r="U299" s="3191"/>
    </row>
    <row r="300" spans="1:21" s="958" customFormat="1" ht="14.25" customHeight="1">
      <c r="A300" s="3156" t="s">
        <v>1154</v>
      </c>
      <c r="B300" s="3156" t="s">
        <v>1117</v>
      </c>
      <c r="C300" s="3156">
        <v>4740</v>
      </c>
      <c r="D300" s="3156">
        <v>4680</v>
      </c>
      <c r="E300" s="3156">
        <v>5450</v>
      </c>
      <c r="F300" s="3162">
        <v>900</v>
      </c>
      <c r="G300" s="3162">
        <v>2830</v>
      </c>
      <c r="I300" s="969"/>
      <c r="J300" s="3191"/>
      <c r="K300" s="3191"/>
      <c r="L300" s="3191"/>
      <c r="M300" s="3191"/>
      <c r="N300" s="3191"/>
      <c r="O300" s="3191"/>
      <c r="P300" s="3191"/>
      <c r="Q300" s="3191"/>
      <c r="R300" s="3191"/>
      <c r="S300" s="3191"/>
      <c r="T300" s="3191"/>
      <c r="U300" s="3191"/>
    </row>
    <row r="301" spans="1:21" s="958" customFormat="1" ht="14.25" customHeight="1">
      <c r="A301" s="3156" t="s">
        <v>1154</v>
      </c>
      <c r="B301" s="3156" t="s">
        <v>1123</v>
      </c>
      <c r="C301" s="3156">
        <v>4870</v>
      </c>
      <c r="D301" s="3156">
        <v>4810</v>
      </c>
      <c r="E301" s="3156">
        <v>5560</v>
      </c>
      <c r="F301" s="3162">
        <v>990</v>
      </c>
      <c r="G301" s="3164">
        <v>2910</v>
      </c>
      <c r="I301" s="969"/>
      <c r="J301" s="3191"/>
      <c r="K301" s="3191"/>
      <c r="L301" s="3191"/>
      <c r="M301" s="3191"/>
      <c r="N301" s="3191"/>
      <c r="O301" s="3191"/>
      <c r="P301" s="3191"/>
      <c r="Q301" s="3191"/>
      <c r="R301" s="3191"/>
      <c r="S301" s="3191"/>
      <c r="T301" s="3191"/>
      <c r="U301" s="3191"/>
    </row>
    <row r="302" spans="1:21" s="958" customFormat="1" ht="14.25" customHeight="1">
      <c r="A302" s="3156" t="s">
        <v>1154</v>
      </c>
      <c r="B302" s="3156" t="s">
        <v>2948</v>
      </c>
      <c r="C302" s="3156">
        <v>5520</v>
      </c>
      <c r="D302" s="3156">
        <v>5470</v>
      </c>
      <c r="E302" s="3156">
        <v>6410</v>
      </c>
      <c r="F302" s="3162">
        <v>950</v>
      </c>
      <c r="G302" s="3162">
        <v>3300</v>
      </c>
      <c r="I302" s="969"/>
      <c r="J302" s="3191"/>
      <c r="K302" s="3191"/>
      <c r="L302" s="3191"/>
      <c r="M302" s="3191"/>
      <c r="N302" s="3191"/>
      <c r="O302" s="3191"/>
      <c r="P302" s="3191"/>
      <c r="Q302" s="3191"/>
      <c r="R302" s="3191"/>
      <c r="S302" s="3191"/>
      <c r="T302" s="3191"/>
      <c r="U302" s="3191"/>
    </row>
    <row r="303" spans="1:21" s="958" customFormat="1" ht="14.25" customHeight="1">
      <c r="A303" s="3156" t="s">
        <v>1154</v>
      </c>
      <c r="B303" s="3156" t="s">
        <v>2949</v>
      </c>
      <c r="C303" s="3156">
        <v>5630</v>
      </c>
      <c r="D303" s="3156">
        <v>5590</v>
      </c>
      <c r="E303" s="3156">
        <v>6550</v>
      </c>
      <c r="F303" s="3162">
        <v>1010</v>
      </c>
      <c r="G303" s="3162">
        <v>3370</v>
      </c>
      <c r="I303" s="969"/>
      <c r="J303" s="3191"/>
      <c r="K303" s="3191"/>
      <c r="L303" s="3191"/>
      <c r="M303" s="3191"/>
      <c r="N303" s="3191"/>
      <c r="O303" s="3191"/>
      <c r="P303" s="3191"/>
      <c r="Q303" s="3191"/>
      <c r="R303" s="3191"/>
      <c r="S303" s="3191"/>
      <c r="T303" s="3191"/>
      <c r="U303" s="3191"/>
    </row>
    <row r="304" spans="1:21" s="958" customFormat="1" ht="14.25" customHeight="1">
      <c r="A304" s="3156" t="s">
        <v>1154</v>
      </c>
      <c r="B304" s="3156" t="s">
        <v>2950</v>
      </c>
      <c r="C304" s="3156">
        <v>5680</v>
      </c>
      <c r="D304" s="3156">
        <v>5620</v>
      </c>
      <c r="E304" s="3156">
        <v>6620</v>
      </c>
      <c r="F304" s="3162">
        <v>1050</v>
      </c>
      <c r="G304" s="3164">
        <v>3390</v>
      </c>
      <c r="I304" s="969"/>
      <c r="J304" s="3191"/>
      <c r="K304" s="3191"/>
      <c r="L304" s="3191"/>
      <c r="M304" s="3191"/>
      <c r="N304" s="3191"/>
      <c r="O304" s="3191"/>
      <c r="P304" s="3191"/>
      <c r="Q304" s="3191"/>
      <c r="R304" s="3191"/>
      <c r="S304" s="3191"/>
      <c r="T304" s="3191"/>
      <c r="U304" s="3191"/>
    </row>
    <row r="305" spans="1:21" s="958" customFormat="1" ht="14.25" customHeight="1">
      <c r="A305" s="3156" t="s">
        <v>1154</v>
      </c>
      <c r="B305" s="3156" t="s">
        <v>2951</v>
      </c>
      <c r="C305" s="3156">
        <v>5590</v>
      </c>
      <c r="D305" s="3156">
        <v>5530</v>
      </c>
      <c r="E305" s="3156">
        <v>6460</v>
      </c>
      <c r="F305" s="3162">
        <v>900</v>
      </c>
      <c r="G305" s="3162">
        <v>3340</v>
      </c>
      <c r="I305" s="969"/>
      <c r="J305" s="3191"/>
      <c r="K305" s="3191"/>
      <c r="L305" s="3191"/>
      <c r="M305" s="3191"/>
      <c r="N305" s="3191"/>
      <c r="O305" s="3191"/>
      <c r="P305" s="3191"/>
      <c r="Q305" s="3191"/>
      <c r="R305" s="3191"/>
      <c r="S305" s="3191"/>
      <c r="T305" s="3191"/>
      <c r="U305" s="3191"/>
    </row>
    <row r="306" spans="1:21" s="958" customFormat="1" ht="14.25" customHeight="1">
      <c r="A306" s="3156" t="s">
        <v>1154</v>
      </c>
      <c r="B306" s="3156" t="s">
        <v>2952</v>
      </c>
      <c r="C306" s="3156">
        <v>5560</v>
      </c>
      <c r="D306" s="3156">
        <v>5510</v>
      </c>
      <c r="E306" s="3156">
        <v>6440</v>
      </c>
      <c r="F306" s="3162">
        <v>900</v>
      </c>
      <c r="G306" s="3164">
        <v>3320</v>
      </c>
      <c r="I306" s="969"/>
      <c r="J306" s="3191"/>
      <c r="K306" s="3191"/>
      <c r="L306" s="3191"/>
      <c r="M306" s="3191"/>
      <c r="N306" s="3191"/>
      <c r="O306" s="3191"/>
      <c r="P306" s="3191"/>
      <c r="Q306" s="3191"/>
      <c r="R306" s="3191"/>
      <c r="S306" s="3191"/>
      <c r="T306" s="3191"/>
      <c r="U306" s="3191"/>
    </row>
    <row r="307" spans="1:21" s="958" customFormat="1" ht="14.25" customHeight="1">
      <c r="A307" s="3156" t="s">
        <v>1154</v>
      </c>
      <c r="B307" s="3156" t="s">
        <v>2953</v>
      </c>
      <c r="C307" s="3156">
        <v>5650</v>
      </c>
      <c r="D307" s="3156">
        <v>5600</v>
      </c>
      <c r="E307" s="3156">
        <v>6590</v>
      </c>
      <c r="F307" s="3162">
        <v>930</v>
      </c>
      <c r="G307" s="3162">
        <v>3380</v>
      </c>
      <c r="I307" s="969"/>
      <c r="J307" s="3191"/>
      <c r="K307" s="3191"/>
      <c r="L307" s="3191"/>
      <c r="M307" s="3191"/>
      <c r="N307" s="3191"/>
      <c r="O307" s="3191"/>
      <c r="P307" s="3191"/>
      <c r="Q307" s="3191"/>
      <c r="R307" s="3191"/>
      <c r="S307" s="3191"/>
      <c r="T307" s="3191"/>
      <c r="U307" s="3191"/>
    </row>
    <row r="308" spans="1:21" s="958" customFormat="1" ht="14.25" customHeight="1">
      <c r="A308" s="3156" t="s">
        <v>1154</v>
      </c>
      <c r="B308" s="3156" t="s">
        <v>2954</v>
      </c>
      <c r="C308" s="3156">
        <v>5620</v>
      </c>
      <c r="D308" s="3156">
        <v>5580</v>
      </c>
      <c r="E308" s="3156">
        <v>6540</v>
      </c>
      <c r="F308" s="3162">
        <v>910</v>
      </c>
      <c r="G308" s="3162">
        <v>3370</v>
      </c>
      <c r="I308" s="969"/>
      <c r="J308" s="3191"/>
      <c r="K308" s="3191"/>
      <c r="L308" s="3191"/>
      <c r="M308" s="3191"/>
      <c r="N308" s="3191"/>
      <c r="O308" s="3191"/>
      <c r="P308" s="3191"/>
      <c r="Q308" s="3191"/>
      <c r="R308" s="3191"/>
      <c r="S308" s="3191"/>
      <c r="T308" s="3191"/>
      <c r="U308" s="3191"/>
    </row>
    <row r="309" spans="1:21" s="958" customFormat="1" ht="14.25" customHeight="1">
      <c r="A309" s="3156" t="s">
        <v>1154</v>
      </c>
      <c r="B309" s="3156" t="s">
        <v>2955</v>
      </c>
      <c r="C309" s="3156">
        <v>5060</v>
      </c>
      <c r="D309" s="3156">
        <v>5020</v>
      </c>
      <c r="E309" s="3156">
        <v>6370</v>
      </c>
      <c r="F309" s="3162">
        <v>800</v>
      </c>
      <c r="G309" s="3164">
        <v>3020</v>
      </c>
      <c r="I309" s="969"/>
      <c r="J309" s="3191"/>
      <c r="K309" s="3191"/>
      <c r="L309" s="3191"/>
      <c r="M309" s="3191"/>
      <c r="N309" s="3191"/>
      <c r="O309" s="3191"/>
      <c r="P309" s="3191"/>
      <c r="Q309" s="3191"/>
      <c r="R309" s="3191"/>
      <c r="S309" s="3191"/>
      <c r="T309" s="3191"/>
      <c r="U309" s="3191"/>
    </row>
    <row r="310" spans="1:21" s="958" customFormat="1" ht="14.25" customHeight="1">
      <c r="A310" s="3156" t="s">
        <v>1154</v>
      </c>
      <c r="B310" s="3156" t="s">
        <v>2956</v>
      </c>
      <c r="C310" s="3156">
        <v>5150</v>
      </c>
      <c r="D310" s="3156">
        <v>5110</v>
      </c>
      <c r="E310" s="3156">
        <v>6500</v>
      </c>
      <c r="F310" s="3162">
        <v>880</v>
      </c>
      <c r="G310" s="3162">
        <v>3080</v>
      </c>
      <c r="I310" s="969"/>
      <c r="J310" s="3191"/>
      <c r="K310" s="3191"/>
      <c r="L310" s="3191"/>
      <c r="M310" s="3191"/>
      <c r="N310" s="3191"/>
      <c r="O310" s="3191"/>
      <c r="P310" s="3191"/>
      <c r="Q310" s="3191"/>
      <c r="R310" s="3191"/>
      <c r="S310" s="3191"/>
      <c r="T310" s="3191"/>
      <c r="U310" s="3191"/>
    </row>
    <row r="311" spans="1:21" s="958" customFormat="1" ht="14.25" customHeight="1">
      <c r="A311" s="3156" t="s">
        <v>1154</v>
      </c>
      <c r="B311" s="3156" t="s">
        <v>2957</v>
      </c>
      <c r="C311" s="3156">
        <v>4750</v>
      </c>
      <c r="D311" s="3156">
        <v>4710</v>
      </c>
      <c r="E311" s="3156">
        <v>5510</v>
      </c>
      <c r="F311" s="3162">
        <v>880</v>
      </c>
      <c r="G311" s="3162">
        <v>2840</v>
      </c>
      <c r="I311" s="969"/>
      <c r="J311" s="3191"/>
      <c r="K311" s="3191"/>
      <c r="L311" s="3191"/>
      <c r="M311" s="3191"/>
      <c r="N311" s="3191"/>
      <c r="O311" s="3191"/>
      <c r="P311" s="3191"/>
      <c r="Q311" s="3191"/>
      <c r="R311" s="3191"/>
      <c r="S311" s="3191"/>
      <c r="T311" s="3191"/>
      <c r="U311" s="3191"/>
    </row>
    <row r="312" spans="1:21" s="958" customFormat="1" ht="14.25" customHeight="1">
      <c r="A312" s="3156" t="s">
        <v>1154</v>
      </c>
      <c r="B312" s="3156" t="s">
        <v>2958</v>
      </c>
      <c r="C312" s="3156">
        <v>4690</v>
      </c>
      <c r="D312" s="3156">
        <v>4640</v>
      </c>
      <c r="E312" s="3156">
        <v>5420</v>
      </c>
      <c r="F312" s="3162">
        <v>800</v>
      </c>
      <c r="G312" s="3162">
        <v>2800</v>
      </c>
      <c r="I312" s="969"/>
      <c r="J312" s="3191"/>
      <c r="K312" s="3191"/>
      <c r="L312" s="3191"/>
      <c r="M312" s="3191"/>
      <c r="N312" s="3191"/>
      <c r="O312" s="3191"/>
      <c r="P312" s="3191"/>
      <c r="Q312" s="3191"/>
      <c r="R312" s="3191"/>
      <c r="S312" s="3191"/>
      <c r="T312" s="3191"/>
      <c r="U312" s="3191"/>
    </row>
    <row r="313" spans="1:21" s="958" customFormat="1" ht="14.25" customHeight="1">
      <c r="A313" s="3156" t="s">
        <v>1154</v>
      </c>
      <c r="B313" s="3156" t="s">
        <v>2959</v>
      </c>
      <c r="C313" s="3156">
        <v>4810</v>
      </c>
      <c r="D313" s="3156">
        <v>4760</v>
      </c>
      <c r="E313" s="3156">
        <v>5550</v>
      </c>
      <c r="F313" s="3162">
        <v>920</v>
      </c>
      <c r="G313" s="3162">
        <v>2870</v>
      </c>
      <c r="I313" s="969"/>
      <c r="J313" s="3191"/>
      <c r="K313" s="3191"/>
      <c r="L313" s="3191"/>
      <c r="M313" s="3191"/>
      <c r="N313" s="3191"/>
      <c r="O313" s="3191"/>
      <c r="P313" s="3191"/>
      <c r="Q313" s="3191"/>
      <c r="R313" s="3191"/>
      <c r="S313" s="3191"/>
      <c r="T313" s="3191"/>
      <c r="U313" s="3191"/>
    </row>
    <row r="314" spans="1:21" s="958" customFormat="1" ht="14.25" customHeight="1">
      <c r="A314" s="3156" t="s">
        <v>1154</v>
      </c>
      <c r="B314" s="3156" t="s">
        <v>2960</v>
      </c>
      <c r="C314" s="3156"/>
      <c r="D314" s="3156"/>
      <c r="E314" s="3156"/>
      <c r="F314" s="3162">
        <v>1020</v>
      </c>
      <c r="G314" s="3162"/>
      <c r="I314" s="969"/>
      <c r="J314" s="3191"/>
      <c r="K314" s="3191"/>
      <c r="L314" s="3191"/>
      <c r="M314" s="3191"/>
      <c r="N314" s="3191"/>
      <c r="O314" s="3191"/>
      <c r="P314" s="3191"/>
      <c r="Q314" s="3191"/>
      <c r="R314" s="3191"/>
      <c r="S314" s="3191"/>
      <c r="T314" s="3191"/>
      <c r="U314" s="3191"/>
    </row>
    <row r="315" spans="1:21" s="958" customFormat="1" ht="14.25" customHeight="1">
      <c r="A315" s="3156" t="s">
        <v>1154</v>
      </c>
      <c r="B315" s="3156" t="s">
        <v>2961</v>
      </c>
      <c r="C315" s="3156"/>
      <c r="D315" s="3156"/>
      <c r="E315" s="3156"/>
      <c r="F315" s="3162">
        <v>1050</v>
      </c>
      <c r="G315" s="3162"/>
      <c r="I315" s="969"/>
      <c r="J315" s="3191"/>
      <c r="K315" s="3191"/>
      <c r="L315" s="3191"/>
      <c r="M315" s="3191"/>
      <c r="N315" s="3191"/>
      <c r="O315" s="3191"/>
      <c r="P315" s="3191"/>
      <c r="Q315" s="3191"/>
      <c r="R315" s="3191"/>
      <c r="S315" s="3191"/>
      <c r="T315" s="3191"/>
      <c r="U315" s="3191"/>
    </row>
    <row r="316" spans="1:21" s="958" customFormat="1" ht="14.25" customHeight="1">
      <c r="A316" s="3156" t="s">
        <v>1154</v>
      </c>
      <c r="B316" s="3156" t="s">
        <v>2962</v>
      </c>
      <c r="C316" s="3156"/>
      <c r="D316" s="3156"/>
      <c r="E316" s="3156"/>
      <c r="F316" s="3162">
        <v>900</v>
      </c>
      <c r="G316" s="3169"/>
      <c r="I316" s="969"/>
      <c r="J316" s="3191"/>
      <c r="K316" s="3191"/>
      <c r="L316" s="3191"/>
      <c r="M316" s="3191"/>
      <c r="N316" s="3191"/>
      <c r="O316" s="3191"/>
      <c r="P316" s="3191"/>
      <c r="Q316" s="3191"/>
      <c r="R316" s="3191"/>
      <c r="S316" s="3191"/>
      <c r="T316" s="3191"/>
      <c r="U316" s="3191"/>
    </row>
    <row r="317" spans="1:21" s="958" customFormat="1" ht="14.25" customHeight="1">
      <c r="A317" s="1214" t="s">
        <v>1154</v>
      </c>
      <c r="B317" s="1214" t="s">
        <v>2963</v>
      </c>
      <c r="C317" s="1214"/>
      <c r="D317" s="1214"/>
      <c r="E317" s="1214"/>
      <c r="F317" s="3157">
        <v>920</v>
      </c>
      <c r="G317" s="3157"/>
      <c r="I317" s="955"/>
      <c r="J317" s="3191"/>
      <c r="K317" s="3191"/>
      <c r="L317" s="3191"/>
      <c r="M317" s="3191"/>
      <c r="N317" s="3191"/>
      <c r="O317" s="3191"/>
      <c r="P317" s="3191"/>
      <c r="Q317" s="3191"/>
      <c r="R317" s="3191"/>
      <c r="S317" s="3191"/>
      <c r="T317" s="3191"/>
      <c r="U317" s="3191"/>
    </row>
    <row r="318" spans="1:21" s="958" customFormat="1" ht="14.25" customHeight="1">
      <c r="A318" s="3156" t="s">
        <v>1154</v>
      </c>
      <c r="B318" s="3156" t="s">
        <v>2964</v>
      </c>
      <c r="C318" s="3156"/>
      <c r="D318" s="3156"/>
      <c r="E318" s="3156"/>
      <c r="F318" s="3162">
        <v>1080</v>
      </c>
      <c r="G318" s="3164"/>
      <c r="I318" s="955"/>
      <c r="J318" s="3191"/>
      <c r="K318" s="3191"/>
      <c r="L318" s="3191"/>
      <c r="M318" s="3191"/>
      <c r="N318" s="3191"/>
      <c r="O318" s="3191"/>
      <c r="P318" s="3191"/>
      <c r="Q318" s="3191"/>
      <c r="R318" s="3191"/>
      <c r="S318" s="3191"/>
      <c r="T318" s="3191"/>
      <c r="U318" s="3191"/>
    </row>
    <row r="319" spans="1:21" s="958" customFormat="1" ht="14.25" customHeight="1">
      <c r="A319" s="3156" t="s">
        <v>1154</v>
      </c>
      <c r="B319" s="3156" t="s">
        <v>2965</v>
      </c>
      <c r="C319" s="3156"/>
      <c r="D319" s="3156"/>
      <c r="E319" s="3156"/>
      <c r="F319" s="3162">
        <v>1020</v>
      </c>
      <c r="G319" s="3162"/>
      <c r="I319" s="955"/>
      <c r="J319" s="3191"/>
      <c r="K319" s="3191"/>
      <c r="L319" s="3191"/>
      <c r="M319" s="3191"/>
      <c r="N319" s="3191"/>
      <c r="O319" s="3191"/>
      <c r="P319" s="3191"/>
      <c r="Q319" s="3191"/>
      <c r="R319" s="3191"/>
      <c r="S319" s="3191"/>
      <c r="T319" s="3191"/>
      <c r="U319" s="3191"/>
    </row>
    <row r="320" spans="1:21" s="958" customFormat="1" ht="14.25" customHeight="1">
      <c r="A320" s="3156" t="s">
        <v>1154</v>
      </c>
      <c r="B320" s="3156" t="s">
        <v>2966</v>
      </c>
      <c r="C320" s="3156"/>
      <c r="D320" s="3156"/>
      <c r="E320" s="3156"/>
      <c r="F320" s="3162">
        <v>1050</v>
      </c>
      <c r="G320" s="3164"/>
      <c r="I320" s="955"/>
      <c r="J320" s="3191"/>
      <c r="K320" s="3191"/>
      <c r="L320" s="3191"/>
      <c r="M320" s="3191"/>
      <c r="N320" s="3191"/>
      <c r="O320" s="3191"/>
      <c r="P320" s="3191"/>
      <c r="Q320" s="3191"/>
      <c r="R320" s="3191"/>
      <c r="S320" s="3191"/>
      <c r="T320" s="3191"/>
      <c r="U320" s="3191"/>
    </row>
    <row r="321" spans="1:21" s="958" customFormat="1" ht="14.25" customHeight="1">
      <c r="A321" s="3156" t="s">
        <v>1154</v>
      </c>
      <c r="B321" s="3156" t="s">
        <v>2967</v>
      </c>
      <c r="C321" s="3156"/>
      <c r="D321" s="3156"/>
      <c r="E321" s="3156"/>
      <c r="F321" s="3162">
        <v>960</v>
      </c>
      <c r="G321" s="3164"/>
      <c r="I321" s="955"/>
      <c r="J321" s="3191"/>
      <c r="K321" s="3191"/>
      <c r="L321" s="3191"/>
      <c r="M321" s="3191"/>
      <c r="N321" s="3191"/>
      <c r="O321" s="3191"/>
      <c r="P321" s="3191"/>
      <c r="Q321" s="3191"/>
      <c r="R321" s="3191"/>
      <c r="S321" s="3191"/>
      <c r="T321" s="3191"/>
      <c r="U321" s="3191"/>
    </row>
    <row r="322" spans="1:21" s="958" customFormat="1" ht="14.25" customHeight="1">
      <c r="A322" s="3156" t="s">
        <v>1154</v>
      </c>
      <c r="B322" s="3156" t="s">
        <v>2968</v>
      </c>
      <c r="C322" s="3156"/>
      <c r="D322" s="3156"/>
      <c r="E322" s="3156"/>
      <c r="F322" s="3162">
        <v>960</v>
      </c>
      <c r="G322" s="3162"/>
      <c r="I322" s="955"/>
      <c r="J322" s="3191"/>
      <c r="K322" s="3191"/>
      <c r="L322" s="3191"/>
      <c r="M322" s="3191"/>
      <c r="N322" s="3191"/>
      <c r="O322" s="3191"/>
      <c r="P322" s="3191"/>
      <c r="Q322" s="3191"/>
      <c r="R322" s="3191"/>
      <c r="S322" s="3191"/>
      <c r="T322" s="3191"/>
      <c r="U322" s="3191"/>
    </row>
    <row r="323" spans="1:21" s="958" customFormat="1" ht="14.25" customHeight="1">
      <c r="A323" s="3156" t="s">
        <v>1154</v>
      </c>
      <c r="B323" s="3156" t="s">
        <v>2969</v>
      </c>
      <c r="C323" s="3156"/>
      <c r="D323" s="3156"/>
      <c r="E323" s="3156"/>
      <c r="F323" s="3162">
        <v>880</v>
      </c>
      <c r="G323" s="3164"/>
      <c r="I323" s="955"/>
      <c r="J323" s="3191"/>
      <c r="K323" s="3191"/>
      <c r="L323" s="3191"/>
      <c r="M323" s="3191"/>
      <c r="N323" s="3191"/>
      <c r="O323" s="3191"/>
      <c r="P323" s="3191"/>
      <c r="Q323" s="3191"/>
      <c r="R323" s="3191"/>
      <c r="S323" s="3191"/>
      <c r="T323" s="3191"/>
      <c r="U323" s="3191"/>
    </row>
    <row r="324" spans="1:21" s="958" customFormat="1" ht="14.25" customHeight="1">
      <c r="A324" s="3156" t="s">
        <v>1154</v>
      </c>
      <c r="B324" s="3156" t="s">
        <v>2970</v>
      </c>
      <c r="C324" s="3156"/>
      <c r="D324" s="3156"/>
      <c r="E324" s="3156"/>
      <c r="F324" s="3162">
        <v>930</v>
      </c>
      <c r="G324" s="3164"/>
      <c r="I324" s="955"/>
      <c r="J324" s="3191"/>
      <c r="K324" s="3191"/>
      <c r="L324" s="3191"/>
      <c r="M324" s="3191"/>
      <c r="N324" s="3191"/>
      <c r="O324" s="3191"/>
      <c r="P324" s="3191"/>
      <c r="Q324" s="3191"/>
      <c r="R324" s="3191"/>
      <c r="S324" s="3191"/>
      <c r="T324" s="3191"/>
      <c r="U324" s="3191"/>
    </row>
    <row r="325" spans="1:21" s="958" customFormat="1" ht="14.25" customHeight="1">
      <c r="A325" s="3156" t="s">
        <v>1154</v>
      </c>
      <c r="B325" s="3156" t="s">
        <v>2971</v>
      </c>
      <c r="C325" s="3156"/>
      <c r="D325" s="3156"/>
      <c r="E325" s="3156"/>
      <c r="F325" s="3162">
        <v>900</v>
      </c>
      <c r="G325" s="3162"/>
      <c r="I325" s="955"/>
      <c r="J325" s="3191"/>
      <c r="K325" s="3191"/>
      <c r="L325" s="3191"/>
      <c r="M325" s="3191"/>
      <c r="N325" s="3191"/>
      <c r="O325" s="3191"/>
      <c r="P325" s="3191"/>
      <c r="Q325" s="3191"/>
      <c r="R325" s="3191"/>
      <c r="S325" s="3191"/>
      <c r="T325" s="3191"/>
      <c r="U325" s="3191"/>
    </row>
    <row r="326" spans="1:21" s="958" customFormat="1" ht="14.25" customHeight="1" thickBot="1">
      <c r="A326" s="3171" t="s">
        <v>1154</v>
      </c>
      <c r="B326" s="3159" t="s">
        <v>2972</v>
      </c>
      <c r="C326" s="3159"/>
      <c r="D326" s="3159"/>
      <c r="E326" s="3159"/>
      <c r="F326" s="3160">
        <v>790</v>
      </c>
      <c r="G326" s="3175"/>
      <c r="I326" s="955"/>
      <c r="J326" s="3191"/>
      <c r="K326" s="3191"/>
      <c r="L326" s="3191"/>
      <c r="M326" s="3191"/>
      <c r="N326" s="3191"/>
      <c r="O326" s="3191"/>
      <c r="P326" s="3191"/>
      <c r="Q326" s="3191"/>
      <c r="R326" s="3191"/>
      <c r="S326" s="3191"/>
      <c r="T326" s="3191"/>
      <c r="U326" s="3191"/>
    </row>
    <row r="327" spans="1:21" s="958" customFormat="1" ht="14.25" customHeight="1">
      <c r="A327" s="3170" t="s">
        <v>1155</v>
      </c>
      <c r="B327" s="2404" t="s">
        <v>2973</v>
      </c>
      <c r="C327" s="2404">
        <v>3750</v>
      </c>
      <c r="D327" s="2404">
        <v>3710</v>
      </c>
      <c r="E327" s="2404">
        <v>4080</v>
      </c>
      <c r="F327" s="3178">
        <v>860</v>
      </c>
      <c r="G327" s="3178">
        <v>2210</v>
      </c>
      <c r="I327" s="955"/>
      <c r="J327" s="3191"/>
      <c r="K327" s="3191"/>
      <c r="L327" s="3191"/>
      <c r="M327" s="3191"/>
      <c r="N327" s="3191"/>
      <c r="O327" s="3191"/>
      <c r="P327" s="3191"/>
      <c r="Q327" s="3191"/>
      <c r="R327" s="3191"/>
      <c r="S327" s="3191"/>
      <c r="T327" s="3191"/>
      <c r="U327" s="3191"/>
    </row>
    <row r="328" spans="1:21" s="958" customFormat="1" ht="14.25" customHeight="1">
      <c r="A328" s="3156" t="s">
        <v>1155</v>
      </c>
      <c r="B328" s="3156" t="s">
        <v>979</v>
      </c>
      <c r="C328" s="3156">
        <v>3330</v>
      </c>
      <c r="D328" s="3156">
        <v>3290</v>
      </c>
      <c r="E328" s="3156">
        <v>3610</v>
      </c>
      <c r="F328" s="3156">
        <v>850</v>
      </c>
      <c r="G328" s="3156">
        <v>1960</v>
      </c>
      <c r="H328" s="955"/>
      <c r="I328" s="955"/>
      <c r="J328" s="3191"/>
      <c r="K328" s="3191"/>
      <c r="L328" s="3191"/>
      <c r="M328" s="3191"/>
      <c r="N328" s="3191"/>
      <c r="O328" s="3191"/>
      <c r="P328" s="3191"/>
      <c r="Q328" s="3191"/>
      <c r="R328" s="3191"/>
      <c r="S328" s="3191"/>
      <c r="T328" s="3191"/>
      <c r="U328" s="3191"/>
    </row>
    <row r="329" spans="1:21" s="958" customFormat="1" ht="14.25" customHeight="1">
      <c r="A329" s="3156" t="s">
        <v>1155</v>
      </c>
      <c r="B329" s="3156" t="s">
        <v>2974</v>
      </c>
      <c r="C329" s="3156">
        <v>2730</v>
      </c>
      <c r="D329" s="3156">
        <v>2690</v>
      </c>
      <c r="E329" s="3156">
        <v>3100</v>
      </c>
      <c r="F329" s="3156">
        <v>660</v>
      </c>
      <c r="G329" s="3156">
        <v>1610</v>
      </c>
      <c r="H329" s="955"/>
      <c r="I329" s="955"/>
      <c r="J329" s="3191"/>
      <c r="K329" s="3191"/>
      <c r="L329" s="3191"/>
      <c r="M329" s="3191"/>
      <c r="N329" s="3191"/>
      <c r="O329" s="3191"/>
      <c r="P329" s="3191"/>
      <c r="Q329" s="3191"/>
      <c r="R329" s="3191"/>
      <c r="S329" s="3191"/>
      <c r="T329" s="3191"/>
      <c r="U329" s="3191"/>
    </row>
    <row r="330" spans="1:21" s="958" customFormat="1" ht="14.25" customHeight="1">
      <c r="A330" s="3156" t="s">
        <v>1155</v>
      </c>
      <c r="B330" s="3156" t="s">
        <v>2975</v>
      </c>
      <c r="C330" s="3156">
        <v>3270</v>
      </c>
      <c r="D330" s="3156">
        <v>3240</v>
      </c>
      <c r="E330" s="3156">
        <v>3560</v>
      </c>
      <c r="F330" s="3156">
        <v>680</v>
      </c>
      <c r="G330" s="3165">
        <v>1940</v>
      </c>
      <c r="H330" s="955"/>
      <c r="I330" s="955"/>
      <c r="J330" s="3191"/>
      <c r="K330" s="3191"/>
      <c r="L330" s="3191"/>
      <c r="M330" s="3191"/>
      <c r="N330" s="3191"/>
      <c r="O330" s="3191"/>
      <c r="P330" s="3191"/>
      <c r="Q330" s="3191"/>
      <c r="R330" s="3191"/>
      <c r="S330" s="3191"/>
      <c r="T330" s="3191"/>
      <c r="U330" s="3191"/>
    </row>
    <row r="331" spans="1:21" s="958" customFormat="1" ht="14.25" customHeight="1">
      <c r="A331" s="3156" t="s">
        <v>1155</v>
      </c>
      <c r="B331" s="3156" t="s">
        <v>1006</v>
      </c>
      <c r="C331" s="3156">
        <v>3770</v>
      </c>
      <c r="D331" s="3156">
        <v>3740</v>
      </c>
      <c r="E331" s="3156">
        <v>4110</v>
      </c>
      <c r="F331" s="3156">
        <v>730</v>
      </c>
      <c r="G331" s="3156">
        <v>2230</v>
      </c>
      <c r="H331" s="955"/>
      <c r="I331" s="955"/>
      <c r="J331" s="3191"/>
      <c r="K331" s="3191"/>
      <c r="L331" s="3191"/>
      <c r="M331" s="3191"/>
      <c r="N331" s="3191"/>
      <c r="O331" s="3191"/>
      <c r="P331" s="3191"/>
      <c r="Q331" s="3191"/>
      <c r="R331" s="3191"/>
      <c r="S331" s="3191"/>
      <c r="T331" s="3191"/>
      <c r="U331" s="3191"/>
    </row>
    <row r="332" spans="1:21" s="958" customFormat="1" ht="14.25" customHeight="1">
      <c r="A332" s="3156" t="s">
        <v>1155</v>
      </c>
      <c r="B332" s="3156" t="s">
        <v>2976</v>
      </c>
      <c r="C332" s="3156">
        <v>3520</v>
      </c>
      <c r="D332" s="3156">
        <v>3480</v>
      </c>
      <c r="E332" s="3156">
        <v>3830</v>
      </c>
      <c r="F332" s="3156">
        <v>720</v>
      </c>
      <c r="G332" s="3156">
        <v>2090</v>
      </c>
      <c r="H332" s="955"/>
      <c r="I332" s="955"/>
      <c r="J332" s="3191"/>
      <c r="K332" s="3191"/>
      <c r="L332" s="3191"/>
      <c r="M332" s="3191"/>
      <c r="N332" s="3191"/>
      <c r="O332" s="3191"/>
      <c r="P332" s="3191"/>
      <c r="Q332" s="3191"/>
      <c r="R332" s="3191"/>
      <c r="S332" s="3191"/>
      <c r="T332" s="3191"/>
      <c r="U332" s="3191"/>
    </row>
    <row r="333" spans="1:21" s="958" customFormat="1" ht="14.25" customHeight="1">
      <c r="A333" s="3156" t="s">
        <v>1155</v>
      </c>
      <c r="B333" s="3156" t="s">
        <v>2977</v>
      </c>
      <c r="C333" s="3156">
        <v>3840</v>
      </c>
      <c r="D333" s="3156">
        <v>3800</v>
      </c>
      <c r="E333" s="3156">
        <v>4200</v>
      </c>
      <c r="F333" s="3156">
        <v>760</v>
      </c>
      <c r="G333" s="3156">
        <v>2270</v>
      </c>
      <c r="H333" s="955"/>
      <c r="I333" s="955"/>
      <c r="J333" s="3191"/>
      <c r="K333" s="3191"/>
      <c r="L333" s="3191"/>
      <c r="M333" s="3191"/>
      <c r="N333" s="3191"/>
      <c r="O333" s="3191"/>
      <c r="P333" s="3191"/>
      <c r="Q333" s="3191"/>
      <c r="R333" s="3191"/>
      <c r="S333" s="3191"/>
      <c r="T333" s="3191"/>
      <c r="U333" s="3191"/>
    </row>
    <row r="334" spans="1:21" s="958" customFormat="1" ht="14.25" customHeight="1">
      <c r="A334" s="3156" t="s">
        <v>1155</v>
      </c>
      <c r="B334" s="3156" t="s">
        <v>1028</v>
      </c>
      <c r="C334" s="3156">
        <v>3960</v>
      </c>
      <c r="D334" s="3156">
        <v>3910</v>
      </c>
      <c r="E334" s="3156">
        <v>4340</v>
      </c>
      <c r="F334" s="3156">
        <v>780</v>
      </c>
      <c r="G334" s="3156">
        <v>2340</v>
      </c>
      <c r="H334" s="955"/>
      <c r="I334" s="955"/>
      <c r="J334" s="3191"/>
      <c r="K334" s="3191"/>
      <c r="L334" s="3191"/>
      <c r="M334" s="3191"/>
      <c r="N334" s="3191"/>
      <c r="O334" s="3191"/>
      <c r="P334" s="3191"/>
      <c r="Q334" s="3191"/>
      <c r="R334" s="3191"/>
      <c r="S334" s="3191"/>
      <c r="T334" s="3191"/>
      <c r="U334" s="3191"/>
    </row>
    <row r="335" spans="1:21" s="958" customFormat="1" ht="14.25" customHeight="1">
      <c r="A335" s="3156" t="s">
        <v>1155</v>
      </c>
      <c r="B335" s="3156" t="s">
        <v>1038</v>
      </c>
      <c r="C335" s="3156">
        <v>3710</v>
      </c>
      <c r="D335" s="3156">
        <v>3670</v>
      </c>
      <c r="E335" s="3156">
        <v>4030</v>
      </c>
      <c r="F335" s="3156">
        <v>750</v>
      </c>
      <c r="G335" s="3165">
        <v>2200</v>
      </c>
      <c r="H335" s="955"/>
      <c r="I335" s="955"/>
      <c r="J335" s="3191"/>
      <c r="K335" s="3191"/>
      <c r="L335" s="3191"/>
      <c r="M335" s="3191"/>
      <c r="N335" s="3191"/>
      <c r="O335" s="3191"/>
      <c r="P335" s="3191"/>
      <c r="Q335" s="3191"/>
      <c r="R335" s="3191"/>
      <c r="S335" s="3191"/>
      <c r="T335" s="3191"/>
      <c r="U335" s="3191"/>
    </row>
    <row r="336" spans="1:21" s="958" customFormat="1" ht="14.25" customHeight="1">
      <c r="A336" s="3156" t="s">
        <v>1155</v>
      </c>
      <c r="B336" s="3156" t="s">
        <v>2978</v>
      </c>
      <c r="C336" s="3156">
        <v>3570</v>
      </c>
      <c r="D336" s="3156">
        <v>3530</v>
      </c>
      <c r="E336" s="3156">
        <v>3880</v>
      </c>
      <c r="F336" s="3156">
        <v>770</v>
      </c>
      <c r="G336" s="3156">
        <v>2110</v>
      </c>
      <c r="H336" s="955"/>
      <c r="I336" s="955"/>
      <c r="J336" s="3191"/>
      <c r="K336" s="3191"/>
      <c r="L336" s="3191"/>
      <c r="M336" s="3191"/>
      <c r="N336" s="3191"/>
      <c r="O336" s="3191"/>
      <c r="P336" s="3191"/>
      <c r="Q336" s="3191"/>
      <c r="R336" s="3191"/>
      <c r="S336" s="3191"/>
      <c r="T336" s="3191"/>
      <c r="U336" s="3191"/>
    </row>
    <row r="337" spans="1:21" s="958" customFormat="1" ht="14.25" customHeight="1">
      <c r="A337" s="3156" t="s">
        <v>1155</v>
      </c>
      <c r="B337" s="3156" t="s">
        <v>2979</v>
      </c>
      <c r="C337" s="3156">
        <v>3780</v>
      </c>
      <c r="D337" s="3156">
        <v>3750</v>
      </c>
      <c r="E337" s="3156">
        <v>4130</v>
      </c>
      <c r="F337" s="3156">
        <v>750</v>
      </c>
      <c r="G337" s="3156">
        <v>2240</v>
      </c>
      <c r="H337" s="955"/>
      <c r="I337" s="955"/>
      <c r="J337" s="3191"/>
      <c r="K337" s="3191"/>
      <c r="L337" s="3191"/>
      <c r="M337" s="3191"/>
      <c r="N337" s="3191"/>
      <c r="O337" s="3191"/>
      <c r="P337" s="3191"/>
      <c r="Q337" s="3191"/>
      <c r="R337" s="3191"/>
      <c r="S337" s="3191"/>
      <c r="T337" s="3191"/>
      <c r="U337" s="3191"/>
    </row>
    <row r="338" spans="1:21" s="958" customFormat="1" ht="14.25" customHeight="1">
      <c r="A338" s="3156" t="s">
        <v>1155</v>
      </c>
      <c r="B338" s="3156" t="s">
        <v>1066</v>
      </c>
      <c r="C338" s="3156">
        <v>3600</v>
      </c>
      <c r="D338" s="3156">
        <v>3570</v>
      </c>
      <c r="E338" s="3156">
        <v>3920</v>
      </c>
      <c r="F338" s="3156">
        <v>790</v>
      </c>
      <c r="G338" s="3165">
        <v>2140</v>
      </c>
      <c r="H338" s="955"/>
      <c r="I338" s="955"/>
      <c r="J338" s="3191"/>
      <c r="K338" s="3191"/>
      <c r="L338" s="3191"/>
      <c r="M338" s="3191"/>
      <c r="N338" s="3191"/>
      <c r="O338" s="3191"/>
      <c r="P338" s="3191"/>
      <c r="Q338" s="3191"/>
      <c r="R338" s="3191"/>
      <c r="S338" s="3191"/>
      <c r="T338" s="3191"/>
      <c r="U338" s="3191"/>
    </row>
    <row r="339" spans="1:21" s="958" customFormat="1" ht="14.25" customHeight="1">
      <c r="A339" s="3156" t="s">
        <v>1155</v>
      </c>
      <c r="B339" s="3156" t="s">
        <v>1074</v>
      </c>
      <c r="C339" s="3156">
        <v>3540</v>
      </c>
      <c r="D339" s="3156">
        <v>3500</v>
      </c>
      <c r="E339" s="3156">
        <v>3850</v>
      </c>
      <c r="F339" s="3156">
        <v>780</v>
      </c>
      <c r="G339" s="3165">
        <v>2100</v>
      </c>
      <c r="H339" s="955"/>
      <c r="I339" s="955"/>
      <c r="J339" s="3191"/>
      <c r="K339" s="3191"/>
      <c r="L339" s="3191"/>
      <c r="M339" s="3191"/>
      <c r="N339" s="3191"/>
      <c r="O339" s="3191"/>
      <c r="P339" s="3191"/>
      <c r="Q339" s="3191"/>
      <c r="R339" s="3191"/>
      <c r="S339" s="3191"/>
      <c r="T339" s="3191"/>
      <c r="U339" s="3191"/>
    </row>
    <row r="340" spans="1:21" s="958" customFormat="1" ht="14.25" customHeight="1">
      <c r="A340" s="3156" t="s">
        <v>1155</v>
      </c>
      <c r="B340" s="3156" t="s">
        <v>2980</v>
      </c>
      <c r="C340" s="3156">
        <v>3850</v>
      </c>
      <c r="D340" s="3156">
        <v>3810</v>
      </c>
      <c r="E340" s="3156">
        <v>4210</v>
      </c>
      <c r="F340" s="3156">
        <v>750</v>
      </c>
      <c r="G340" s="3165">
        <v>2280</v>
      </c>
      <c r="H340" s="955"/>
      <c r="I340" s="955"/>
      <c r="J340" s="3191"/>
      <c r="K340" s="3191"/>
      <c r="L340" s="3191"/>
      <c r="M340" s="3191"/>
      <c r="N340" s="3191"/>
      <c r="O340" s="3191"/>
      <c r="P340" s="3191"/>
      <c r="Q340" s="3191"/>
      <c r="R340" s="3191"/>
      <c r="S340" s="3191"/>
      <c r="T340" s="3191"/>
      <c r="U340" s="3191"/>
    </row>
    <row r="341" spans="1:21" s="958" customFormat="1" ht="14.25" customHeight="1">
      <c r="A341" s="3156" t="s">
        <v>1155</v>
      </c>
      <c r="B341" s="3156" t="s">
        <v>1052</v>
      </c>
      <c r="C341" s="3156">
        <v>3780</v>
      </c>
      <c r="D341" s="3156">
        <v>3750</v>
      </c>
      <c r="E341" s="3156">
        <v>4140</v>
      </c>
      <c r="F341" s="3156">
        <v>720</v>
      </c>
      <c r="G341" s="3156">
        <v>2240</v>
      </c>
      <c r="H341" s="955"/>
      <c r="I341" s="955"/>
      <c r="J341" s="3191"/>
      <c r="K341" s="3191"/>
      <c r="L341" s="3191"/>
      <c r="M341" s="3191"/>
      <c r="N341" s="3191"/>
      <c r="O341" s="3191"/>
      <c r="P341" s="3191"/>
      <c r="Q341" s="3191"/>
      <c r="R341" s="3191"/>
      <c r="S341" s="3191"/>
      <c r="T341" s="3191"/>
      <c r="U341" s="3191"/>
    </row>
    <row r="342" spans="1:21" s="958" customFormat="1" ht="14.25" customHeight="1">
      <c r="A342" s="3156" t="s">
        <v>1155</v>
      </c>
      <c r="B342" s="3156" t="s">
        <v>2981</v>
      </c>
      <c r="C342" s="3156">
        <v>3670</v>
      </c>
      <c r="D342" s="3156">
        <v>3620</v>
      </c>
      <c r="E342" s="3156">
        <v>3990</v>
      </c>
      <c r="F342" s="3156">
        <v>760</v>
      </c>
      <c r="G342" s="3156">
        <v>2170</v>
      </c>
      <c r="H342" s="955"/>
      <c r="I342" s="955"/>
      <c r="J342" s="3191"/>
      <c r="K342" s="3191"/>
      <c r="L342" s="3191"/>
      <c r="M342" s="3191"/>
      <c r="N342" s="3191"/>
      <c r="O342" s="3191"/>
      <c r="P342" s="3191"/>
      <c r="Q342" s="3191"/>
      <c r="R342" s="3191"/>
      <c r="S342" s="3191"/>
      <c r="T342" s="3191"/>
      <c r="U342" s="3191"/>
    </row>
    <row r="343" spans="1:21" s="958" customFormat="1" ht="14.25" customHeight="1">
      <c r="A343" s="3156" t="s">
        <v>1155</v>
      </c>
      <c r="B343" s="3156" t="s">
        <v>1103</v>
      </c>
      <c r="C343" s="3156">
        <v>3760</v>
      </c>
      <c r="D343" s="3156">
        <v>3720</v>
      </c>
      <c r="E343" s="3156">
        <v>4090</v>
      </c>
      <c r="F343" s="3156">
        <v>780</v>
      </c>
      <c r="G343" s="3156">
        <v>2220</v>
      </c>
      <c r="H343" s="955"/>
      <c r="I343" s="955"/>
      <c r="J343" s="3191"/>
      <c r="K343" s="3191"/>
      <c r="L343" s="3191"/>
      <c r="M343" s="3191"/>
      <c r="N343" s="3191"/>
      <c r="O343" s="3191"/>
      <c r="P343" s="3191"/>
      <c r="Q343" s="3191"/>
      <c r="R343" s="3191"/>
      <c r="S343" s="3191"/>
      <c r="T343" s="3191"/>
      <c r="U343" s="3191"/>
    </row>
    <row r="344" spans="1:21" s="958" customFormat="1" ht="14.25" customHeight="1">
      <c r="A344" s="3156" t="s">
        <v>1155</v>
      </c>
      <c r="B344" s="3156" t="s">
        <v>1111</v>
      </c>
      <c r="C344" s="3156">
        <v>3680</v>
      </c>
      <c r="D344" s="3156">
        <v>3640</v>
      </c>
      <c r="E344" s="3156">
        <v>4010</v>
      </c>
      <c r="F344" s="3156">
        <v>750</v>
      </c>
      <c r="G344" s="3156">
        <v>2180</v>
      </c>
      <c r="H344" s="955"/>
      <c r="I344" s="955"/>
      <c r="J344" s="3191"/>
      <c r="K344" s="3191"/>
      <c r="L344" s="3191"/>
      <c r="M344" s="3191"/>
      <c r="N344" s="3191"/>
      <c r="O344" s="3191"/>
      <c r="P344" s="3191"/>
      <c r="Q344" s="3191"/>
      <c r="R344" s="3191"/>
      <c r="S344" s="3191"/>
      <c r="T344" s="3191"/>
      <c r="U344" s="3191"/>
    </row>
    <row r="345" spans="1:21">
      <c r="A345" s="3165" t="s">
        <v>1155</v>
      </c>
      <c r="B345" s="3165" t="s">
        <v>2982</v>
      </c>
      <c r="C345" s="3165">
        <v>3190</v>
      </c>
      <c r="D345" s="3165">
        <v>3140</v>
      </c>
      <c r="E345" s="3165">
        <v>3450</v>
      </c>
      <c r="F345" s="3165">
        <v>720</v>
      </c>
      <c r="G345" s="3165">
        <v>1880</v>
      </c>
      <c r="H345" s="955"/>
    </row>
    <row r="346" spans="1:21">
      <c r="A346" s="3165" t="s">
        <v>1155</v>
      </c>
      <c r="B346" s="3165" t="s">
        <v>2983</v>
      </c>
      <c r="C346" s="3165">
        <v>3630</v>
      </c>
      <c r="D346" s="3165">
        <v>3590</v>
      </c>
      <c r="E346" s="3165">
        <v>3940</v>
      </c>
      <c r="F346" s="3165">
        <v>730</v>
      </c>
      <c r="G346" s="3165">
        <v>2150</v>
      </c>
      <c r="H346" s="955"/>
    </row>
    <row r="347" spans="1:21">
      <c r="A347" s="3165" t="s">
        <v>1155</v>
      </c>
      <c r="B347" s="3165" t="s">
        <v>1089</v>
      </c>
      <c r="C347" s="3165">
        <v>3860</v>
      </c>
      <c r="D347" s="3165">
        <v>3820</v>
      </c>
      <c r="E347" s="3165">
        <v>4220</v>
      </c>
      <c r="F347" s="3165">
        <v>750</v>
      </c>
      <c r="G347" s="3165">
        <v>2280</v>
      </c>
      <c r="H347" s="955"/>
    </row>
    <row r="348" spans="1:21">
      <c r="A348" s="3165" t="s">
        <v>1155</v>
      </c>
      <c r="B348" s="3165" t="s">
        <v>2984</v>
      </c>
      <c r="C348" s="3165">
        <v>4000</v>
      </c>
      <c r="D348" s="3165">
        <v>3950</v>
      </c>
      <c r="E348" s="3165">
        <v>4430</v>
      </c>
      <c r="F348" s="3165">
        <v>760</v>
      </c>
      <c r="G348" s="3165">
        <v>2360</v>
      </c>
      <c r="H348" s="955"/>
    </row>
    <row r="349" spans="1:21">
      <c r="A349" s="3165" t="s">
        <v>1155</v>
      </c>
      <c r="B349" s="3165" t="s">
        <v>2985</v>
      </c>
      <c r="C349" s="3165">
        <v>3820</v>
      </c>
      <c r="D349" s="3165">
        <v>3780</v>
      </c>
      <c r="E349" s="3165">
        <v>4170</v>
      </c>
      <c r="F349" s="3165">
        <v>710</v>
      </c>
      <c r="G349" s="3165">
        <v>2260</v>
      </c>
      <c r="H349" s="955"/>
    </row>
    <row r="350" spans="1:21">
      <c r="A350" s="3165" t="s">
        <v>1155</v>
      </c>
      <c r="B350" s="3165" t="s">
        <v>2986</v>
      </c>
      <c r="C350" s="3165">
        <v>3760</v>
      </c>
      <c r="D350" s="3165">
        <v>3730</v>
      </c>
      <c r="E350" s="3165">
        <v>4100</v>
      </c>
      <c r="F350" s="3165">
        <v>800</v>
      </c>
      <c r="G350" s="3165">
        <v>2230</v>
      </c>
      <c r="H350" s="955"/>
    </row>
    <row r="351" spans="1:21">
      <c r="A351" s="3165" t="s">
        <v>1155</v>
      </c>
      <c r="B351" s="3165" t="s">
        <v>2987</v>
      </c>
      <c r="C351" s="3165">
        <v>3610</v>
      </c>
      <c r="D351" s="3165">
        <v>3580</v>
      </c>
      <c r="E351" s="3165">
        <v>3930</v>
      </c>
      <c r="F351" s="3165">
        <v>700</v>
      </c>
      <c r="G351" s="3165">
        <v>2140</v>
      </c>
      <c r="H351" s="955"/>
    </row>
    <row r="352" spans="1:21">
      <c r="A352" s="3165" t="s">
        <v>1155</v>
      </c>
      <c r="B352" s="3165" t="s">
        <v>2988</v>
      </c>
      <c r="C352" s="3165">
        <v>3670</v>
      </c>
      <c r="D352" s="3165">
        <v>3630</v>
      </c>
      <c r="E352" s="3165">
        <v>4000</v>
      </c>
      <c r="F352" s="3165">
        <v>750</v>
      </c>
      <c r="G352" s="3165">
        <v>2180</v>
      </c>
      <c r="H352" s="955"/>
    </row>
    <row r="353" spans="1:8">
      <c r="A353" s="3165" t="s">
        <v>1155</v>
      </c>
      <c r="B353" s="3165" t="s">
        <v>2989</v>
      </c>
      <c r="C353" s="3165">
        <v>3190</v>
      </c>
      <c r="D353" s="3165">
        <v>3150</v>
      </c>
      <c r="E353" s="3165">
        <v>3640</v>
      </c>
      <c r="F353" s="3165">
        <v>630</v>
      </c>
      <c r="G353" s="3165">
        <v>1890</v>
      </c>
      <c r="H353" s="955"/>
    </row>
    <row r="354" spans="1:8">
      <c r="A354" s="3165" t="s">
        <v>1155</v>
      </c>
      <c r="B354" s="3165" t="s">
        <v>1127</v>
      </c>
      <c r="C354" s="3165">
        <v>3450</v>
      </c>
      <c r="D354" s="3165">
        <v>3420</v>
      </c>
      <c r="E354" s="3165">
        <v>3960</v>
      </c>
      <c r="F354" s="3165">
        <v>660</v>
      </c>
      <c r="G354" s="3165">
        <v>2050</v>
      </c>
      <c r="H354" s="955"/>
    </row>
    <row r="355" spans="1:8">
      <c r="A355" s="3165" t="s">
        <v>1155</v>
      </c>
      <c r="B355" s="3165" t="s">
        <v>2990</v>
      </c>
      <c r="C355" s="3165">
        <v>3650</v>
      </c>
      <c r="D355" s="3165">
        <v>3610</v>
      </c>
      <c r="E355" s="3165">
        <v>4200</v>
      </c>
      <c r="F355" s="3165">
        <v>640</v>
      </c>
      <c r="G355" s="3165">
        <v>2160</v>
      </c>
      <c r="H355" s="955"/>
    </row>
    <row r="356" spans="1:8">
      <c r="A356" s="3165" t="s">
        <v>1155</v>
      </c>
      <c r="B356" s="3165" t="s">
        <v>2991</v>
      </c>
      <c r="C356" s="3165">
        <v>3260</v>
      </c>
      <c r="D356" s="3165">
        <v>3230</v>
      </c>
      <c r="E356" s="3165">
        <v>3740</v>
      </c>
      <c r="F356" s="3165">
        <v>600</v>
      </c>
      <c r="G356" s="3165">
        <v>1930</v>
      </c>
      <c r="H356" s="955"/>
    </row>
    <row r="357" spans="1:8" ht="14.25" thickBot="1">
      <c r="A357" s="3180" t="s">
        <v>1155</v>
      </c>
      <c r="B357" s="3180" t="s">
        <v>2992</v>
      </c>
      <c r="C357" s="3180">
        <v>3690</v>
      </c>
      <c r="D357" s="3180">
        <v>3650</v>
      </c>
      <c r="E357" s="3180">
        <v>4020</v>
      </c>
      <c r="F357" s="3180">
        <v>700</v>
      </c>
      <c r="G357" s="3180">
        <v>2190</v>
      </c>
      <c r="H357" s="955"/>
    </row>
    <row r="358" spans="1:8">
      <c r="A358" s="3181" t="s">
        <v>2750</v>
      </c>
      <c r="B358" s="3182" t="s">
        <v>2993</v>
      </c>
      <c r="C358" s="3182">
        <v>2080</v>
      </c>
      <c r="D358" s="3182">
        <v>2040</v>
      </c>
      <c r="E358" s="3182">
        <v>2010</v>
      </c>
      <c r="F358" s="3182">
        <v>530</v>
      </c>
      <c r="G358" s="3183">
        <v>1230</v>
      </c>
      <c r="H358" s="955"/>
    </row>
    <row r="359" spans="1:8">
      <c r="A359" s="3184" t="s">
        <v>2750</v>
      </c>
      <c r="B359" s="3165" t="s">
        <v>2994</v>
      </c>
      <c r="C359" s="3165">
        <v>1850</v>
      </c>
      <c r="D359" s="3165">
        <v>1820</v>
      </c>
      <c r="E359" s="3165">
        <v>1780</v>
      </c>
      <c r="F359" s="3165">
        <v>520</v>
      </c>
      <c r="G359" s="3177">
        <v>1100</v>
      </c>
      <c r="H359" s="955"/>
    </row>
    <row r="360" spans="1:8">
      <c r="A360" s="3184" t="s">
        <v>2750</v>
      </c>
      <c r="B360" s="3165" t="s">
        <v>2995</v>
      </c>
      <c r="C360" s="3165">
        <v>2020</v>
      </c>
      <c r="D360" s="3165">
        <v>1990</v>
      </c>
      <c r="E360" s="3165">
        <v>1950</v>
      </c>
      <c r="F360" s="3165">
        <v>500</v>
      </c>
      <c r="G360" s="3177">
        <v>1200</v>
      </c>
      <c r="H360" s="955"/>
    </row>
    <row r="361" spans="1:8">
      <c r="A361" s="3184" t="s">
        <v>2750</v>
      </c>
      <c r="B361" s="3165" t="s">
        <v>997</v>
      </c>
      <c r="C361" s="3165">
        <v>2260</v>
      </c>
      <c r="D361" s="3165">
        <v>2220</v>
      </c>
      <c r="E361" s="3165">
        <v>2180</v>
      </c>
      <c r="F361" s="3165">
        <v>580</v>
      </c>
      <c r="G361" s="3177">
        <v>1340</v>
      </c>
      <c r="H361" s="955"/>
    </row>
    <row r="362" spans="1:8">
      <c r="A362" s="3184" t="s">
        <v>2750</v>
      </c>
      <c r="B362" s="3165" t="s">
        <v>2996</v>
      </c>
      <c r="C362" s="3165">
        <v>2650</v>
      </c>
      <c r="D362" s="3165">
        <v>2610</v>
      </c>
      <c r="E362" s="3165">
        <v>2570</v>
      </c>
      <c r="F362" s="3165">
        <v>630</v>
      </c>
      <c r="G362" s="3177">
        <v>1570</v>
      </c>
      <c r="H362" s="955"/>
    </row>
    <row r="363" spans="1:8">
      <c r="A363" s="3184" t="s">
        <v>2750</v>
      </c>
      <c r="B363" s="3165" t="s">
        <v>2997</v>
      </c>
      <c r="C363" s="3165">
        <v>2390</v>
      </c>
      <c r="D363" s="3165">
        <v>2360</v>
      </c>
      <c r="E363" s="3165">
        <v>2320</v>
      </c>
      <c r="F363" s="3165">
        <v>600</v>
      </c>
      <c r="G363" s="3177">
        <v>1420</v>
      </c>
      <c r="H363" s="955"/>
    </row>
    <row r="364" spans="1:8">
      <c r="A364" s="3184" t="s">
        <v>2750</v>
      </c>
      <c r="B364" s="3165" t="s">
        <v>2998</v>
      </c>
      <c r="C364" s="3165">
        <v>2050</v>
      </c>
      <c r="D364" s="3165">
        <v>2030</v>
      </c>
      <c r="E364" s="3165">
        <v>1990</v>
      </c>
      <c r="F364" s="3165">
        <v>550</v>
      </c>
      <c r="G364" s="3177">
        <v>1220</v>
      </c>
      <c r="H364" s="955"/>
    </row>
    <row r="365" spans="1:8">
      <c r="A365" s="3184" t="s">
        <v>2750</v>
      </c>
      <c r="B365" s="3165" t="s">
        <v>1045</v>
      </c>
      <c r="C365" s="3165">
        <v>2140</v>
      </c>
      <c r="D365" s="3165">
        <v>2100</v>
      </c>
      <c r="E365" s="3165">
        <v>2060</v>
      </c>
      <c r="F365" s="3165">
        <v>540</v>
      </c>
      <c r="G365" s="3177">
        <v>1270</v>
      </c>
      <c r="H365" s="955"/>
    </row>
    <row r="366" spans="1:8">
      <c r="A366" s="3184" t="s">
        <v>2750</v>
      </c>
      <c r="B366" s="3165" t="s">
        <v>2999</v>
      </c>
      <c r="C366" s="3165">
        <v>2410</v>
      </c>
      <c r="D366" s="3165">
        <v>2370</v>
      </c>
      <c r="E366" s="3165">
        <v>2330</v>
      </c>
      <c r="F366" s="3165">
        <v>570</v>
      </c>
      <c r="G366" s="3177">
        <v>1440</v>
      </c>
      <c r="H366" s="955"/>
    </row>
    <row r="367" spans="1:8">
      <c r="A367" s="3184" t="s">
        <v>2750</v>
      </c>
      <c r="B367" s="3165" t="s">
        <v>3000</v>
      </c>
      <c r="C367" s="3165">
        <v>2300</v>
      </c>
      <c r="D367" s="3165">
        <v>2260</v>
      </c>
      <c r="E367" s="3165">
        <v>2220</v>
      </c>
      <c r="F367" s="3165">
        <v>560</v>
      </c>
      <c r="G367" s="3177">
        <v>1370</v>
      </c>
      <c r="H367" s="955"/>
    </row>
    <row r="368" spans="1:8">
      <c r="A368" s="3184" t="s">
        <v>2750</v>
      </c>
      <c r="B368" s="3165" t="s">
        <v>3001</v>
      </c>
      <c r="C368" s="3165">
        <v>2430</v>
      </c>
      <c r="D368" s="3165">
        <v>2390</v>
      </c>
      <c r="E368" s="3165">
        <v>2350</v>
      </c>
      <c r="F368" s="3165">
        <v>570</v>
      </c>
      <c r="G368" s="3177">
        <v>1450</v>
      </c>
      <c r="H368" s="955"/>
    </row>
    <row r="369" spans="1:8">
      <c r="A369" s="3184" t="s">
        <v>2750</v>
      </c>
      <c r="B369" s="3165" t="s">
        <v>1059</v>
      </c>
      <c r="C369" s="3165">
        <v>2320</v>
      </c>
      <c r="D369" s="3165">
        <v>2290</v>
      </c>
      <c r="E369" s="3165">
        <v>2250</v>
      </c>
      <c r="F369" s="3165">
        <v>550</v>
      </c>
      <c r="G369" s="3177">
        <v>1380</v>
      </c>
      <c r="H369" s="955"/>
    </row>
    <row r="370" spans="1:8">
      <c r="A370" s="3184" t="s">
        <v>2750</v>
      </c>
      <c r="B370" s="3165" t="s">
        <v>1067</v>
      </c>
      <c r="C370" s="3165">
        <v>2190</v>
      </c>
      <c r="D370" s="3165">
        <v>2170</v>
      </c>
      <c r="E370" s="3165">
        <v>2130</v>
      </c>
      <c r="F370" s="3165">
        <v>530</v>
      </c>
      <c r="G370" s="3177">
        <v>1310</v>
      </c>
      <c r="H370" s="955"/>
    </row>
    <row r="371" spans="1:8">
      <c r="A371" s="3184" t="s">
        <v>2750</v>
      </c>
      <c r="B371" s="3165" t="s">
        <v>1075</v>
      </c>
      <c r="C371" s="3165">
        <v>2460</v>
      </c>
      <c r="D371" s="3165">
        <v>2420</v>
      </c>
      <c r="E371" s="3165">
        <v>2370</v>
      </c>
      <c r="F371" s="3165">
        <v>560</v>
      </c>
      <c r="G371" s="3177">
        <v>1470</v>
      </c>
      <c r="H371" s="955"/>
    </row>
    <row r="372" spans="1:8">
      <c r="A372" s="3184" t="s">
        <v>2750</v>
      </c>
      <c r="B372" s="3165" t="s">
        <v>3002</v>
      </c>
      <c r="C372" s="3165">
        <v>2250</v>
      </c>
      <c r="D372" s="3165">
        <v>2210</v>
      </c>
      <c r="E372" s="3165">
        <v>2180</v>
      </c>
      <c r="F372" s="3165">
        <v>550</v>
      </c>
      <c r="G372" s="3177">
        <v>1340</v>
      </c>
      <c r="H372" s="955"/>
    </row>
    <row r="373" spans="1:8">
      <c r="A373" s="3184" t="s">
        <v>2750</v>
      </c>
      <c r="B373" s="3165" t="s">
        <v>1104</v>
      </c>
      <c r="C373" s="3165">
        <v>2210</v>
      </c>
      <c r="D373" s="3165">
        <v>2190</v>
      </c>
      <c r="E373" s="3165">
        <v>2150</v>
      </c>
      <c r="F373" s="3165">
        <v>530</v>
      </c>
      <c r="G373" s="3177">
        <v>1320</v>
      </c>
      <c r="H373" s="955"/>
    </row>
    <row r="374" spans="1:8">
      <c r="A374" s="3184" t="s">
        <v>2750</v>
      </c>
      <c r="B374" s="3165" t="s">
        <v>1112</v>
      </c>
      <c r="C374" s="3165">
        <v>2320</v>
      </c>
      <c r="D374" s="3165">
        <v>2280</v>
      </c>
      <c r="E374" s="3165">
        <v>2230</v>
      </c>
      <c r="F374" s="3165">
        <v>580</v>
      </c>
      <c r="G374" s="3177">
        <v>1380</v>
      </c>
      <c r="H374" s="955"/>
    </row>
    <row r="375" spans="1:8">
      <c r="A375" s="3184" t="s">
        <v>2750</v>
      </c>
      <c r="B375" s="3165" t="s">
        <v>3003</v>
      </c>
      <c r="C375" s="3165">
        <v>2090</v>
      </c>
      <c r="D375" s="3165">
        <v>2050</v>
      </c>
      <c r="E375" s="3165">
        <v>2020</v>
      </c>
      <c r="F375" s="3165">
        <v>520</v>
      </c>
      <c r="G375" s="3177">
        <v>1240</v>
      </c>
      <c r="H375" s="955"/>
    </row>
    <row r="376" spans="1:8">
      <c r="A376" s="3184" t="s">
        <v>2750</v>
      </c>
      <c r="B376" s="3165" t="s">
        <v>1124</v>
      </c>
      <c r="C376" s="3165">
        <v>2010</v>
      </c>
      <c r="D376" s="3165">
        <v>1980</v>
      </c>
      <c r="E376" s="3165">
        <v>1940</v>
      </c>
      <c r="F376" s="3165">
        <v>540</v>
      </c>
      <c r="G376" s="3177">
        <v>1190</v>
      </c>
      <c r="H376" s="955"/>
    </row>
    <row r="377" spans="1:8" ht="14.25" thickBot="1">
      <c r="A377" s="3186" t="s">
        <v>2750</v>
      </c>
      <c r="B377" s="3180" t="s">
        <v>3004</v>
      </c>
      <c r="C377" s="3180">
        <v>1930</v>
      </c>
      <c r="D377" s="3180">
        <v>1890</v>
      </c>
      <c r="E377" s="3180">
        <v>1860</v>
      </c>
      <c r="F377" s="3180">
        <v>530</v>
      </c>
      <c r="G377" s="3187">
        <v>1150</v>
      </c>
      <c r="H377" s="955"/>
    </row>
    <row r="378" spans="1:8">
      <c r="A378" s="3181" t="s">
        <v>2751</v>
      </c>
      <c r="B378" s="3182" t="s">
        <v>3005</v>
      </c>
      <c r="C378" s="3182">
        <v>1520</v>
      </c>
      <c r="D378" s="3182">
        <v>1490</v>
      </c>
      <c r="E378" s="3182">
        <v>1460</v>
      </c>
      <c r="F378" s="3182">
        <v>460</v>
      </c>
      <c r="G378" s="3183">
        <v>940</v>
      </c>
      <c r="H378" s="955"/>
    </row>
    <row r="379" spans="1:8">
      <c r="A379" s="3184" t="s">
        <v>2751</v>
      </c>
      <c r="B379" s="3165" t="s">
        <v>3006</v>
      </c>
      <c r="C379" s="3165">
        <v>1500</v>
      </c>
      <c r="D379" s="3165">
        <v>1470</v>
      </c>
      <c r="E379" s="3165">
        <v>1430</v>
      </c>
      <c r="F379" s="3165">
        <v>460</v>
      </c>
      <c r="G379" s="3177">
        <v>920</v>
      </c>
      <c r="H379" s="955"/>
    </row>
    <row r="380" spans="1:8">
      <c r="A380" s="3184" t="s">
        <v>2751</v>
      </c>
      <c r="B380" s="3165" t="s">
        <v>3007</v>
      </c>
      <c r="C380" s="3165">
        <v>1620</v>
      </c>
      <c r="D380" s="3165">
        <v>1590</v>
      </c>
      <c r="E380" s="3165">
        <v>1560</v>
      </c>
      <c r="F380" s="3165">
        <v>480</v>
      </c>
      <c r="G380" s="3177">
        <v>1000</v>
      </c>
      <c r="H380" s="955"/>
    </row>
    <row r="381" spans="1:8">
      <c r="A381" s="3184" t="s">
        <v>2751</v>
      </c>
      <c r="B381" s="3165" t="s">
        <v>3008</v>
      </c>
      <c r="C381" s="3165">
        <v>1460</v>
      </c>
      <c r="D381" s="3165">
        <v>1430</v>
      </c>
      <c r="E381" s="3165">
        <v>1390</v>
      </c>
      <c r="F381" s="3165">
        <v>450</v>
      </c>
      <c r="G381" s="3177">
        <v>900</v>
      </c>
      <c r="H381" s="955"/>
    </row>
    <row r="382" spans="1:8">
      <c r="A382" s="3184" t="s">
        <v>2751</v>
      </c>
      <c r="B382" s="3165" t="s">
        <v>3009</v>
      </c>
      <c r="C382" s="3165">
        <v>1310</v>
      </c>
      <c r="D382" s="3165">
        <v>1280</v>
      </c>
      <c r="E382" s="3165">
        <v>1250</v>
      </c>
      <c r="F382" s="3165">
        <v>440</v>
      </c>
      <c r="G382" s="3177">
        <v>800</v>
      </c>
      <c r="H382" s="955"/>
    </row>
    <row r="383" spans="1:8">
      <c r="A383" s="3184" t="s">
        <v>2751</v>
      </c>
      <c r="B383" s="3165" t="s">
        <v>3010</v>
      </c>
      <c r="C383" s="3165">
        <v>1260</v>
      </c>
      <c r="D383" s="3165">
        <v>1230</v>
      </c>
      <c r="E383" s="3165">
        <v>1200</v>
      </c>
      <c r="F383" s="3165">
        <v>420</v>
      </c>
      <c r="G383" s="3177">
        <v>770</v>
      </c>
      <c r="H383" s="955"/>
    </row>
    <row r="384" spans="1:8" ht="14.25" thickBot="1">
      <c r="A384" s="3185" t="s">
        <v>2751</v>
      </c>
      <c r="B384" s="3179" t="s">
        <v>3011</v>
      </c>
      <c r="C384" s="3179">
        <v>1170</v>
      </c>
      <c r="D384" s="3179">
        <v>1140</v>
      </c>
      <c r="E384" s="3179">
        <v>1120</v>
      </c>
      <c r="F384" s="3179">
        <v>400</v>
      </c>
      <c r="G384" s="3175">
        <v>710</v>
      </c>
      <c r="H384" s="95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79" t="s">
        <v>3174</v>
      </c>
      <c r="B1" s="3679"/>
      <c r="C1" s="3679"/>
      <c r="D1" s="3679"/>
      <c r="E1" s="3679"/>
      <c r="F1" s="3680"/>
    </row>
    <row r="2" spans="1:6">
      <c r="A2" s="3230" t="s">
        <v>3175</v>
      </c>
      <c r="B2" s="1488"/>
      <c r="C2" s="1488"/>
      <c r="D2" s="1488"/>
      <c r="E2" s="1488"/>
      <c r="F2" s="1488"/>
    </row>
    <row r="3" spans="1:6">
      <c r="A3" s="3230" t="s">
        <v>3176</v>
      </c>
      <c r="B3" s="1488"/>
      <c r="C3" s="1488"/>
      <c r="D3" s="1488"/>
      <c r="E3" s="1488"/>
      <c r="F3" s="3231" t="s">
        <v>3177</v>
      </c>
    </row>
    <row r="4" spans="1:6">
      <c r="A4" s="3232" t="s">
        <v>3172</v>
      </c>
      <c r="B4" s="3232" t="s">
        <v>2726</v>
      </c>
      <c r="C4" s="3232" t="s">
        <v>1210</v>
      </c>
      <c r="D4" s="3232" t="s">
        <v>3173</v>
      </c>
      <c r="E4" s="3232" t="s">
        <v>903</v>
      </c>
      <c r="F4" s="3232" t="s">
        <v>3178</v>
      </c>
    </row>
    <row r="5" spans="1:6">
      <c r="A5" s="3233" t="s">
        <v>2749</v>
      </c>
      <c r="B5" s="3232"/>
      <c r="C5" s="3232"/>
      <c r="D5" s="3232"/>
      <c r="E5" s="3232"/>
      <c r="F5" s="3234"/>
    </row>
    <row r="6" spans="1:6">
      <c r="A6" s="3233" t="s">
        <v>988</v>
      </c>
      <c r="B6" s="3235">
        <v>35380</v>
      </c>
      <c r="C6" s="3235">
        <v>35180</v>
      </c>
      <c r="D6" s="3235">
        <v>35030</v>
      </c>
      <c r="E6" s="3235">
        <v>13780</v>
      </c>
      <c r="F6" s="3235">
        <v>25980</v>
      </c>
    </row>
    <row r="7" spans="1:6">
      <c r="A7" s="3233" t="s">
        <v>1029</v>
      </c>
      <c r="B7" s="3235">
        <v>29960</v>
      </c>
      <c r="C7" s="3235">
        <v>29800</v>
      </c>
      <c r="D7" s="3235">
        <v>29690</v>
      </c>
      <c r="E7" s="3235">
        <v>10100</v>
      </c>
      <c r="F7" s="3235">
        <v>21690</v>
      </c>
    </row>
    <row r="8" spans="1:6">
      <c r="A8" s="3233" t="s">
        <v>1143</v>
      </c>
      <c r="B8" s="3235">
        <v>24480</v>
      </c>
      <c r="C8" s="3235">
        <v>24380</v>
      </c>
      <c r="D8" s="3235">
        <v>25590</v>
      </c>
      <c r="E8" s="3235">
        <v>7010</v>
      </c>
      <c r="F8" s="3235">
        <v>17060</v>
      </c>
    </row>
    <row r="9" spans="1:6">
      <c r="A9" s="3233" t="s">
        <v>851</v>
      </c>
      <c r="B9" s="3235">
        <v>19370</v>
      </c>
      <c r="C9" s="3235">
        <v>19290</v>
      </c>
      <c r="D9" s="3235">
        <v>21280</v>
      </c>
      <c r="E9" s="3235">
        <v>4910</v>
      </c>
      <c r="F9" s="3235">
        <v>13090</v>
      </c>
    </row>
    <row r="10" spans="1:6">
      <c r="A10" s="3233" t="s">
        <v>1150</v>
      </c>
      <c r="B10" s="3235">
        <v>15050</v>
      </c>
      <c r="C10" s="3235">
        <v>14980</v>
      </c>
      <c r="D10" s="3235">
        <v>17300</v>
      </c>
      <c r="E10" s="3235">
        <v>3450</v>
      </c>
      <c r="F10" s="3235">
        <v>9900</v>
      </c>
    </row>
    <row r="11" spans="1:6">
      <c r="A11" s="3233" t="s">
        <v>1151</v>
      </c>
      <c r="B11" s="3235">
        <v>11550</v>
      </c>
      <c r="C11" s="3235">
        <v>11490</v>
      </c>
      <c r="D11" s="3235">
        <v>13850</v>
      </c>
      <c r="E11" s="3235">
        <v>2400</v>
      </c>
      <c r="F11" s="3235">
        <v>7390</v>
      </c>
    </row>
    <row r="12" spans="1:6">
      <c r="A12" s="3233" t="s">
        <v>1152</v>
      </c>
      <c r="B12" s="3235">
        <v>8630</v>
      </c>
      <c r="C12" s="3235">
        <v>8580</v>
      </c>
      <c r="D12" s="3235">
        <v>10740</v>
      </c>
      <c r="E12" s="3235">
        <v>1720</v>
      </c>
      <c r="F12" s="3235">
        <v>5420</v>
      </c>
    </row>
    <row r="13" spans="1:6">
      <c r="A13" s="3233" t="s">
        <v>1153</v>
      </c>
      <c r="B13" s="3235">
        <v>6620</v>
      </c>
      <c r="C13" s="3235">
        <v>6580</v>
      </c>
      <c r="D13" s="3235">
        <v>7830</v>
      </c>
      <c r="E13" s="3235">
        <v>1260</v>
      </c>
      <c r="F13" s="3235">
        <v>4040</v>
      </c>
    </row>
    <row r="14" spans="1:6">
      <c r="A14" s="3233" t="s">
        <v>1154</v>
      </c>
      <c r="B14" s="3235">
        <v>4900</v>
      </c>
      <c r="C14" s="3235">
        <v>4860</v>
      </c>
      <c r="D14" s="3235">
        <v>5540</v>
      </c>
      <c r="E14" s="3235">
        <v>950</v>
      </c>
      <c r="F14" s="3235">
        <v>2930</v>
      </c>
    </row>
    <row r="15" spans="1:6">
      <c r="A15" s="3233" t="s">
        <v>1155</v>
      </c>
      <c r="B15" s="3235">
        <v>3380</v>
      </c>
      <c r="C15" s="3235">
        <v>3340</v>
      </c>
      <c r="D15" s="3235">
        <v>3630</v>
      </c>
      <c r="E15" s="3235">
        <v>730</v>
      </c>
      <c r="F15" s="3235">
        <v>1990</v>
      </c>
    </row>
    <row r="16" spans="1:6">
      <c r="A16" s="3233" t="s">
        <v>2750</v>
      </c>
      <c r="B16" s="3235">
        <v>2230</v>
      </c>
      <c r="C16" s="3235">
        <v>2200</v>
      </c>
      <c r="D16" s="3235">
        <v>2180</v>
      </c>
      <c r="E16" s="3235">
        <v>570</v>
      </c>
      <c r="F16" s="3235">
        <v>1330</v>
      </c>
    </row>
    <row r="17" spans="1:6">
      <c r="A17" s="3233" t="s">
        <v>2751</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7"/>
    <col min="2" max="16384" width="9" style="919"/>
  </cols>
  <sheetData>
    <row r="1" spans="1:14" ht="14.25">
      <c r="A1" s="3083" t="s">
        <v>2763</v>
      </c>
      <c r="B1" s="918"/>
      <c r="C1" s="918"/>
      <c r="D1" s="918"/>
      <c r="E1" s="918"/>
      <c r="F1" s="918"/>
      <c r="G1" s="918"/>
      <c r="H1" s="918"/>
      <c r="I1" s="918"/>
      <c r="J1" s="918"/>
      <c r="K1" s="918"/>
      <c r="L1" s="918"/>
      <c r="M1" s="918"/>
      <c r="N1" s="918"/>
    </row>
    <row r="2" spans="1:14">
      <c r="A2" s="920" t="s">
        <v>1548</v>
      </c>
      <c r="B2" s="921" t="s">
        <v>988</v>
      </c>
      <c r="C2" s="921" t="s">
        <v>1029</v>
      </c>
      <c r="D2" s="921" t="s">
        <v>1143</v>
      </c>
      <c r="E2" s="921" t="s">
        <v>851</v>
      </c>
      <c r="F2" s="921" t="s">
        <v>1150</v>
      </c>
      <c r="G2" s="921" t="s">
        <v>1151</v>
      </c>
      <c r="H2" s="922" t="s">
        <v>1152</v>
      </c>
      <c r="I2" s="922" t="s">
        <v>1153</v>
      </c>
      <c r="J2" s="923" t="s">
        <v>1154</v>
      </c>
      <c r="K2" s="923" t="s">
        <v>1155</v>
      </c>
      <c r="L2" s="923" t="s">
        <v>2750</v>
      </c>
      <c r="M2" s="923" t="s">
        <v>2751</v>
      </c>
    </row>
    <row r="3" spans="1:14">
      <c r="A3" s="920">
        <v>1</v>
      </c>
      <c r="B3" s="929">
        <v>1.2574000000000001</v>
      </c>
      <c r="C3" s="929">
        <v>1.2574000000000001</v>
      </c>
      <c r="D3" s="929">
        <v>1.2299</v>
      </c>
      <c r="E3" s="929">
        <v>1.2299</v>
      </c>
      <c r="F3" s="929">
        <v>1.2299</v>
      </c>
      <c r="G3" s="929">
        <v>1.2299</v>
      </c>
      <c r="H3" s="929">
        <v>1.2299</v>
      </c>
      <c r="I3" s="929">
        <v>1.2333000000000001</v>
      </c>
      <c r="J3" s="929">
        <v>1.2333000000000001</v>
      </c>
      <c r="K3" s="929">
        <v>1.2333000000000001</v>
      </c>
      <c r="L3" s="929">
        <v>1.2333000000000001</v>
      </c>
      <c r="M3" s="929">
        <v>1.2333000000000001</v>
      </c>
    </row>
    <row r="4" spans="1:14">
      <c r="A4" s="920">
        <v>1.1000000000000001</v>
      </c>
      <c r="B4" s="929">
        <v>1.2283999999999999</v>
      </c>
      <c r="C4" s="929">
        <v>1.2283999999999999</v>
      </c>
      <c r="D4" s="929">
        <v>1.1984999999999999</v>
      </c>
      <c r="E4" s="929">
        <v>1.1984999999999999</v>
      </c>
      <c r="F4" s="929">
        <v>1.1984999999999999</v>
      </c>
      <c r="G4" s="929">
        <v>1.1984999999999999</v>
      </c>
      <c r="H4" s="929">
        <v>1.1984999999999999</v>
      </c>
      <c r="I4" s="929">
        <v>1.1899</v>
      </c>
      <c r="J4" s="929">
        <v>1.1899</v>
      </c>
      <c r="K4" s="929">
        <v>1.1899</v>
      </c>
      <c r="L4" s="929">
        <v>1.1899</v>
      </c>
      <c r="M4" s="929">
        <v>1.1899</v>
      </c>
    </row>
    <row r="5" spans="1:14">
      <c r="A5" s="920">
        <v>1.2</v>
      </c>
      <c r="B5" s="929">
        <v>1.2031000000000001</v>
      </c>
      <c r="C5" s="929">
        <v>1.2031000000000001</v>
      </c>
      <c r="D5" s="929">
        <v>1.1711</v>
      </c>
      <c r="E5" s="929">
        <v>1.1711</v>
      </c>
      <c r="F5" s="929">
        <v>1.1711</v>
      </c>
      <c r="G5" s="929">
        <v>1.1711</v>
      </c>
      <c r="H5" s="929">
        <v>1.1711</v>
      </c>
      <c r="I5" s="929">
        <v>1.1528</v>
      </c>
      <c r="J5" s="929">
        <v>1.1528</v>
      </c>
      <c r="K5" s="929">
        <v>1.1528</v>
      </c>
      <c r="L5" s="929">
        <v>1.1528</v>
      </c>
      <c r="M5" s="929">
        <v>1.1528</v>
      </c>
    </row>
    <row r="6" spans="1:14">
      <c r="A6" s="920">
        <v>1.3</v>
      </c>
      <c r="B6" s="929">
        <v>1.1811</v>
      </c>
      <c r="C6" s="929">
        <v>1.1811</v>
      </c>
      <c r="D6" s="929">
        <v>1.1472</v>
      </c>
      <c r="E6" s="929">
        <v>1.1472</v>
      </c>
      <c r="F6" s="929">
        <v>1.1472</v>
      </c>
      <c r="G6" s="929">
        <v>1.1472</v>
      </c>
      <c r="H6" s="929">
        <v>1.1472</v>
      </c>
      <c r="I6" s="929">
        <v>1.1214</v>
      </c>
      <c r="J6" s="929">
        <v>1.1214</v>
      </c>
      <c r="K6" s="929">
        <v>1.1214</v>
      </c>
      <c r="L6" s="929">
        <v>1.1214</v>
      </c>
      <c r="M6" s="929">
        <v>1.1214</v>
      </c>
    </row>
    <row r="7" spans="1:14">
      <c r="A7" s="920">
        <v>1.4</v>
      </c>
      <c r="B7" s="929">
        <v>1.1619999999999999</v>
      </c>
      <c r="C7" s="929">
        <v>1.1619999999999999</v>
      </c>
      <c r="D7" s="929">
        <v>1.1265000000000001</v>
      </c>
      <c r="E7" s="929">
        <v>1.1265000000000001</v>
      </c>
      <c r="F7" s="929">
        <v>1.1265000000000001</v>
      </c>
      <c r="G7" s="929">
        <v>1.1265000000000001</v>
      </c>
      <c r="H7" s="929">
        <v>1.1265000000000001</v>
      </c>
      <c r="I7" s="929">
        <v>1.0948</v>
      </c>
      <c r="J7" s="929">
        <v>1.0948</v>
      </c>
      <c r="K7" s="929">
        <v>1.0948</v>
      </c>
      <c r="L7" s="929">
        <v>1.0948</v>
      </c>
      <c r="M7" s="929">
        <v>1.0948</v>
      </c>
    </row>
    <row r="8" spans="1:14">
      <c r="A8" s="920">
        <v>1.5</v>
      </c>
      <c r="B8" s="929">
        <v>1.1453</v>
      </c>
      <c r="C8" s="929">
        <v>1.1453</v>
      </c>
      <c r="D8" s="929">
        <v>1.1084000000000001</v>
      </c>
      <c r="E8" s="929">
        <v>1.1084000000000001</v>
      </c>
      <c r="F8" s="929">
        <v>1.1084000000000001</v>
      </c>
      <c r="G8" s="929">
        <v>1.1084000000000001</v>
      </c>
      <c r="H8" s="929">
        <v>1.1084000000000001</v>
      </c>
      <c r="I8" s="929">
        <v>1.0725</v>
      </c>
      <c r="J8" s="929">
        <v>1.0725</v>
      </c>
      <c r="K8" s="929">
        <v>1.0725</v>
      </c>
      <c r="L8" s="929">
        <v>1.0725</v>
      </c>
      <c r="M8" s="929">
        <v>1.0725</v>
      </c>
    </row>
    <row r="9" spans="1:14">
      <c r="A9" s="920">
        <v>1.6</v>
      </c>
      <c r="B9" s="929">
        <v>1.1306</v>
      </c>
      <c r="C9" s="929">
        <v>1.1306</v>
      </c>
      <c r="D9" s="929">
        <v>1.0924</v>
      </c>
      <c r="E9" s="929">
        <v>1.0924</v>
      </c>
      <c r="F9" s="929">
        <v>1.0924</v>
      </c>
      <c r="G9" s="929">
        <v>1.0924</v>
      </c>
      <c r="H9" s="929">
        <v>1.0924</v>
      </c>
      <c r="I9" s="929">
        <v>1.0538000000000001</v>
      </c>
      <c r="J9" s="929">
        <v>1.0538000000000001</v>
      </c>
      <c r="K9" s="929">
        <v>1.0538000000000001</v>
      </c>
      <c r="L9" s="929">
        <v>1.0538000000000001</v>
      </c>
      <c r="M9" s="929">
        <v>1.0538000000000001</v>
      </c>
    </row>
    <row r="10" spans="1:14">
      <c r="A10" s="920">
        <v>1.7</v>
      </c>
      <c r="B10" s="929">
        <v>1.1175999999999999</v>
      </c>
      <c r="C10" s="929">
        <v>1.1175999999999999</v>
      </c>
      <c r="D10" s="929">
        <v>1.0783</v>
      </c>
      <c r="E10" s="929">
        <v>1.0783</v>
      </c>
      <c r="F10" s="929">
        <v>1.0783</v>
      </c>
      <c r="G10" s="929">
        <v>1.0783</v>
      </c>
      <c r="H10" s="929">
        <v>1.0783</v>
      </c>
      <c r="I10" s="929">
        <v>1.0379</v>
      </c>
      <c r="J10" s="929">
        <v>1.0379</v>
      </c>
      <c r="K10" s="929">
        <v>1.0379</v>
      </c>
      <c r="L10" s="929">
        <v>1.0379</v>
      </c>
      <c r="M10" s="929">
        <v>1.0379</v>
      </c>
    </row>
    <row r="11" spans="1:14">
      <c r="A11" s="920">
        <v>1.8</v>
      </c>
      <c r="B11" s="929">
        <v>1.1057999999999999</v>
      </c>
      <c r="C11" s="929">
        <v>1.1057999999999999</v>
      </c>
      <c r="D11" s="929">
        <v>1.0653999999999999</v>
      </c>
      <c r="E11" s="929">
        <v>1.0653999999999999</v>
      </c>
      <c r="F11" s="929">
        <v>1.0653999999999999</v>
      </c>
      <c r="G11" s="929">
        <v>1.0653999999999999</v>
      </c>
      <c r="H11" s="929">
        <v>1.0653999999999999</v>
      </c>
      <c r="I11" s="929">
        <v>1.0241</v>
      </c>
      <c r="J11" s="929">
        <v>1.0241</v>
      </c>
      <c r="K11" s="929">
        <v>1.0241</v>
      </c>
      <c r="L11" s="929">
        <v>1.0241</v>
      </c>
      <c r="M11" s="929">
        <v>1.0241</v>
      </c>
    </row>
    <row r="12" spans="1:14">
      <c r="A12" s="920">
        <v>1.9</v>
      </c>
      <c r="B12" s="929">
        <v>1.0949</v>
      </c>
      <c r="C12" s="929">
        <v>1.0949</v>
      </c>
      <c r="D12" s="929">
        <v>1.0537000000000001</v>
      </c>
      <c r="E12" s="929">
        <v>1.0537000000000001</v>
      </c>
      <c r="F12" s="929">
        <v>1.0537000000000001</v>
      </c>
      <c r="G12" s="929">
        <v>1.0537000000000001</v>
      </c>
      <c r="H12" s="929">
        <v>1.0537000000000001</v>
      </c>
      <c r="I12" s="929">
        <v>1.0117</v>
      </c>
      <c r="J12" s="929">
        <v>1.0117</v>
      </c>
      <c r="K12" s="929">
        <v>1.0117</v>
      </c>
      <c r="L12" s="929">
        <v>1.0117</v>
      </c>
      <c r="M12" s="929">
        <v>1.0117</v>
      </c>
    </row>
    <row r="13" spans="1:14">
      <c r="A13" s="920">
        <v>2</v>
      </c>
      <c r="B13" s="929">
        <v>1.0847</v>
      </c>
      <c r="C13" s="929">
        <v>1.0847</v>
      </c>
      <c r="D13" s="929">
        <v>1.0427</v>
      </c>
      <c r="E13" s="929">
        <v>1.0427</v>
      </c>
      <c r="F13" s="929">
        <v>1.0427</v>
      </c>
      <c r="G13" s="929">
        <v>1.0427</v>
      </c>
      <c r="H13" s="929">
        <v>1.0427</v>
      </c>
      <c r="I13" s="929">
        <v>1</v>
      </c>
      <c r="J13" s="929">
        <v>1</v>
      </c>
      <c r="K13" s="929">
        <v>1</v>
      </c>
      <c r="L13" s="929">
        <v>1</v>
      </c>
      <c r="M13" s="929">
        <v>1</v>
      </c>
    </row>
    <row r="14" spans="1:14">
      <c r="A14" s="920">
        <v>2.1</v>
      </c>
      <c r="B14" s="929">
        <v>1.0749</v>
      </c>
      <c r="C14" s="929">
        <v>1.0749</v>
      </c>
      <c r="D14" s="929">
        <v>1.0327999999999999</v>
      </c>
      <c r="E14" s="929">
        <v>1.0327999999999999</v>
      </c>
      <c r="F14" s="929">
        <v>1.0327999999999999</v>
      </c>
      <c r="G14" s="929">
        <v>1.0327999999999999</v>
      </c>
      <c r="H14" s="929">
        <v>1.0327999999999999</v>
      </c>
      <c r="I14" s="929">
        <v>0.98819999999999997</v>
      </c>
      <c r="J14" s="929">
        <v>0.98819999999999997</v>
      </c>
      <c r="K14" s="929">
        <v>0.98819999999999997</v>
      </c>
      <c r="L14" s="929">
        <v>0.98819999999999997</v>
      </c>
      <c r="M14" s="929">
        <v>0.98819999999999997</v>
      </c>
    </row>
    <row r="15" spans="1:14">
      <c r="A15" s="920">
        <v>2.2000000000000002</v>
      </c>
      <c r="B15" s="929">
        <v>1.0663</v>
      </c>
      <c r="C15" s="929">
        <v>1.0663</v>
      </c>
      <c r="D15" s="929">
        <v>1.0237000000000001</v>
      </c>
      <c r="E15" s="929">
        <v>1.0237000000000001</v>
      </c>
      <c r="F15" s="929">
        <v>1.0237000000000001</v>
      </c>
      <c r="G15" s="929">
        <v>1.0237000000000001</v>
      </c>
      <c r="H15" s="929">
        <v>1.0237000000000001</v>
      </c>
      <c r="I15" s="929">
        <v>0.9768</v>
      </c>
      <c r="J15" s="929">
        <v>0.9768</v>
      </c>
      <c r="K15" s="929">
        <v>0.9768</v>
      </c>
      <c r="L15" s="929">
        <v>0.9768</v>
      </c>
      <c r="M15" s="929">
        <v>0.9768</v>
      </c>
    </row>
    <row r="16" spans="1:14">
      <c r="A16" s="920">
        <v>2.2999999999999998</v>
      </c>
      <c r="B16" s="929">
        <v>1.0584</v>
      </c>
      <c r="C16" s="929">
        <v>1.0584</v>
      </c>
      <c r="D16" s="929">
        <v>1.0152000000000001</v>
      </c>
      <c r="E16" s="929">
        <v>1.0152000000000001</v>
      </c>
      <c r="F16" s="929">
        <v>1.0152000000000001</v>
      </c>
      <c r="G16" s="929">
        <v>1.0152000000000001</v>
      </c>
      <c r="H16" s="929">
        <v>1.0152000000000001</v>
      </c>
      <c r="I16" s="929">
        <v>0.96609999999999996</v>
      </c>
      <c r="J16" s="929">
        <v>0.96609999999999996</v>
      </c>
      <c r="K16" s="929">
        <v>0.96609999999999996</v>
      </c>
      <c r="L16" s="929">
        <v>0.96609999999999996</v>
      </c>
      <c r="M16" s="929">
        <v>0.96609999999999996</v>
      </c>
    </row>
    <row r="17" spans="1:13">
      <c r="A17" s="920">
        <v>2.4</v>
      </c>
      <c r="B17" s="929">
        <v>1.0511999999999999</v>
      </c>
      <c r="C17" s="929">
        <v>1.0511999999999999</v>
      </c>
      <c r="D17" s="929">
        <v>1.0074000000000001</v>
      </c>
      <c r="E17" s="929">
        <v>1.0074000000000001</v>
      </c>
      <c r="F17" s="929">
        <v>1.0074000000000001</v>
      </c>
      <c r="G17" s="929">
        <v>1.0074000000000001</v>
      </c>
      <c r="H17" s="929">
        <v>1.0074000000000001</v>
      </c>
      <c r="I17" s="929">
        <v>0.95579999999999998</v>
      </c>
      <c r="J17" s="929">
        <v>0.95579999999999998</v>
      </c>
      <c r="K17" s="929">
        <v>0.95579999999999998</v>
      </c>
      <c r="L17" s="929">
        <v>0.95579999999999998</v>
      </c>
      <c r="M17" s="929">
        <v>0.95579999999999998</v>
      </c>
    </row>
    <row r="18" spans="1:13">
      <c r="A18" s="920">
        <v>2.5</v>
      </c>
      <c r="B18" s="929">
        <v>1.0445</v>
      </c>
      <c r="C18" s="929">
        <v>1.0445</v>
      </c>
      <c r="D18" s="929">
        <v>1</v>
      </c>
      <c r="E18" s="929">
        <v>1</v>
      </c>
      <c r="F18" s="929">
        <v>1</v>
      </c>
      <c r="G18" s="929">
        <v>1</v>
      </c>
      <c r="H18" s="929">
        <v>1</v>
      </c>
      <c r="I18" s="929">
        <v>0.94620000000000004</v>
      </c>
      <c r="J18" s="929">
        <v>0.94620000000000004</v>
      </c>
      <c r="K18" s="929">
        <v>0.94620000000000004</v>
      </c>
      <c r="L18" s="929">
        <v>0.94620000000000004</v>
      </c>
      <c r="M18" s="929">
        <v>0.94620000000000004</v>
      </c>
    </row>
    <row r="19" spans="1:13">
      <c r="A19" s="920">
        <v>2.6</v>
      </c>
      <c r="B19" s="929">
        <v>1.0386</v>
      </c>
      <c r="C19" s="929">
        <v>1.0386</v>
      </c>
      <c r="D19" s="929">
        <v>0.99350000000000005</v>
      </c>
      <c r="E19" s="929">
        <v>0.99350000000000005</v>
      </c>
      <c r="F19" s="929">
        <v>0.99350000000000005</v>
      </c>
      <c r="G19" s="929">
        <v>0.99350000000000005</v>
      </c>
      <c r="H19" s="929">
        <v>0.99350000000000005</v>
      </c>
      <c r="I19" s="929">
        <v>0.93710000000000004</v>
      </c>
      <c r="J19" s="929">
        <v>0.93710000000000004</v>
      </c>
      <c r="K19" s="929">
        <v>0.93710000000000004</v>
      </c>
      <c r="L19" s="929">
        <v>0.93710000000000004</v>
      </c>
      <c r="M19" s="929">
        <v>0.93710000000000004</v>
      </c>
    </row>
    <row r="20" spans="1:13">
      <c r="A20" s="920">
        <v>2.7</v>
      </c>
      <c r="B20" s="929">
        <v>1.0331999999999999</v>
      </c>
      <c r="C20" s="929">
        <v>1.0331999999999999</v>
      </c>
      <c r="D20" s="929">
        <v>0.98770000000000002</v>
      </c>
      <c r="E20" s="929">
        <v>0.98770000000000002</v>
      </c>
      <c r="F20" s="929">
        <v>0.98770000000000002</v>
      </c>
      <c r="G20" s="929">
        <v>0.98770000000000002</v>
      </c>
      <c r="H20" s="929">
        <v>0.98770000000000002</v>
      </c>
      <c r="I20" s="929">
        <v>0.92859999999999998</v>
      </c>
      <c r="J20" s="929">
        <v>0.92859999999999998</v>
      </c>
      <c r="K20" s="929">
        <v>0.92859999999999998</v>
      </c>
      <c r="L20" s="929">
        <v>0.92859999999999998</v>
      </c>
      <c r="M20" s="929">
        <v>0.92859999999999998</v>
      </c>
    </row>
    <row r="21" spans="1:13">
      <c r="A21" s="920">
        <v>2.8</v>
      </c>
      <c r="B21" s="929">
        <v>1.0282</v>
      </c>
      <c r="C21" s="929">
        <v>1.0282</v>
      </c>
      <c r="D21" s="929">
        <v>0.98260000000000003</v>
      </c>
      <c r="E21" s="929">
        <v>0.98260000000000003</v>
      </c>
      <c r="F21" s="929">
        <v>0.98260000000000003</v>
      </c>
      <c r="G21" s="929">
        <v>0.98260000000000003</v>
      </c>
      <c r="H21" s="929">
        <v>0.98260000000000003</v>
      </c>
      <c r="I21" s="929">
        <v>0.92069999999999996</v>
      </c>
      <c r="J21" s="929">
        <v>0.92069999999999996</v>
      </c>
      <c r="K21" s="929">
        <v>0.92069999999999996</v>
      </c>
      <c r="L21" s="929">
        <v>0.92069999999999996</v>
      </c>
      <c r="M21" s="929">
        <v>0.92069999999999996</v>
      </c>
    </row>
    <row r="22" spans="1:13">
      <c r="A22" s="920">
        <v>2.9</v>
      </c>
      <c r="B22" s="929">
        <v>1.0235000000000001</v>
      </c>
      <c r="C22" s="929">
        <v>1.0235000000000001</v>
      </c>
      <c r="D22" s="929">
        <v>0.97770000000000001</v>
      </c>
      <c r="E22" s="929">
        <v>0.97770000000000001</v>
      </c>
      <c r="F22" s="929">
        <v>0.97770000000000001</v>
      </c>
      <c r="G22" s="929">
        <v>0.97770000000000001</v>
      </c>
      <c r="H22" s="929">
        <v>0.97770000000000001</v>
      </c>
      <c r="I22" s="929">
        <v>0.9133</v>
      </c>
      <c r="J22" s="929">
        <v>0.9133</v>
      </c>
      <c r="K22" s="929">
        <v>0.9133</v>
      </c>
      <c r="L22" s="929">
        <v>0.9133</v>
      </c>
      <c r="M22" s="929">
        <v>0.9133</v>
      </c>
    </row>
    <row r="23" spans="1:13">
      <c r="A23" s="936">
        <v>3</v>
      </c>
      <c r="B23" s="929">
        <v>1.0190999999999999</v>
      </c>
      <c r="C23" s="929">
        <v>1.0190999999999999</v>
      </c>
      <c r="D23" s="929">
        <v>0.97299999999999998</v>
      </c>
      <c r="E23" s="929">
        <v>0.97299999999999998</v>
      </c>
      <c r="F23" s="929">
        <v>0.97299999999999998</v>
      </c>
      <c r="G23" s="929">
        <v>0.97299999999999998</v>
      </c>
      <c r="H23" s="929">
        <v>0.97299999999999998</v>
      </c>
      <c r="I23" s="929">
        <v>0.90629999999999999</v>
      </c>
      <c r="J23" s="929">
        <v>0.90629999999999999</v>
      </c>
      <c r="K23" s="929">
        <v>0.90629999999999999</v>
      </c>
      <c r="L23" s="929">
        <v>0.90629999999999999</v>
      </c>
      <c r="M23" s="929">
        <v>0.90629999999999999</v>
      </c>
    </row>
    <row r="24" spans="1:13">
      <c r="A24" s="936">
        <v>3.1</v>
      </c>
      <c r="B24" s="929">
        <v>1.0148999999999999</v>
      </c>
      <c r="C24" s="929">
        <v>1.0148999999999999</v>
      </c>
      <c r="D24" s="929">
        <v>0.96840000000000004</v>
      </c>
      <c r="E24" s="929">
        <v>0.96840000000000004</v>
      </c>
      <c r="F24" s="929">
        <v>0.96840000000000004</v>
      </c>
      <c r="G24" s="929">
        <v>0.96840000000000004</v>
      </c>
      <c r="H24" s="929">
        <v>0.96840000000000004</v>
      </c>
      <c r="I24" s="929">
        <v>0.89959999999999996</v>
      </c>
      <c r="J24" s="929">
        <v>0.89959999999999996</v>
      </c>
      <c r="K24" s="929">
        <v>0.89959999999999996</v>
      </c>
      <c r="L24" s="929">
        <v>0.89959999999999996</v>
      </c>
      <c r="M24" s="929">
        <v>0.89959999999999996</v>
      </c>
    </row>
    <row r="25" spans="1:13">
      <c r="A25" s="936">
        <v>3.2</v>
      </c>
      <c r="B25" s="929">
        <v>1.0108999999999999</v>
      </c>
      <c r="C25" s="929">
        <v>1.0108999999999999</v>
      </c>
      <c r="D25" s="929">
        <v>0.96399999999999997</v>
      </c>
      <c r="E25" s="929">
        <v>0.96399999999999997</v>
      </c>
      <c r="F25" s="929">
        <v>0.96399999999999997</v>
      </c>
      <c r="G25" s="929">
        <v>0.96399999999999997</v>
      </c>
      <c r="H25" s="929">
        <v>0.96399999999999997</v>
      </c>
      <c r="I25" s="929">
        <v>0.89319999999999999</v>
      </c>
      <c r="J25" s="929">
        <v>0.89319999999999999</v>
      </c>
      <c r="K25" s="929">
        <v>0.89319999999999999</v>
      </c>
      <c r="L25" s="929">
        <v>0.89319999999999999</v>
      </c>
      <c r="M25" s="929">
        <v>0.89319999999999999</v>
      </c>
    </row>
    <row r="26" spans="1:13">
      <c r="A26" s="936">
        <v>3.3</v>
      </c>
      <c r="B26" s="929">
        <v>1.0071000000000001</v>
      </c>
      <c r="C26" s="929">
        <v>1.0071000000000001</v>
      </c>
      <c r="D26" s="929">
        <v>0.95979999999999999</v>
      </c>
      <c r="E26" s="929">
        <v>0.95979999999999999</v>
      </c>
      <c r="F26" s="929">
        <v>0.95979999999999999</v>
      </c>
      <c r="G26" s="929">
        <v>0.95979999999999999</v>
      </c>
      <c r="H26" s="929">
        <v>0.95979999999999999</v>
      </c>
      <c r="I26" s="929">
        <v>0.8871</v>
      </c>
      <c r="J26" s="929">
        <v>0.8871</v>
      </c>
      <c r="K26" s="929">
        <v>0.8871</v>
      </c>
      <c r="L26" s="929">
        <v>0.8871</v>
      </c>
      <c r="M26" s="929">
        <v>0.8871</v>
      </c>
    </row>
    <row r="27" spans="1:13">
      <c r="A27" s="936">
        <v>3.4</v>
      </c>
      <c r="B27" s="929">
        <v>1.0035000000000001</v>
      </c>
      <c r="C27" s="929">
        <v>1.0035000000000001</v>
      </c>
      <c r="D27" s="929">
        <v>0.95579999999999998</v>
      </c>
      <c r="E27" s="929">
        <v>0.95579999999999998</v>
      </c>
      <c r="F27" s="929">
        <v>0.95579999999999998</v>
      </c>
      <c r="G27" s="929">
        <v>0.95579999999999998</v>
      </c>
      <c r="H27" s="929">
        <v>0.95579999999999998</v>
      </c>
      <c r="I27" s="929">
        <v>0.88119999999999998</v>
      </c>
      <c r="J27" s="929">
        <v>0.88119999999999998</v>
      </c>
      <c r="K27" s="929">
        <v>0.88119999999999998</v>
      </c>
      <c r="L27" s="929">
        <v>0.88119999999999998</v>
      </c>
      <c r="M27" s="929">
        <v>0.88119999999999998</v>
      </c>
    </row>
    <row r="28" spans="1:13">
      <c r="A28" s="936">
        <v>3.5</v>
      </c>
      <c r="B28" s="929">
        <v>1</v>
      </c>
      <c r="C28" s="929">
        <v>1</v>
      </c>
      <c r="D28" s="929">
        <v>0.95199999999999996</v>
      </c>
      <c r="E28" s="929">
        <v>0.95199999999999996</v>
      </c>
      <c r="F28" s="929">
        <v>0.95199999999999996</v>
      </c>
      <c r="G28" s="929">
        <v>0.95199999999999996</v>
      </c>
      <c r="H28" s="929">
        <v>0.95199999999999996</v>
      </c>
      <c r="I28" s="929">
        <v>0.87549999999999994</v>
      </c>
      <c r="J28" s="929">
        <v>0.87549999999999994</v>
      </c>
      <c r="K28" s="929">
        <v>0.87549999999999994</v>
      </c>
      <c r="L28" s="929">
        <v>0.87549999999999994</v>
      </c>
      <c r="M28" s="929">
        <v>0.87549999999999994</v>
      </c>
    </row>
    <row r="29" spans="1:13">
      <c r="A29" s="936">
        <v>3.6</v>
      </c>
      <c r="B29" s="929">
        <v>0.99660000000000004</v>
      </c>
      <c r="C29" s="929">
        <v>0.99660000000000004</v>
      </c>
      <c r="D29" s="929">
        <v>0.94840000000000002</v>
      </c>
      <c r="E29" s="929">
        <v>0.94840000000000002</v>
      </c>
      <c r="F29" s="929">
        <v>0.94840000000000002</v>
      </c>
      <c r="G29" s="929">
        <v>0.94840000000000002</v>
      </c>
      <c r="H29" s="929">
        <v>0.94840000000000002</v>
      </c>
      <c r="I29" s="929">
        <v>0.87</v>
      </c>
      <c r="J29" s="929">
        <v>0.87</v>
      </c>
      <c r="K29" s="929">
        <v>0.87</v>
      </c>
      <c r="L29" s="929">
        <v>0.87</v>
      </c>
      <c r="M29" s="929">
        <v>0.87</v>
      </c>
    </row>
    <row r="30" spans="1:13">
      <c r="A30" s="936">
        <v>3.7</v>
      </c>
      <c r="B30" s="929">
        <v>0.99329999999999996</v>
      </c>
      <c r="C30" s="929">
        <v>0.99329999999999996</v>
      </c>
      <c r="D30" s="929">
        <v>0.94499999999999995</v>
      </c>
      <c r="E30" s="929">
        <v>0.94499999999999995</v>
      </c>
      <c r="F30" s="929">
        <v>0.94499999999999995</v>
      </c>
      <c r="G30" s="929">
        <v>0.94499999999999995</v>
      </c>
      <c r="H30" s="929">
        <v>0.94499999999999995</v>
      </c>
      <c r="I30" s="929">
        <v>0.86470000000000002</v>
      </c>
      <c r="J30" s="929">
        <v>0.86470000000000002</v>
      </c>
      <c r="K30" s="929">
        <v>0.86470000000000002</v>
      </c>
      <c r="L30" s="929">
        <v>0.86470000000000002</v>
      </c>
      <c r="M30" s="929">
        <v>0.86470000000000002</v>
      </c>
    </row>
    <row r="31" spans="1:13">
      <c r="A31" s="936">
        <v>3.8</v>
      </c>
      <c r="B31" s="929">
        <v>0.99009999999999998</v>
      </c>
      <c r="C31" s="929">
        <v>0.99009999999999998</v>
      </c>
      <c r="D31" s="929">
        <v>0.94169999999999998</v>
      </c>
      <c r="E31" s="929">
        <v>0.94169999999999998</v>
      </c>
      <c r="F31" s="929">
        <v>0.94169999999999998</v>
      </c>
      <c r="G31" s="929">
        <v>0.94169999999999998</v>
      </c>
      <c r="H31" s="929">
        <v>0.94169999999999998</v>
      </c>
      <c r="I31" s="929">
        <v>0.85960000000000003</v>
      </c>
      <c r="J31" s="929">
        <v>0.85960000000000003</v>
      </c>
      <c r="K31" s="929">
        <v>0.85960000000000003</v>
      </c>
      <c r="L31" s="929">
        <v>0.85960000000000003</v>
      </c>
      <c r="M31" s="929">
        <v>0.85960000000000003</v>
      </c>
    </row>
    <row r="32" spans="1:13">
      <c r="A32" s="936">
        <v>3.9</v>
      </c>
      <c r="B32" s="929">
        <v>0.98699999999999999</v>
      </c>
      <c r="C32" s="929">
        <v>0.98699999999999999</v>
      </c>
      <c r="D32" s="929">
        <v>0.9385</v>
      </c>
      <c r="E32" s="929">
        <v>0.9385</v>
      </c>
      <c r="F32" s="929">
        <v>0.9385</v>
      </c>
      <c r="G32" s="929">
        <v>0.9385</v>
      </c>
      <c r="H32" s="929">
        <v>0.9385</v>
      </c>
      <c r="I32" s="929">
        <v>0.85470000000000002</v>
      </c>
      <c r="J32" s="929">
        <v>0.85470000000000002</v>
      </c>
      <c r="K32" s="929">
        <v>0.85470000000000002</v>
      </c>
      <c r="L32" s="929">
        <v>0.85470000000000002</v>
      </c>
      <c r="M32" s="929">
        <v>0.85470000000000002</v>
      </c>
    </row>
    <row r="33" spans="1:13">
      <c r="A33" s="936">
        <v>4</v>
      </c>
      <c r="B33" s="929">
        <v>0.98399999999999999</v>
      </c>
      <c r="C33" s="929">
        <v>0.98399999999999999</v>
      </c>
      <c r="D33" s="929">
        <v>0.93540000000000001</v>
      </c>
      <c r="E33" s="929">
        <v>0.93540000000000001</v>
      </c>
      <c r="F33" s="929">
        <v>0.93540000000000001</v>
      </c>
      <c r="G33" s="929">
        <v>0.93540000000000001</v>
      </c>
      <c r="H33" s="929">
        <v>0.93540000000000001</v>
      </c>
      <c r="I33" s="929">
        <v>0.84989999999999999</v>
      </c>
      <c r="J33" s="929">
        <v>0.84989999999999999</v>
      </c>
      <c r="K33" s="929">
        <v>0.84989999999999999</v>
      </c>
      <c r="L33" s="929">
        <v>0.84989999999999999</v>
      </c>
      <c r="M33" s="929">
        <v>0.84989999999999999</v>
      </c>
    </row>
    <row r="34" spans="1:13">
      <c r="A34" s="936">
        <v>4.0999999999999996</v>
      </c>
      <c r="B34" s="929">
        <v>0.98109999999999997</v>
      </c>
      <c r="C34" s="929">
        <v>0.98109999999999997</v>
      </c>
      <c r="D34" s="929">
        <v>0.93240000000000001</v>
      </c>
      <c r="E34" s="929">
        <v>0.93240000000000001</v>
      </c>
      <c r="F34" s="929">
        <v>0.93240000000000001</v>
      </c>
      <c r="G34" s="929">
        <v>0.93240000000000001</v>
      </c>
      <c r="H34" s="929">
        <v>0.93240000000000001</v>
      </c>
      <c r="I34" s="929">
        <v>0.84519999999999995</v>
      </c>
      <c r="J34" s="929">
        <v>0.84519999999999995</v>
      </c>
      <c r="K34" s="929">
        <v>0.84519999999999995</v>
      </c>
      <c r="L34" s="929">
        <v>0.84519999999999995</v>
      </c>
      <c r="M34" s="929">
        <v>0.84519999999999995</v>
      </c>
    </row>
    <row r="35" spans="1:13">
      <c r="A35" s="936">
        <v>4.2</v>
      </c>
      <c r="B35" s="929">
        <v>0.97829999999999995</v>
      </c>
      <c r="C35" s="929">
        <v>0.97829999999999995</v>
      </c>
      <c r="D35" s="929">
        <v>0.92949999999999999</v>
      </c>
      <c r="E35" s="929">
        <v>0.92949999999999999</v>
      </c>
      <c r="F35" s="929">
        <v>0.92949999999999999</v>
      </c>
      <c r="G35" s="929">
        <v>0.92949999999999999</v>
      </c>
      <c r="H35" s="929">
        <v>0.92949999999999999</v>
      </c>
      <c r="I35" s="929">
        <v>0.84060000000000001</v>
      </c>
      <c r="J35" s="929">
        <v>0.84060000000000001</v>
      </c>
      <c r="K35" s="929">
        <v>0.84060000000000001</v>
      </c>
      <c r="L35" s="929">
        <v>0.84060000000000001</v>
      </c>
      <c r="M35" s="929">
        <v>0.84060000000000001</v>
      </c>
    </row>
    <row r="36" spans="1:13">
      <c r="A36" s="936">
        <v>4.3</v>
      </c>
      <c r="B36" s="929">
        <v>0.97560000000000002</v>
      </c>
      <c r="C36" s="929">
        <v>0.97560000000000002</v>
      </c>
      <c r="D36" s="929">
        <v>0.92669999999999997</v>
      </c>
      <c r="E36" s="929">
        <v>0.92669999999999997</v>
      </c>
      <c r="F36" s="929">
        <v>0.92669999999999997</v>
      </c>
      <c r="G36" s="929">
        <v>0.92669999999999997</v>
      </c>
      <c r="H36" s="929">
        <v>0.92669999999999997</v>
      </c>
      <c r="I36" s="929">
        <v>0.83609999999999995</v>
      </c>
      <c r="J36" s="929">
        <v>0.83609999999999995</v>
      </c>
      <c r="K36" s="929">
        <v>0.83609999999999995</v>
      </c>
      <c r="L36" s="929">
        <v>0.83609999999999995</v>
      </c>
      <c r="M36" s="929">
        <v>0.83609999999999995</v>
      </c>
    </row>
    <row r="37" spans="1:13">
      <c r="A37" s="936">
        <v>4.4000000000000004</v>
      </c>
      <c r="B37" s="929">
        <v>0.97299999999999998</v>
      </c>
      <c r="C37" s="929">
        <v>0.97299999999999998</v>
      </c>
      <c r="D37" s="929">
        <v>0.92400000000000004</v>
      </c>
      <c r="E37" s="929">
        <v>0.92400000000000004</v>
      </c>
      <c r="F37" s="929">
        <v>0.92400000000000004</v>
      </c>
      <c r="G37" s="929">
        <v>0.92400000000000004</v>
      </c>
      <c r="H37" s="929">
        <v>0.92400000000000004</v>
      </c>
      <c r="I37" s="929">
        <v>0.83169999999999999</v>
      </c>
      <c r="J37" s="929">
        <v>0.83169999999999999</v>
      </c>
      <c r="K37" s="929">
        <v>0.83169999999999999</v>
      </c>
      <c r="L37" s="929">
        <v>0.83169999999999999</v>
      </c>
      <c r="M37" s="929">
        <v>0.83169999999999999</v>
      </c>
    </row>
    <row r="38" spans="1:13">
      <c r="A38" s="936">
        <v>4.5</v>
      </c>
      <c r="B38" s="929">
        <v>0.97050000000000003</v>
      </c>
      <c r="C38" s="929">
        <v>0.97050000000000003</v>
      </c>
      <c r="D38" s="929">
        <v>0.92130000000000001</v>
      </c>
      <c r="E38" s="929">
        <v>0.92130000000000001</v>
      </c>
      <c r="F38" s="929">
        <v>0.92130000000000001</v>
      </c>
      <c r="G38" s="929">
        <v>0.92130000000000001</v>
      </c>
      <c r="H38" s="929">
        <v>0.92130000000000001</v>
      </c>
      <c r="I38" s="929">
        <v>0.82740000000000002</v>
      </c>
      <c r="J38" s="929">
        <v>0.82740000000000002</v>
      </c>
      <c r="K38" s="929">
        <v>0.82740000000000002</v>
      </c>
      <c r="L38" s="929">
        <v>0.82740000000000002</v>
      </c>
      <c r="M38" s="929">
        <v>0.82740000000000002</v>
      </c>
    </row>
    <row r="39" spans="1:13">
      <c r="A39" s="936">
        <v>4.5999999999999996</v>
      </c>
      <c r="B39" s="929">
        <v>0.96809999999999996</v>
      </c>
      <c r="C39" s="929">
        <v>0.96809999999999996</v>
      </c>
      <c r="D39" s="929">
        <v>0.91869999999999996</v>
      </c>
      <c r="E39" s="929">
        <v>0.91869999999999996</v>
      </c>
      <c r="F39" s="929">
        <v>0.91869999999999996</v>
      </c>
      <c r="G39" s="929">
        <v>0.91869999999999996</v>
      </c>
      <c r="H39" s="929">
        <v>0.91869999999999996</v>
      </c>
      <c r="I39" s="929">
        <v>0.82320000000000004</v>
      </c>
      <c r="J39" s="929">
        <v>0.82320000000000004</v>
      </c>
      <c r="K39" s="929">
        <v>0.82320000000000004</v>
      </c>
      <c r="L39" s="929">
        <v>0.82320000000000004</v>
      </c>
      <c r="M39" s="929">
        <v>0.82320000000000004</v>
      </c>
    </row>
    <row r="40" spans="1:13">
      <c r="A40" s="936">
        <v>4.7</v>
      </c>
      <c r="B40" s="929">
        <v>0.96579999999999999</v>
      </c>
      <c r="C40" s="929">
        <v>0.96579999999999999</v>
      </c>
      <c r="D40" s="929">
        <v>0.91610000000000003</v>
      </c>
      <c r="E40" s="929">
        <v>0.91610000000000003</v>
      </c>
      <c r="F40" s="929">
        <v>0.91610000000000003</v>
      </c>
      <c r="G40" s="929">
        <v>0.91610000000000003</v>
      </c>
      <c r="H40" s="929">
        <v>0.91610000000000003</v>
      </c>
      <c r="I40" s="929">
        <v>0.81910000000000005</v>
      </c>
      <c r="J40" s="929">
        <v>0.81910000000000005</v>
      </c>
      <c r="K40" s="929">
        <v>0.81910000000000005</v>
      </c>
      <c r="L40" s="929">
        <v>0.81910000000000005</v>
      </c>
      <c r="M40" s="929">
        <v>0.81910000000000005</v>
      </c>
    </row>
    <row r="41" spans="1:13">
      <c r="A41" s="936">
        <v>4.8</v>
      </c>
      <c r="B41" s="929">
        <v>0.96360000000000001</v>
      </c>
      <c r="C41" s="929">
        <v>0.96360000000000001</v>
      </c>
      <c r="D41" s="929">
        <v>0.91349999999999998</v>
      </c>
      <c r="E41" s="929">
        <v>0.91349999999999998</v>
      </c>
      <c r="F41" s="929">
        <v>0.91349999999999998</v>
      </c>
      <c r="G41" s="929">
        <v>0.91349999999999998</v>
      </c>
      <c r="H41" s="929">
        <v>0.91349999999999998</v>
      </c>
      <c r="I41" s="929">
        <v>0.81510000000000005</v>
      </c>
      <c r="J41" s="929">
        <v>0.81510000000000005</v>
      </c>
      <c r="K41" s="929">
        <v>0.81510000000000005</v>
      </c>
      <c r="L41" s="929">
        <v>0.81510000000000005</v>
      </c>
      <c r="M41" s="929">
        <v>0.81510000000000005</v>
      </c>
    </row>
    <row r="42" spans="1:13">
      <c r="A42" s="936">
        <v>4.9000000000000004</v>
      </c>
      <c r="B42" s="929">
        <v>0.96150000000000002</v>
      </c>
      <c r="C42" s="929">
        <v>0.96150000000000002</v>
      </c>
      <c r="D42" s="929">
        <v>0.91100000000000003</v>
      </c>
      <c r="E42" s="929">
        <v>0.91100000000000003</v>
      </c>
      <c r="F42" s="929">
        <v>0.91100000000000003</v>
      </c>
      <c r="G42" s="929">
        <v>0.91100000000000003</v>
      </c>
      <c r="H42" s="929">
        <v>0.91100000000000003</v>
      </c>
      <c r="I42" s="929">
        <v>0.81110000000000004</v>
      </c>
      <c r="J42" s="929">
        <v>0.81110000000000004</v>
      </c>
      <c r="K42" s="929">
        <v>0.81110000000000004</v>
      </c>
      <c r="L42" s="929">
        <v>0.81110000000000004</v>
      </c>
      <c r="M42" s="929">
        <v>0.81110000000000004</v>
      </c>
    </row>
    <row r="43" spans="1:13">
      <c r="A43" s="936">
        <v>5</v>
      </c>
      <c r="B43" s="929">
        <v>0.95940000000000003</v>
      </c>
      <c r="C43" s="929">
        <v>0.95940000000000003</v>
      </c>
      <c r="D43" s="929">
        <v>0.90849999999999997</v>
      </c>
      <c r="E43" s="929">
        <v>0.90849999999999997</v>
      </c>
      <c r="F43" s="929">
        <v>0.90849999999999997</v>
      </c>
      <c r="G43" s="929">
        <v>0.90849999999999997</v>
      </c>
      <c r="H43" s="929">
        <v>0.90849999999999997</v>
      </c>
      <c r="I43" s="929">
        <v>0.80720000000000003</v>
      </c>
      <c r="J43" s="929">
        <v>0.80720000000000003</v>
      </c>
      <c r="K43" s="929">
        <v>0.80720000000000003</v>
      </c>
      <c r="L43" s="929">
        <v>0.80720000000000003</v>
      </c>
      <c r="M43" s="929">
        <v>0.80720000000000003</v>
      </c>
    </row>
    <row r="44" spans="1:13">
      <c r="A44" s="936">
        <v>5.0999999999999996</v>
      </c>
      <c r="B44" s="929">
        <v>0.95740000000000003</v>
      </c>
      <c r="C44" s="929">
        <v>0.95740000000000003</v>
      </c>
      <c r="D44" s="929">
        <v>0.90600000000000003</v>
      </c>
      <c r="E44" s="929">
        <v>0.90600000000000003</v>
      </c>
      <c r="F44" s="929">
        <v>0.90600000000000003</v>
      </c>
      <c r="G44" s="929">
        <v>0.90600000000000003</v>
      </c>
      <c r="H44" s="929">
        <v>0.90600000000000003</v>
      </c>
      <c r="I44" s="929">
        <v>0.80330000000000001</v>
      </c>
      <c r="J44" s="929">
        <v>0.80330000000000001</v>
      </c>
      <c r="K44" s="929">
        <v>0.80330000000000001</v>
      </c>
      <c r="L44" s="929">
        <v>0.80330000000000001</v>
      </c>
      <c r="M44" s="929">
        <v>0.80330000000000001</v>
      </c>
    </row>
    <row r="45" spans="1:13">
      <c r="A45" s="936">
        <v>5.2</v>
      </c>
      <c r="B45" s="929">
        <v>0.95540000000000003</v>
      </c>
      <c r="C45" s="929">
        <v>0.95540000000000003</v>
      </c>
      <c r="D45" s="929">
        <v>0.90349999999999997</v>
      </c>
      <c r="E45" s="929">
        <v>0.90349999999999997</v>
      </c>
      <c r="F45" s="929">
        <v>0.90349999999999997</v>
      </c>
      <c r="G45" s="929">
        <v>0.90349999999999997</v>
      </c>
      <c r="H45" s="929">
        <v>0.90349999999999997</v>
      </c>
      <c r="I45" s="929">
        <v>0.79949999999999999</v>
      </c>
      <c r="J45" s="929">
        <v>0.79949999999999999</v>
      </c>
      <c r="K45" s="929">
        <v>0.79949999999999999</v>
      </c>
      <c r="L45" s="929">
        <v>0.79949999999999999</v>
      </c>
      <c r="M45" s="929">
        <v>0.79949999999999999</v>
      </c>
    </row>
    <row r="46" spans="1:13">
      <c r="A46" s="936">
        <v>5.3</v>
      </c>
      <c r="B46" s="929">
        <v>0.95350000000000001</v>
      </c>
      <c r="C46" s="929">
        <v>0.95350000000000001</v>
      </c>
      <c r="D46" s="929">
        <v>0.90110000000000001</v>
      </c>
      <c r="E46" s="929">
        <v>0.90110000000000001</v>
      </c>
      <c r="F46" s="929">
        <v>0.90110000000000001</v>
      </c>
      <c r="G46" s="929">
        <v>0.90110000000000001</v>
      </c>
      <c r="H46" s="929">
        <v>0.90110000000000001</v>
      </c>
      <c r="I46" s="929">
        <v>0.79569999999999996</v>
      </c>
      <c r="J46" s="929">
        <v>0.79569999999999996</v>
      </c>
      <c r="K46" s="929">
        <v>0.79569999999999996</v>
      </c>
      <c r="L46" s="929">
        <v>0.79569999999999996</v>
      </c>
      <c r="M46" s="929">
        <v>0.79569999999999996</v>
      </c>
    </row>
    <row r="47" spans="1:13">
      <c r="A47" s="936">
        <v>5.4</v>
      </c>
      <c r="B47" s="929">
        <v>0.9516</v>
      </c>
      <c r="C47" s="929">
        <v>0.9516</v>
      </c>
      <c r="D47" s="929">
        <v>0.89870000000000005</v>
      </c>
      <c r="E47" s="929">
        <v>0.89870000000000005</v>
      </c>
      <c r="F47" s="929">
        <v>0.89870000000000005</v>
      </c>
      <c r="G47" s="929">
        <v>0.89870000000000005</v>
      </c>
      <c r="H47" s="929">
        <v>0.89870000000000005</v>
      </c>
      <c r="I47" s="929">
        <v>0.79200000000000004</v>
      </c>
      <c r="J47" s="929">
        <v>0.79200000000000004</v>
      </c>
      <c r="K47" s="929">
        <v>0.79200000000000004</v>
      </c>
      <c r="L47" s="929">
        <v>0.79200000000000004</v>
      </c>
      <c r="M47" s="929">
        <v>0.79200000000000004</v>
      </c>
    </row>
    <row r="48" spans="1:13">
      <c r="A48" s="936">
        <v>5.5</v>
      </c>
      <c r="B48" s="929">
        <v>0.94979999999999998</v>
      </c>
      <c r="C48" s="929">
        <v>0.94979999999999998</v>
      </c>
      <c r="D48" s="929">
        <v>0.89629999999999999</v>
      </c>
      <c r="E48" s="929">
        <v>0.89629999999999999</v>
      </c>
      <c r="F48" s="929">
        <v>0.89629999999999999</v>
      </c>
      <c r="G48" s="929">
        <v>0.89629999999999999</v>
      </c>
      <c r="H48" s="929">
        <v>0.89629999999999999</v>
      </c>
      <c r="I48" s="929">
        <v>0.7883</v>
      </c>
      <c r="J48" s="929">
        <v>0.7883</v>
      </c>
      <c r="K48" s="929">
        <v>0.7883</v>
      </c>
      <c r="L48" s="929">
        <v>0.7883</v>
      </c>
      <c r="M48" s="929">
        <v>0.7883</v>
      </c>
    </row>
    <row r="49" spans="1:13">
      <c r="A49" s="936">
        <v>5.6</v>
      </c>
      <c r="B49" s="929">
        <v>0.94799999999999995</v>
      </c>
      <c r="C49" s="929">
        <v>0.94799999999999995</v>
      </c>
      <c r="D49" s="929">
        <v>0.89390000000000003</v>
      </c>
      <c r="E49" s="929">
        <v>0.89390000000000003</v>
      </c>
      <c r="F49" s="929">
        <v>0.89390000000000003</v>
      </c>
      <c r="G49" s="929">
        <v>0.89390000000000003</v>
      </c>
      <c r="H49" s="929">
        <v>0.89390000000000003</v>
      </c>
      <c r="I49" s="929">
        <v>0.78469999999999995</v>
      </c>
      <c r="J49" s="929">
        <v>0.78469999999999995</v>
      </c>
      <c r="K49" s="929">
        <v>0.78469999999999995</v>
      </c>
      <c r="L49" s="929">
        <v>0.78469999999999995</v>
      </c>
      <c r="M49" s="929">
        <v>0.78469999999999995</v>
      </c>
    </row>
    <row r="50" spans="1:13">
      <c r="A50" s="936">
        <v>5.7</v>
      </c>
      <c r="B50" s="929">
        <v>0.94620000000000004</v>
      </c>
      <c r="C50" s="929">
        <v>0.94620000000000004</v>
      </c>
      <c r="D50" s="929">
        <v>0.89149999999999996</v>
      </c>
      <c r="E50" s="929">
        <v>0.89149999999999996</v>
      </c>
      <c r="F50" s="929">
        <v>0.89149999999999996</v>
      </c>
      <c r="G50" s="929">
        <v>0.89149999999999996</v>
      </c>
      <c r="H50" s="929">
        <v>0.89149999999999996</v>
      </c>
      <c r="I50" s="929">
        <v>0.78110000000000002</v>
      </c>
      <c r="J50" s="929">
        <v>0.78110000000000002</v>
      </c>
      <c r="K50" s="929">
        <v>0.78110000000000002</v>
      </c>
      <c r="L50" s="929">
        <v>0.78110000000000002</v>
      </c>
      <c r="M50" s="929">
        <v>0.78110000000000002</v>
      </c>
    </row>
    <row r="51" spans="1:13">
      <c r="A51" s="936">
        <v>5.8</v>
      </c>
      <c r="B51" s="929">
        <v>0.94450000000000001</v>
      </c>
      <c r="C51" s="929">
        <v>0.94450000000000001</v>
      </c>
      <c r="D51" s="929">
        <v>0.88919999999999999</v>
      </c>
      <c r="E51" s="929">
        <v>0.88919999999999999</v>
      </c>
      <c r="F51" s="929">
        <v>0.88919999999999999</v>
      </c>
      <c r="G51" s="929">
        <v>0.88919999999999999</v>
      </c>
      <c r="H51" s="929">
        <v>0.88919999999999999</v>
      </c>
      <c r="I51" s="929">
        <v>0.77759999999999996</v>
      </c>
      <c r="J51" s="929">
        <v>0.77759999999999996</v>
      </c>
      <c r="K51" s="929">
        <v>0.77759999999999996</v>
      </c>
      <c r="L51" s="929">
        <v>0.77759999999999996</v>
      </c>
      <c r="M51" s="929">
        <v>0.77759999999999996</v>
      </c>
    </row>
    <row r="52" spans="1:13">
      <c r="A52" s="936">
        <v>5.9</v>
      </c>
      <c r="B52" s="929">
        <v>0.94279999999999997</v>
      </c>
      <c r="C52" s="929">
        <v>0.94279999999999997</v>
      </c>
      <c r="D52" s="929">
        <v>0.88690000000000002</v>
      </c>
      <c r="E52" s="929">
        <v>0.88690000000000002</v>
      </c>
      <c r="F52" s="929">
        <v>0.88690000000000002</v>
      </c>
      <c r="G52" s="929">
        <v>0.88690000000000002</v>
      </c>
      <c r="H52" s="929">
        <v>0.88690000000000002</v>
      </c>
      <c r="I52" s="929">
        <v>0.77410000000000001</v>
      </c>
      <c r="J52" s="929">
        <v>0.77410000000000001</v>
      </c>
      <c r="K52" s="929">
        <v>0.77410000000000001</v>
      </c>
      <c r="L52" s="929">
        <v>0.77410000000000001</v>
      </c>
      <c r="M52" s="929">
        <v>0.77410000000000001</v>
      </c>
    </row>
    <row r="53" spans="1:13">
      <c r="A53" s="920">
        <v>6</v>
      </c>
      <c r="B53" s="929">
        <v>0.94110000000000005</v>
      </c>
      <c r="C53" s="929">
        <v>0.94110000000000005</v>
      </c>
      <c r="D53" s="929">
        <v>0.88460000000000005</v>
      </c>
      <c r="E53" s="929">
        <v>0.88460000000000005</v>
      </c>
      <c r="F53" s="929">
        <v>0.88460000000000005</v>
      </c>
      <c r="G53" s="929">
        <v>0.88460000000000005</v>
      </c>
      <c r="H53" s="929">
        <v>0.88460000000000005</v>
      </c>
      <c r="I53" s="929">
        <v>0.77070000000000005</v>
      </c>
      <c r="J53" s="929">
        <v>0.77070000000000005</v>
      </c>
      <c r="K53" s="929">
        <v>0.77070000000000005</v>
      </c>
      <c r="L53" s="929">
        <v>0.77070000000000005</v>
      </c>
      <c r="M53" s="929">
        <v>0.77070000000000005</v>
      </c>
    </row>
    <row r="54" spans="1:13">
      <c r="A54" s="920">
        <v>6.1</v>
      </c>
      <c r="B54" s="929">
        <v>0.93940000000000001</v>
      </c>
      <c r="C54" s="929">
        <v>0.93940000000000001</v>
      </c>
      <c r="D54" s="929">
        <v>0.88229999999999997</v>
      </c>
      <c r="E54" s="929">
        <v>0.88229999999999997</v>
      </c>
      <c r="F54" s="929">
        <v>0.88229999999999997</v>
      </c>
      <c r="G54" s="929">
        <v>0.88229999999999997</v>
      </c>
      <c r="H54" s="929">
        <v>0.88229999999999997</v>
      </c>
      <c r="I54" s="929">
        <v>0.76729999999999998</v>
      </c>
      <c r="J54" s="929">
        <v>0.76729999999999998</v>
      </c>
      <c r="K54" s="929">
        <v>0.76729999999999998</v>
      </c>
      <c r="L54" s="929">
        <v>0.76729999999999998</v>
      </c>
      <c r="M54" s="929">
        <v>0.76729999999999998</v>
      </c>
    </row>
    <row r="55" spans="1:13">
      <c r="A55" s="920">
        <v>6.2</v>
      </c>
      <c r="B55" s="929">
        <v>0.93769999999999998</v>
      </c>
      <c r="C55" s="929">
        <v>0.93769999999999998</v>
      </c>
      <c r="D55" s="929">
        <v>0.88</v>
      </c>
      <c r="E55" s="929">
        <v>0.88</v>
      </c>
      <c r="F55" s="929">
        <v>0.88</v>
      </c>
      <c r="G55" s="929">
        <v>0.88</v>
      </c>
      <c r="H55" s="929">
        <v>0.88</v>
      </c>
      <c r="I55" s="929">
        <v>0.76400000000000001</v>
      </c>
      <c r="J55" s="929">
        <v>0.76400000000000001</v>
      </c>
      <c r="K55" s="929">
        <v>0.76400000000000001</v>
      </c>
      <c r="L55" s="929">
        <v>0.76400000000000001</v>
      </c>
      <c r="M55" s="929">
        <v>0.76400000000000001</v>
      </c>
    </row>
    <row r="56" spans="1:13">
      <c r="A56" s="920">
        <v>6.3</v>
      </c>
      <c r="B56" s="929">
        <v>0.93610000000000004</v>
      </c>
      <c r="C56" s="929">
        <v>0.93610000000000004</v>
      </c>
      <c r="D56" s="929">
        <v>0.87780000000000002</v>
      </c>
      <c r="E56" s="929">
        <v>0.87780000000000002</v>
      </c>
      <c r="F56" s="929">
        <v>0.87780000000000002</v>
      </c>
      <c r="G56" s="929">
        <v>0.87780000000000002</v>
      </c>
      <c r="H56" s="929">
        <v>0.87780000000000002</v>
      </c>
      <c r="I56" s="929">
        <v>0.76070000000000004</v>
      </c>
      <c r="J56" s="929">
        <v>0.76070000000000004</v>
      </c>
      <c r="K56" s="929">
        <v>0.76070000000000004</v>
      </c>
      <c r="L56" s="929">
        <v>0.76070000000000004</v>
      </c>
      <c r="M56" s="929">
        <v>0.76070000000000004</v>
      </c>
    </row>
    <row r="57" spans="1:13">
      <c r="A57" s="920">
        <v>6.4</v>
      </c>
      <c r="B57" s="929">
        <v>0.9345</v>
      </c>
      <c r="C57" s="929">
        <v>0.9345</v>
      </c>
      <c r="D57" s="929">
        <v>0.87560000000000004</v>
      </c>
      <c r="E57" s="929">
        <v>0.87560000000000004</v>
      </c>
      <c r="F57" s="929">
        <v>0.87560000000000004</v>
      </c>
      <c r="G57" s="929">
        <v>0.87560000000000004</v>
      </c>
      <c r="H57" s="929">
        <v>0.87560000000000004</v>
      </c>
      <c r="I57" s="929">
        <v>0.75749999999999995</v>
      </c>
      <c r="J57" s="929">
        <v>0.75749999999999995</v>
      </c>
      <c r="K57" s="929">
        <v>0.75749999999999995</v>
      </c>
      <c r="L57" s="929">
        <v>0.75749999999999995</v>
      </c>
      <c r="M57" s="929">
        <v>0.75749999999999995</v>
      </c>
    </row>
    <row r="58" spans="1:13">
      <c r="A58" s="920">
        <v>6.5</v>
      </c>
      <c r="B58" s="929">
        <v>0.93289999999999995</v>
      </c>
      <c r="C58" s="929">
        <v>0.93289999999999995</v>
      </c>
      <c r="D58" s="929">
        <v>0.87339999999999995</v>
      </c>
      <c r="E58" s="929">
        <v>0.87339999999999995</v>
      </c>
      <c r="F58" s="929">
        <v>0.87339999999999995</v>
      </c>
      <c r="G58" s="929">
        <v>0.87339999999999995</v>
      </c>
      <c r="H58" s="929">
        <v>0.87339999999999995</v>
      </c>
      <c r="I58" s="929">
        <v>0.75429999999999997</v>
      </c>
      <c r="J58" s="929">
        <v>0.75429999999999997</v>
      </c>
      <c r="K58" s="929">
        <v>0.75429999999999997</v>
      </c>
      <c r="L58" s="929">
        <v>0.75429999999999997</v>
      </c>
      <c r="M58" s="929">
        <v>0.75429999999999997</v>
      </c>
    </row>
    <row r="59" spans="1:13">
      <c r="A59" s="936">
        <v>6.6</v>
      </c>
      <c r="B59" s="929">
        <v>0.93130000000000002</v>
      </c>
      <c r="C59" s="929">
        <v>0.93130000000000002</v>
      </c>
      <c r="D59" s="929">
        <v>0.87119999999999997</v>
      </c>
      <c r="E59" s="929">
        <v>0.87119999999999997</v>
      </c>
      <c r="F59" s="929">
        <v>0.87119999999999997</v>
      </c>
      <c r="G59" s="929">
        <v>0.87119999999999997</v>
      </c>
      <c r="H59" s="929">
        <v>0.87119999999999997</v>
      </c>
      <c r="I59" s="929">
        <v>0.75119999999999998</v>
      </c>
      <c r="J59" s="929">
        <v>0.75119999999999998</v>
      </c>
      <c r="K59" s="929">
        <v>0.75119999999999998</v>
      </c>
      <c r="L59" s="929">
        <v>0.75119999999999998</v>
      </c>
      <c r="M59" s="929">
        <v>0.75119999999999998</v>
      </c>
    </row>
    <row r="60" spans="1:13">
      <c r="A60" s="920">
        <v>6.7</v>
      </c>
      <c r="B60" s="929">
        <v>0.92969999999999997</v>
      </c>
      <c r="C60" s="929">
        <v>0.92969999999999997</v>
      </c>
      <c r="D60" s="929">
        <v>0.86899999999999999</v>
      </c>
      <c r="E60" s="929">
        <v>0.86899999999999999</v>
      </c>
      <c r="F60" s="929">
        <v>0.86899999999999999</v>
      </c>
      <c r="G60" s="929">
        <v>0.86899999999999999</v>
      </c>
      <c r="H60" s="929">
        <v>0.86899999999999999</v>
      </c>
      <c r="I60" s="929">
        <v>0.74809999999999999</v>
      </c>
      <c r="J60" s="929">
        <v>0.74809999999999999</v>
      </c>
      <c r="K60" s="929">
        <v>0.74809999999999999</v>
      </c>
      <c r="L60" s="929">
        <v>0.74809999999999999</v>
      </c>
      <c r="M60" s="929">
        <v>0.74809999999999999</v>
      </c>
    </row>
    <row r="61" spans="1:13">
      <c r="A61" s="920">
        <v>6.8</v>
      </c>
      <c r="B61" s="929">
        <v>0.92820000000000003</v>
      </c>
      <c r="C61" s="929">
        <v>0.92820000000000003</v>
      </c>
      <c r="D61" s="929">
        <v>0.8669</v>
      </c>
      <c r="E61" s="929">
        <v>0.8669</v>
      </c>
      <c r="F61" s="929">
        <v>0.8669</v>
      </c>
      <c r="G61" s="929">
        <v>0.8669</v>
      </c>
      <c r="H61" s="929">
        <v>0.8669</v>
      </c>
      <c r="I61" s="929">
        <v>0.74509999999999998</v>
      </c>
      <c r="J61" s="929">
        <v>0.74509999999999998</v>
      </c>
      <c r="K61" s="929">
        <v>0.74509999999999998</v>
      </c>
      <c r="L61" s="929">
        <v>0.74509999999999998</v>
      </c>
      <c r="M61" s="929">
        <v>0.74509999999999998</v>
      </c>
    </row>
    <row r="62" spans="1:13">
      <c r="A62" s="920">
        <v>6.9</v>
      </c>
      <c r="B62" s="929">
        <v>0.92669999999999997</v>
      </c>
      <c r="C62" s="929">
        <v>0.92669999999999997</v>
      </c>
      <c r="D62" s="929">
        <v>0.86480000000000001</v>
      </c>
      <c r="E62" s="929">
        <v>0.86480000000000001</v>
      </c>
      <c r="F62" s="929">
        <v>0.86480000000000001</v>
      </c>
      <c r="G62" s="929">
        <v>0.86480000000000001</v>
      </c>
      <c r="H62" s="929">
        <v>0.86480000000000001</v>
      </c>
      <c r="I62" s="929">
        <v>0.74209999999999998</v>
      </c>
      <c r="J62" s="929">
        <v>0.74209999999999998</v>
      </c>
      <c r="K62" s="929">
        <v>0.74209999999999998</v>
      </c>
      <c r="L62" s="929">
        <v>0.74209999999999998</v>
      </c>
      <c r="M62" s="929">
        <v>0.74209999999999998</v>
      </c>
    </row>
    <row r="63" spans="1:13">
      <c r="A63" s="920">
        <v>7</v>
      </c>
      <c r="B63" s="929">
        <v>0.92520000000000002</v>
      </c>
      <c r="C63" s="929">
        <v>0.92520000000000002</v>
      </c>
      <c r="D63" s="929">
        <v>0.86270000000000002</v>
      </c>
      <c r="E63" s="929">
        <v>0.86270000000000002</v>
      </c>
      <c r="F63" s="929">
        <v>0.86270000000000002</v>
      </c>
      <c r="G63" s="929">
        <v>0.86270000000000002</v>
      </c>
      <c r="H63" s="929">
        <v>0.86270000000000002</v>
      </c>
      <c r="I63" s="929">
        <v>0.73919999999999997</v>
      </c>
      <c r="J63" s="929">
        <v>0.73919999999999997</v>
      </c>
      <c r="K63" s="929">
        <v>0.73919999999999997</v>
      </c>
      <c r="L63" s="929">
        <v>0.73919999999999997</v>
      </c>
      <c r="M63" s="929">
        <v>0.73919999999999997</v>
      </c>
    </row>
    <row r="64" spans="1:13">
      <c r="A64" s="920">
        <v>7.1</v>
      </c>
      <c r="B64" s="929">
        <v>0.92369999999999997</v>
      </c>
      <c r="C64" s="929">
        <v>0.92369999999999997</v>
      </c>
      <c r="D64" s="929">
        <v>0.86060000000000003</v>
      </c>
      <c r="E64" s="929">
        <v>0.86060000000000003</v>
      </c>
      <c r="F64" s="929">
        <v>0.86060000000000003</v>
      </c>
      <c r="G64" s="929">
        <v>0.86060000000000003</v>
      </c>
      <c r="H64" s="929">
        <v>0.86060000000000003</v>
      </c>
      <c r="I64" s="929">
        <v>0.73629999999999995</v>
      </c>
      <c r="J64" s="929">
        <v>0.73629999999999995</v>
      </c>
      <c r="K64" s="929">
        <v>0.73629999999999995</v>
      </c>
      <c r="L64" s="929">
        <v>0.73629999999999995</v>
      </c>
      <c r="M64" s="929">
        <v>0.73629999999999995</v>
      </c>
    </row>
    <row r="65" spans="1:13">
      <c r="A65" s="920">
        <v>7.2</v>
      </c>
      <c r="B65" s="929">
        <v>0.92220000000000002</v>
      </c>
      <c r="C65" s="929">
        <v>0.92220000000000002</v>
      </c>
      <c r="D65" s="929">
        <v>0.85850000000000004</v>
      </c>
      <c r="E65" s="929">
        <v>0.85850000000000004</v>
      </c>
      <c r="F65" s="929">
        <v>0.85850000000000004</v>
      </c>
      <c r="G65" s="929">
        <v>0.85850000000000004</v>
      </c>
      <c r="H65" s="929">
        <v>0.85850000000000004</v>
      </c>
      <c r="I65" s="929">
        <v>0.73350000000000004</v>
      </c>
      <c r="J65" s="929">
        <v>0.73350000000000004</v>
      </c>
      <c r="K65" s="929">
        <v>0.73350000000000004</v>
      </c>
      <c r="L65" s="929">
        <v>0.73350000000000004</v>
      </c>
      <c r="M65" s="929">
        <v>0.73350000000000004</v>
      </c>
    </row>
    <row r="66" spans="1:13">
      <c r="A66" s="920">
        <v>7.3</v>
      </c>
      <c r="B66" s="929">
        <v>0.92069999999999996</v>
      </c>
      <c r="C66" s="929">
        <v>0.92069999999999996</v>
      </c>
      <c r="D66" s="929">
        <v>0.85650000000000004</v>
      </c>
      <c r="E66" s="929">
        <v>0.85650000000000004</v>
      </c>
      <c r="F66" s="929">
        <v>0.85650000000000004</v>
      </c>
      <c r="G66" s="929">
        <v>0.85650000000000004</v>
      </c>
      <c r="H66" s="929">
        <v>0.85650000000000004</v>
      </c>
      <c r="I66" s="929">
        <v>0.73070000000000002</v>
      </c>
      <c r="J66" s="929">
        <v>0.73070000000000002</v>
      </c>
      <c r="K66" s="929">
        <v>0.73070000000000002</v>
      </c>
      <c r="L66" s="929">
        <v>0.73070000000000002</v>
      </c>
      <c r="M66" s="929">
        <v>0.73070000000000002</v>
      </c>
    </row>
    <row r="67" spans="1:13">
      <c r="A67" s="920">
        <v>7.4</v>
      </c>
      <c r="B67" s="929">
        <v>0.91930000000000001</v>
      </c>
      <c r="C67" s="929">
        <v>0.91930000000000001</v>
      </c>
      <c r="D67" s="929">
        <v>0.85450000000000004</v>
      </c>
      <c r="E67" s="929">
        <v>0.85450000000000004</v>
      </c>
      <c r="F67" s="929">
        <v>0.85450000000000004</v>
      </c>
      <c r="G67" s="929">
        <v>0.85450000000000004</v>
      </c>
      <c r="H67" s="929">
        <v>0.85450000000000004</v>
      </c>
      <c r="I67" s="929">
        <v>0.72799999999999998</v>
      </c>
      <c r="J67" s="929">
        <v>0.72799999999999998</v>
      </c>
      <c r="K67" s="929">
        <v>0.72799999999999998</v>
      </c>
      <c r="L67" s="929">
        <v>0.72799999999999998</v>
      </c>
      <c r="M67" s="929">
        <v>0.72799999999999998</v>
      </c>
    </row>
    <row r="68" spans="1:13">
      <c r="A68" s="920">
        <v>7.5</v>
      </c>
      <c r="B68" s="929">
        <v>0.91790000000000005</v>
      </c>
      <c r="C68" s="929">
        <v>0.91790000000000005</v>
      </c>
      <c r="D68" s="929">
        <v>0.85250000000000004</v>
      </c>
      <c r="E68" s="929">
        <v>0.85250000000000004</v>
      </c>
      <c r="F68" s="929">
        <v>0.85250000000000004</v>
      </c>
      <c r="G68" s="929">
        <v>0.85250000000000004</v>
      </c>
      <c r="H68" s="929">
        <v>0.85250000000000004</v>
      </c>
      <c r="I68" s="929">
        <v>0.72529999999999994</v>
      </c>
      <c r="J68" s="929">
        <v>0.72529999999999994</v>
      </c>
      <c r="K68" s="929">
        <v>0.72529999999999994</v>
      </c>
      <c r="L68" s="929">
        <v>0.72529999999999994</v>
      </c>
      <c r="M68" s="929">
        <v>0.72529999999999994</v>
      </c>
    </row>
    <row r="69" spans="1:13">
      <c r="A69" s="920">
        <v>7.6</v>
      </c>
      <c r="B69" s="929">
        <v>0.91649999999999998</v>
      </c>
      <c r="C69" s="929">
        <v>0.91649999999999998</v>
      </c>
      <c r="D69" s="929">
        <v>0.85050000000000003</v>
      </c>
      <c r="E69" s="929">
        <v>0.85050000000000003</v>
      </c>
      <c r="F69" s="929">
        <v>0.85050000000000003</v>
      </c>
      <c r="G69" s="929">
        <v>0.85050000000000003</v>
      </c>
      <c r="H69" s="929">
        <v>0.85050000000000003</v>
      </c>
      <c r="I69" s="929">
        <v>0.72260000000000002</v>
      </c>
      <c r="J69" s="929">
        <v>0.72260000000000002</v>
      </c>
      <c r="K69" s="929">
        <v>0.72260000000000002</v>
      </c>
      <c r="L69" s="929">
        <v>0.72260000000000002</v>
      </c>
      <c r="M69" s="929">
        <v>0.72260000000000002</v>
      </c>
    </row>
    <row r="70" spans="1:13">
      <c r="A70" s="920">
        <v>7.7</v>
      </c>
      <c r="B70" s="929">
        <v>0.91510000000000002</v>
      </c>
      <c r="C70" s="929">
        <v>0.91510000000000002</v>
      </c>
      <c r="D70" s="929">
        <v>0.84850000000000003</v>
      </c>
      <c r="E70" s="929">
        <v>0.84850000000000003</v>
      </c>
      <c r="F70" s="929">
        <v>0.84850000000000003</v>
      </c>
      <c r="G70" s="929">
        <v>0.84850000000000003</v>
      </c>
      <c r="H70" s="929">
        <v>0.84850000000000003</v>
      </c>
      <c r="I70" s="929">
        <v>0.72</v>
      </c>
      <c r="J70" s="929">
        <v>0.72</v>
      </c>
      <c r="K70" s="929">
        <v>0.72</v>
      </c>
      <c r="L70" s="929">
        <v>0.72</v>
      </c>
      <c r="M70" s="929">
        <v>0.72</v>
      </c>
    </row>
    <row r="71" spans="1:13">
      <c r="A71" s="920">
        <v>7.8</v>
      </c>
      <c r="B71" s="929">
        <v>0.91369999999999996</v>
      </c>
      <c r="C71" s="929">
        <v>0.91369999999999996</v>
      </c>
      <c r="D71" s="929">
        <v>0.84660000000000002</v>
      </c>
      <c r="E71" s="929">
        <v>0.84660000000000002</v>
      </c>
      <c r="F71" s="929">
        <v>0.84660000000000002</v>
      </c>
      <c r="G71" s="929">
        <v>0.84660000000000002</v>
      </c>
      <c r="H71" s="929">
        <v>0.84660000000000002</v>
      </c>
      <c r="I71" s="929">
        <v>0.71740000000000004</v>
      </c>
      <c r="J71" s="929">
        <v>0.71740000000000004</v>
      </c>
      <c r="K71" s="929">
        <v>0.71740000000000004</v>
      </c>
      <c r="L71" s="929">
        <v>0.71740000000000004</v>
      </c>
      <c r="M71" s="929">
        <v>0.71740000000000004</v>
      </c>
    </row>
    <row r="72" spans="1:13">
      <c r="A72" s="920">
        <v>7.9</v>
      </c>
      <c r="B72" s="929">
        <v>0.9123</v>
      </c>
      <c r="C72" s="929">
        <v>0.9123</v>
      </c>
      <c r="D72" s="929">
        <v>0.84470000000000001</v>
      </c>
      <c r="E72" s="929">
        <v>0.84470000000000001</v>
      </c>
      <c r="F72" s="929">
        <v>0.84470000000000001</v>
      </c>
      <c r="G72" s="929">
        <v>0.84470000000000001</v>
      </c>
      <c r="H72" s="929">
        <v>0.84470000000000001</v>
      </c>
      <c r="I72" s="929">
        <v>0.71479999999999999</v>
      </c>
      <c r="J72" s="929">
        <v>0.71479999999999999</v>
      </c>
      <c r="K72" s="929">
        <v>0.71479999999999999</v>
      </c>
      <c r="L72" s="929">
        <v>0.71479999999999999</v>
      </c>
      <c r="M72" s="929">
        <v>0.71479999999999999</v>
      </c>
    </row>
    <row r="73" spans="1:13">
      <c r="A73" s="920">
        <v>8</v>
      </c>
      <c r="B73" s="929">
        <v>0.91090000000000004</v>
      </c>
      <c r="C73" s="929">
        <v>0.91090000000000004</v>
      </c>
      <c r="D73" s="929">
        <v>0.84279999999999999</v>
      </c>
      <c r="E73" s="929">
        <v>0.84279999999999999</v>
      </c>
      <c r="F73" s="929">
        <v>0.84279999999999999</v>
      </c>
      <c r="G73" s="929">
        <v>0.84279999999999999</v>
      </c>
      <c r="H73" s="929">
        <v>0.84279999999999999</v>
      </c>
      <c r="I73" s="929">
        <v>0.71230000000000004</v>
      </c>
      <c r="J73" s="929">
        <v>0.71230000000000004</v>
      </c>
      <c r="K73" s="929">
        <v>0.71230000000000004</v>
      </c>
      <c r="L73" s="929">
        <v>0.71230000000000004</v>
      </c>
      <c r="M73" s="929">
        <v>0.71230000000000004</v>
      </c>
    </row>
    <row r="74" spans="1:13">
      <c r="A74" s="920">
        <v>8.1</v>
      </c>
      <c r="B74" s="929">
        <v>0.90959999999999996</v>
      </c>
      <c r="C74" s="929">
        <v>0.90959999999999996</v>
      </c>
      <c r="D74" s="929">
        <v>0.84089999999999998</v>
      </c>
      <c r="E74" s="929">
        <v>0.84089999999999998</v>
      </c>
      <c r="F74" s="929">
        <v>0.84089999999999998</v>
      </c>
      <c r="G74" s="929">
        <v>0.84089999999999998</v>
      </c>
      <c r="H74" s="929">
        <v>0.84089999999999998</v>
      </c>
      <c r="I74" s="929">
        <v>0.70979999999999999</v>
      </c>
      <c r="J74" s="929">
        <v>0.70979999999999999</v>
      </c>
      <c r="K74" s="929">
        <v>0.70979999999999999</v>
      </c>
      <c r="L74" s="929">
        <v>0.70979999999999999</v>
      </c>
      <c r="M74" s="929">
        <v>0.70979999999999999</v>
      </c>
    </row>
    <row r="75" spans="1:13">
      <c r="A75" s="920">
        <v>8.1999999999999993</v>
      </c>
      <c r="B75" s="929">
        <v>0.9083</v>
      </c>
      <c r="C75" s="929">
        <v>0.9083</v>
      </c>
      <c r="D75" s="929">
        <v>0.83899999999999997</v>
      </c>
      <c r="E75" s="929">
        <v>0.83899999999999997</v>
      </c>
      <c r="F75" s="929">
        <v>0.83899999999999997</v>
      </c>
      <c r="G75" s="929">
        <v>0.83899999999999997</v>
      </c>
      <c r="H75" s="929">
        <v>0.83899999999999997</v>
      </c>
      <c r="I75" s="929">
        <v>0.70730000000000004</v>
      </c>
      <c r="J75" s="929">
        <v>0.70730000000000004</v>
      </c>
      <c r="K75" s="929">
        <v>0.70730000000000004</v>
      </c>
      <c r="L75" s="929">
        <v>0.70730000000000004</v>
      </c>
      <c r="M75" s="929">
        <v>0.70730000000000004</v>
      </c>
    </row>
    <row r="76" spans="1:13">
      <c r="A76" s="920">
        <v>8.3000000000000007</v>
      </c>
      <c r="B76" s="929">
        <v>0.90700000000000003</v>
      </c>
      <c r="C76" s="929">
        <v>0.90700000000000003</v>
      </c>
      <c r="D76" s="929">
        <v>0.83720000000000006</v>
      </c>
      <c r="E76" s="929">
        <v>0.83720000000000006</v>
      </c>
      <c r="F76" s="929">
        <v>0.83720000000000006</v>
      </c>
      <c r="G76" s="929">
        <v>0.83720000000000006</v>
      </c>
      <c r="H76" s="929">
        <v>0.83720000000000006</v>
      </c>
      <c r="I76" s="929">
        <v>0.70489999999999997</v>
      </c>
      <c r="J76" s="929">
        <v>0.70489999999999997</v>
      </c>
      <c r="K76" s="929">
        <v>0.70489999999999997</v>
      </c>
      <c r="L76" s="929">
        <v>0.70489999999999997</v>
      </c>
      <c r="M76" s="929">
        <v>0.70489999999999997</v>
      </c>
    </row>
    <row r="77" spans="1:13">
      <c r="A77" s="920">
        <v>8.4</v>
      </c>
      <c r="B77" s="929">
        <v>0.90569999999999995</v>
      </c>
      <c r="C77" s="929">
        <v>0.90569999999999995</v>
      </c>
      <c r="D77" s="929">
        <v>0.83540000000000003</v>
      </c>
      <c r="E77" s="929">
        <v>0.83540000000000003</v>
      </c>
      <c r="F77" s="929">
        <v>0.83540000000000003</v>
      </c>
      <c r="G77" s="929">
        <v>0.83540000000000003</v>
      </c>
      <c r="H77" s="929">
        <v>0.83540000000000003</v>
      </c>
      <c r="I77" s="929">
        <v>0.70250000000000001</v>
      </c>
      <c r="J77" s="929">
        <v>0.70250000000000001</v>
      </c>
      <c r="K77" s="929">
        <v>0.70250000000000001</v>
      </c>
      <c r="L77" s="929">
        <v>0.70250000000000001</v>
      </c>
      <c r="M77" s="929">
        <v>0.70250000000000001</v>
      </c>
    </row>
    <row r="78" spans="1:13">
      <c r="A78" s="920">
        <v>8.5</v>
      </c>
      <c r="B78" s="929">
        <v>0.90439999999999998</v>
      </c>
      <c r="C78" s="929">
        <v>0.90439999999999998</v>
      </c>
      <c r="D78" s="929">
        <v>0.83360000000000001</v>
      </c>
      <c r="E78" s="929">
        <v>0.83360000000000001</v>
      </c>
      <c r="F78" s="929">
        <v>0.83360000000000001</v>
      </c>
      <c r="G78" s="929">
        <v>0.83360000000000001</v>
      </c>
      <c r="H78" s="929">
        <v>0.83360000000000001</v>
      </c>
      <c r="I78" s="929">
        <v>0.70009999999999994</v>
      </c>
      <c r="J78" s="929">
        <v>0.70009999999999994</v>
      </c>
      <c r="K78" s="929">
        <v>0.70009999999999994</v>
      </c>
      <c r="L78" s="929">
        <v>0.70009999999999994</v>
      </c>
      <c r="M78" s="929">
        <v>0.70009999999999994</v>
      </c>
    </row>
    <row r="79" spans="1:13">
      <c r="A79" s="920">
        <v>8.6</v>
      </c>
      <c r="B79" s="929">
        <v>0.90310000000000001</v>
      </c>
      <c r="C79" s="929">
        <v>0.90310000000000001</v>
      </c>
      <c r="D79" s="929">
        <v>0.83179999999999998</v>
      </c>
      <c r="E79" s="929">
        <v>0.83179999999999998</v>
      </c>
      <c r="F79" s="929">
        <v>0.83179999999999998</v>
      </c>
      <c r="G79" s="929">
        <v>0.83179999999999998</v>
      </c>
      <c r="H79" s="929">
        <v>0.83179999999999998</v>
      </c>
      <c r="I79" s="929">
        <v>0.69779999999999998</v>
      </c>
      <c r="J79" s="929">
        <v>0.69779999999999998</v>
      </c>
      <c r="K79" s="929">
        <v>0.69779999999999998</v>
      </c>
      <c r="L79" s="929">
        <v>0.69779999999999998</v>
      </c>
      <c r="M79" s="929">
        <v>0.69779999999999998</v>
      </c>
    </row>
    <row r="80" spans="1:13">
      <c r="A80" s="920">
        <v>8.6999999999999993</v>
      </c>
      <c r="B80" s="929">
        <v>0.90180000000000005</v>
      </c>
      <c r="C80" s="929">
        <v>0.90180000000000005</v>
      </c>
      <c r="D80" s="929">
        <v>0.83</v>
      </c>
      <c r="E80" s="929">
        <v>0.83</v>
      </c>
      <c r="F80" s="929">
        <v>0.83</v>
      </c>
      <c r="G80" s="929">
        <v>0.83</v>
      </c>
      <c r="H80" s="929">
        <v>0.83</v>
      </c>
      <c r="I80" s="929">
        <v>0.69550000000000001</v>
      </c>
      <c r="J80" s="929">
        <v>0.69550000000000001</v>
      </c>
      <c r="K80" s="929">
        <v>0.69550000000000001</v>
      </c>
      <c r="L80" s="929">
        <v>0.69550000000000001</v>
      </c>
      <c r="M80" s="929">
        <v>0.69550000000000001</v>
      </c>
    </row>
    <row r="81" spans="1:14">
      <c r="A81" s="920">
        <v>8.8000000000000007</v>
      </c>
      <c r="B81" s="929">
        <v>0.90059999999999996</v>
      </c>
      <c r="C81" s="929">
        <v>0.90059999999999996</v>
      </c>
      <c r="D81" s="929">
        <v>0.82830000000000004</v>
      </c>
      <c r="E81" s="929">
        <v>0.82830000000000004</v>
      </c>
      <c r="F81" s="929">
        <v>0.82830000000000004</v>
      </c>
      <c r="G81" s="929">
        <v>0.82830000000000004</v>
      </c>
      <c r="H81" s="929">
        <v>0.82830000000000004</v>
      </c>
      <c r="I81" s="929">
        <v>0.69320000000000004</v>
      </c>
      <c r="J81" s="929">
        <v>0.69320000000000004</v>
      </c>
      <c r="K81" s="929">
        <v>0.69320000000000004</v>
      </c>
      <c r="L81" s="929">
        <v>0.69320000000000004</v>
      </c>
      <c r="M81" s="929">
        <v>0.69320000000000004</v>
      </c>
    </row>
    <row r="82" spans="1:14">
      <c r="A82" s="920">
        <v>8.9</v>
      </c>
      <c r="B82" s="929">
        <v>0.89939999999999998</v>
      </c>
      <c r="C82" s="929">
        <v>0.89939999999999998</v>
      </c>
      <c r="D82" s="929">
        <v>0.8266</v>
      </c>
      <c r="E82" s="929">
        <v>0.8266</v>
      </c>
      <c r="F82" s="929">
        <v>0.8266</v>
      </c>
      <c r="G82" s="929">
        <v>0.8266</v>
      </c>
      <c r="H82" s="929">
        <v>0.8266</v>
      </c>
      <c r="I82" s="929">
        <v>0.69099999999999995</v>
      </c>
      <c r="J82" s="929">
        <v>0.69099999999999995</v>
      </c>
      <c r="K82" s="929">
        <v>0.69099999999999995</v>
      </c>
      <c r="L82" s="929">
        <v>0.69099999999999995</v>
      </c>
      <c r="M82" s="929">
        <v>0.69099999999999995</v>
      </c>
    </row>
    <row r="83" spans="1:14">
      <c r="A83" s="920">
        <v>9</v>
      </c>
      <c r="B83" s="929">
        <v>0.8982</v>
      </c>
      <c r="C83" s="929">
        <v>0.8982</v>
      </c>
      <c r="D83" s="929">
        <v>0.82489999999999997</v>
      </c>
      <c r="E83" s="929">
        <v>0.82489999999999997</v>
      </c>
      <c r="F83" s="929">
        <v>0.82489999999999997</v>
      </c>
      <c r="G83" s="929">
        <v>0.82489999999999997</v>
      </c>
      <c r="H83" s="929">
        <v>0.82489999999999997</v>
      </c>
      <c r="I83" s="929">
        <v>0.68879999999999997</v>
      </c>
      <c r="J83" s="929">
        <v>0.68879999999999997</v>
      </c>
      <c r="K83" s="929">
        <v>0.68879999999999997</v>
      </c>
      <c r="L83" s="929">
        <v>0.68879999999999997</v>
      </c>
      <c r="M83" s="929">
        <v>0.68879999999999997</v>
      </c>
    </row>
    <row r="84" spans="1:14">
      <c r="A84" s="920">
        <v>9.1</v>
      </c>
      <c r="B84" s="929">
        <v>0.89700000000000002</v>
      </c>
      <c r="C84" s="929">
        <v>0.89700000000000002</v>
      </c>
      <c r="D84" s="929">
        <v>0.82320000000000004</v>
      </c>
      <c r="E84" s="929">
        <v>0.82320000000000004</v>
      </c>
      <c r="F84" s="929">
        <v>0.82320000000000004</v>
      </c>
      <c r="G84" s="929">
        <v>0.82320000000000004</v>
      </c>
      <c r="H84" s="929">
        <v>0.82320000000000004</v>
      </c>
      <c r="I84" s="929">
        <v>0.68659999999999999</v>
      </c>
      <c r="J84" s="929">
        <v>0.68659999999999999</v>
      </c>
      <c r="K84" s="929">
        <v>0.68659999999999999</v>
      </c>
      <c r="L84" s="929">
        <v>0.68659999999999999</v>
      </c>
      <c r="M84" s="929">
        <v>0.68659999999999999</v>
      </c>
    </row>
    <row r="85" spans="1:14">
      <c r="A85" s="920">
        <v>9.1999999999999993</v>
      </c>
      <c r="B85" s="929">
        <v>0.89580000000000004</v>
      </c>
      <c r="C85" s="929">
        <v>0.89580000000000004</v>
      </c>
      <c r="D85" s="929">
        <v>0.82150000000000001</v>
      </c>
      <c r="E85" s="929">
        <v>0.82150000000000001</v>
      </c>
      <c r="F85" s="929">
        <v>0.82150000000000001</v>
      </c>
      <c r="G85" s="929">
        <v>0.82150000000000001</v>
      </c>
      <c r="H85" s="929">
        <v>0.82150000000000001</v>
      </c>
      <c r="I85" s="929">
        <v>0.6845</v>
      </c>
      <c r="J85" s="929">
        <v>0.6845</v>
      </c>
      <c r="K85" s="929">
        <v>0.6845</v>
      </c>
      <c r="L85" s="929">
        <v>0.6845</v>
      </c>
      <c r="M85" s="929">
        <v>0.6845</v>
      </c>
    </row>
    <row r="86" spans="1:14">
      <c r="A86" s="920">
        <v>9.3000000000000007</v>
      </c>
      <c r="B86" s="929">
        <v>0.89459999999999995</v>
      </c>
      <c r="C86" s="929">
        <v>0.89459999999999995</v>
      </c>
      <c r="D86" s="929">
        <v>0.81989999999999996</v>
      </c>
      <c r="E86" s="929">
        <v>0.81989999999999996</v>
      </c>
      <c r="F86" s="929">
        <v>0.81989999999999996</v>
      </c>
      <c r="G86" s="929">
        <v>0.81989999999999996</v>
      </c>
      <c r="H86" s="929">
        <v>0.81989999999999996</v>
      </c>
      <c r="I86" s="929">
        <v>0.68240000000000001</v>
      </c>
      <c r="J86" s="929">
        <v>0.68240000000000001</v>
      </c>
      <c r="K86" s="929">
        <v>0.68240000000000001</v>
      </c>
      <c r="L86" s="929">
        <v>0.68240000000000001</v>
      </c>
      <c r="M86" s="929">
        <v>0.68240000000000001</v>
      </c>
    </row>
    <row r="87" spans="1:14">
      <c r="A87" s="920">
        <v>9.4</v>
      </c>
      <c r="B87" s="929">
        <v>0.89339999999999997</v>
      </c>
      <c r="C87" s="929">
        <v>0.89339999999999997</v>
      </c>
      <c r="D87" s="929">
        <v>0.81830000000000003</v>
      </c>
      <c r="E87" s="929">
        <v>0.81830000000000003</v>
      </c>
      <c r="F87" s="929">
        <v>0.81830000000000003</v>
      </c>
      <c r="G87" s="929">
        <v>0.81830000000000003</v>
      </c>
      <c r="H87" s="929">
        <v>0.81830000000000003</v>
      </c>
      <c r="I87" s="929">
        <v>0.68030000000000002</v>
      </c>
      <c r="J87" s="929">
        <v>0.68030000000000002</v>
      </c>
      <c r="K87" s="929">
        <v>0.68030000000000002</v>
      </c>
      <c r="L87" s="929">
        <v>0.68030000000000002</v>
      </c>
      <c r="M87" s="929">
        <v>0.68030000000000002</v>
      </c>
    </row>
    <row r="88" spans="1:14">
      <c r="A88" s="920">
        <v>9.5</v>
      </c>
      <c r="B88" s="929">
        <v>0.89229999999999998</v>
      </c>
      <c r="C88" s="929">
        <v>0.89229999999999998</v>
      </c>
      <c r="D88" s="929">
        <v>0.81669999999999998</v>
      </c>
      <c r="E88" s="929">
        <v>0.81669999999999998</v>
      </c>
      <c r="F88" s="929">
        <v>0.81669999999999998</v>
      </c>
      <c r="G88" s="929">
        <v>0.81669999999999998</v>
      </c>
      <c r="H88" s="929">
        <v>0.81669999999999998</v>
      </c>
      <c r="I88" s="929">
        <v>0.67830000000000001</v>
      </c>
      <c r="J88" s="929">
        <v>0.67830000000000001</v>
      </c>
      <c r="K88" s="929">
        <v>0.67830000000000001</v>
      </c>
      <c r="L88" s="929">
        <v>0.67830000000000001</v>
      </c>
      <c r="M88" s="929">
        <v>0.67830000000000001</v>
      </c>
    </row>
    <row r="89" spans="1:14">
      <c r="A89" s="920">
        <v>9.6</v>
      </c>
      <c r="B89" s="929">
        <v>0.89119999999999999</v>
      </c>
      <c r="C89" s="929">
        <v>0.89119999999999999</v>
      </c>
      <c r="D89" s="929">
        <v>0.81510000000000005</v>
      </c>
      <c r="E89" s="929">
        <v>0.81510000000000005</v>
      </c>
      <c r="F89" s="929">
        <v>0.81510000000000005</v>
      </c>
      <c r="G89" s="929">
        <v>0.81510000000000005</v>
      </c>
      <c r="H89" s="929">
        <v>0.81510000000000005</v>
      </c>
      <c r="I89" s="929">
        <v>0.67630000000000001</v>
      </c>
      <c r="J89" s="929">
        <v>0.67630000000000001</v>
      </c>
      <c r="K89" s="929">
        <v>0.67630000000000001</v>
      </c>
      <c r="L89" s="929">
        <v>0.67630000000000001</v>
      </c>
      <c r="M89" s="929">
        <v>0.67630000000000001</v>
      </c>
    </row>
    <row r="90" spans="1:14">
      <c r="A90" s="920">
        <v>9.6999999999999993</v>
      </c>
      <c r="B90" s="929">
        <v>0.8901</v>
      </c>
      <c r="C90" s="929">
        <v>0.8901</v>
      </c>
      <c r="D90" s="929">
        <v>0.8135</v>
      </c>
      <c r="E90" s="929">
        <v>0.8135</v>
      </c>
      <c r="F90" s="929">
        <v>0.8135</v>
      </c>
      <c r="G90" s="929">
        <v>0.8135</v>
      </c>
      <c r="H90" s="929">
        <v>0.8135</v>
      </c>
      <c r="I90" s="929">
        <v>0.67430000000000001</v>
      </c>
      <c r="J90" s="929">
        <v>0.67430000000000001</v>
      </c>
      <c r="K90" s="929">
        <v>0.67430000000000001</v>
      </c>
      <c r="L90" s="929">
        <v>0.67430000000000001</v>
      </c>
      <c r="M90" s="929">
        <v>0.67430000000000001</v>
      </c>
    </row>
    <row r="91" spans="1:14">
      <c r="A91" s="920">
        <v>9.8000000000000007</v>
      </c>
      <c r="B91" s="929">
        <v>0.88900000000000001</v>
      </c>
      <c r="C91" s="929">
        <v>0.88900000000000001</v>
      </c>
      <c r="D91" s="929">
        <v>0.81200000000000006</v>
      </c>
      <c r="E91" s="929">
        <v>0.81200000000000006</v>
      </c>
      <c r="F91" s="929">
        <v>0.81200000000000006</v>
      </c>
      <c r="G91" s="929">
        <v>0.81200000000000006</v>
      </c>
      <c r="H91" s="929">
        <v>0.81200000000000006</v>
      </c>
      <c r="I91" s="929">
        <v>0.6724</v>
      </c>
      <c r="J91" s="929">
        <v>0.6724</v>
      </c>
      <c r="K91" s="929">
        <v>0.6724</v>
      </c>
      <c r="L91" s="929">
        <v>0.6724</v>
      </c>
      <c r="M91" s="929">
        <v>0.6724</v>
      </c>
    </row>
    <row r="92" spans="1:14">
      <c r="A92" s="936">
        <v>9.9</v>
      </c>
      <c r="B92" s="929">
        <v>0.88790000000000002</v>
      </c>
      <c r="C92" s="929">
        <v>0.88790000000000002</v>
      </c>
      <c r="D92" s="929">
        <v>0.8105</v>
      </c>
      <c r="E92" s="929">
        <v>0.8105</v>
      </c>
      <c r="F92" s="929">
        <v>0.8105</v>
      </c>
      <c r="G92" s="929">
        <v>0.8105</v>
      </c>
      <c r="H92" s="929">
        <v>0.8105</v>
      </c>
      <c r="I92" s="929">
        <v>0.67049999999999998</v>
      </c>
      <c r="J92" s="929">
        <v>0.67049999999999998</v>
      </c>
      <c r="K92" s="929">
        <v>0.67049999999999998</v>
      </c>
      <c r="L92" s="929">
        <v>0.67049999999999998</v>
      </c>
      <c r="M92" s="929">
        <v>0.67049999999999998</v>
      </c>
    </row>
    <row r="93" spans="1:14" ht="14.25">
      <c r="A93" s="3083" t="s">
        <v>2764</v>
      </c>
      <c r="B93" s="929"/>
      <c r="C93" s="929"/>
      <c r="D93" s="929"/>
      <c r="E93" s="929"/>
      <c r="F93" s="929"/>
      <c r="G93" s="929"/>
      <c r="H93" s="929"/>
      <c r="I93" s="929"/>
      <c r="J93" s="929"/>
      <c r="K93" s="929"/>
      <c r="L93" s="929"/>
      <c r="M93" s="929"/>
    </row>
    <row r="94" spans="1:14">
      <c r="A94" s="936" t="s">
        <v>1548</v>
      </c>
      <c r="B94" s="929" t="s">
        <v>988</v>
      </c>
      <c r="C94" s="929" t="s">
        <v>1029</v>
      </c>
      <c r="D94" s="929" t="s">
        <v>1143</v>
      </c>
      <c r="E94" s="929" t="s">
        <v>851</v>
      </c>
      <c r="F94" s="929" t="s">
        <v>1150</v>
      </c>
      <c r="G94" s="929" t="s">
        <v>1151</v>
      </c>
      <c r="H94" s="929" t="s">
        <v>1152</v>
      </c>
      <c r="I94" s="929" t="s">
        <v>1153</v>
      </c>
      <c r="J94" s="929" t="s">
        <v>1154</v>
      </c>
      <c r="K94" s="929" t="s">
        <v>1155</v>
      </c>
      <c r="L94" s="929" t="s">
        <v>2750</v>
      </c>
      <c r="M94" s="929" t="s">
        <v>2751</v>
      </c>
      <c r="N94" s="919" t="e">
        <f>SUMPRODUCT((A95:A184=ROUNDDOWN([2]基准地价修正!G3,1))*(B94:M94=[2]基准地价修正!G2)*(B95:M184))</f>
        <v>#REF!</v>
      </c>
    </row>
    <row r="95" spans="1:14">
      <c r="A95" s="936">
        <v>1</v>
      </c>
      <c r="B95" s="929">
        <v>1.2501</v>
      </c>
      <c r="C95" s="929">
        <v>1.2501</v>
      </c>
      <c r="D95" s="929">
        <v>1.2158</v>
      </c>
      <c r="E95" s="929">
        <v>1.2158</v>
      </c>
      <c r="F95" s="929">
        <v>1.2158</v>
      </c>
      <c r="G95" s="929">
        <v>1.2158</v>
      </c>
      <c r="H95" s="929">
        <v>1.2158</v>
      </c>
      <c r="I95" s="929">
        <v>1.2302</v>
      </c>
      <c r="J95" s="929">
        <v>1.2302</v>
      </c>
      <c r="K95" s="929">
        <v>1.2302</v>
      </c>
      <c r="L95" s="929">
        <v>1.2302</v>
      </c>
      <c r="M95" s="929">
        <v>1.2302</v>
      </c>
    </row>
    <row r="96" spans="1:14">
      <c r="A96" s="936">
        <v>1.1000000000000001</v>
      </c>
      <c r="B96" s="929">
        <v>1.2310000000000001</v>
      </c>
      <c r="C96" s="929">
        <v>1.2310000000000001</v>
      </c>
      <c r="D96" s="929">
        <v>1.1947000000000001</v>
      </c>
      <c r="E96" s="929">
        <v>1.1947000000000001</v>
      </c>
      <c r="F96" s="929">
        <v>1.1947000000000001</v>
      </c>
      <c r="G96" s="929">
        <v>1.1947000000000001</v>
      </c>
      <c r="H96" s="929">
        <v>1.1947000000000001</v>
      </c>
      <c r="I96" s="929">
        <v>1.2008000000000001</v>
      </c>
      <c r="J96" s="929">
        <v>1.2008000000000001</v>
      </c>
      <c r="K96" s="929">
        <v>1.2008000000000001</v>
      </c>
      <c r="L96" s="929">
        <v>1.2008000000000001</v>
      </c>
      <c r="M96" s="929">
        <v>1.2008000000000001</v>
      </c>
    </row>
    <row r="97" spans="1:14">
      <c r="A97" s="936">
        <v>1.2</v>
      </c>
      <c r="B97" s="929">
        <v>1.2130000000000001</v>
      </c>
      <c r="C97" s="929">
        <v>1.2130000000000001</v>
      </c>
      <c r="D97" s="929">
        <v>1.1748000000000001</v>
      </c>
      <c r="E97" s="929">
        <v>1.1748000000000001</v>
      </c>
      <c r="F97" s="929">
        <v>1.1748000000000001</v>
      </c>
      <c r="G97" s="929">
        <v>1.1748000000000001</v>
      </c>
      <c r="H97" s="929">
        <v>1.1748000000000001</v>
      </c>
      <c r="I97" s="929">
        <v>1.173</v>
      </c>
      <c r="J97" s="929">
        <v>1.173</v>
      </c>
      <c r="K97" s="929">
        <v>1.173</v>
      </c>
      <c r="L97" s="929">
        <v>1.173</v>
      </c>
      <c r="M97" s="929">
        <v>1.173</v>
      </c>
    </row>
    <row r="98" spans="1:14">
      <c r="A98" s="936">
        <v>1.3</v>
      </c>
      <c r="B98" s="929">
        <v>1.196</v>
      </c>
      <c r="C98" s="929">
        <v>1.196</v>
      </c>
      <c r="D98" s="929">
        <v>1.1559999999999999</v>
      </c>
      <c r="E98" s="929">
        <v>1.1559999999999999</v>
      </c>
      <c r="F98" s="929">
        <v>1.1559999999999999</v>
      </c>
      <c r="G98" s="929">
        <v>1.1559999999999999</v>
      </c>
      <c r="H98" s="929">
        <v>1.1559999999999999</v>
      </c>
      <c r="I98" s="929">
        <v>1.1468</v>
      </c>
      <c r="J98" s="929">
        <v>1.1468</v>
      </c>
      <c r="K98" s="929">
        <v>1.1468</v>
      </c>
      <c r="L98" s="929">
        <v>1.1468</v>
      </c>
      <c r="M98" s="929">
        <v>1.1468</v>
      </c>
    </row>
    <row r="99" spans="1:14">
      <c r="A99" s="936">
        <v>1.4</v>
      </c>
      <c r="B99" s="929">
        <v>1.18</v>
      </c>
      <c r="C99" s="929">
        <v>1.18</v>
      </c>
      <c r="D99" s="929">
        <v>1.1382000000000001</v>
      </c>
      <c r="E99" s="929">
        <v>1.1382000000000001</v>
      </c>
      <c r="F99" s="929">
        <v>1.1382000000000001</v>
      </c>
      <c r="G99" s="929">
        <v>1.1382000000000001</v>
      </c>
      <c r="H99" s="929">
        <v>1.1382000000000001</v>
      </c>
      <c r="I99" s="929">
        <v>1.1220000000000001</v>
      </c>
      <c r="J99" s="929">
        <v>1.1220000000000001</v>
      </c>
      <c r="K99" s="929">
        <v>1.1220000000000001</v>
      </c>
      <c r="L99" s="929">
        <v>1.1220000000000001</v>
      </c>
      <c r="M99" s="929">
        <v>1.1220000000000001</v>
      </c>
    </row>
    <row r="100" spans="1:14">
      <c r="A100" s="936">
        <v>1.5</v>
      </c>
      <c r="B100" s="929">
        <v>1.1649</v>
      </c>
      <c r="C100" s="929">
        <v>1.1649</v>
      </c>
      <c r="D100" s="929">
        <v>1.1214999999999999</v>
      </c>
      <c r="E100" s="929">
        <v>1.1214999999999999</v>
      </c>
      <c r="F100" s="929">
        <v>1.1214999999999999</v>
      </c>
      <c r="G100" s="929">
        <v>1.1214999999999999</v>
      </c>
      <c r="H100" s="929">
        <v>1.1214999999999999</v>
      </c>
      <c r="I100" s="929">
        <v>1.0985</v>
      </c>
      <c r="J100" s="929">
        <v>1.0985</v>
      </c>
      <c r="K100" s="929">
        <v>1.0985</v>
      </c>
      <c r="L100" s="929">
        <v>1.0985</v>
      </c>
      <c r="M100" s="929">
        <v>1.0985</v>
      </c>
    </row>
    <row r="101" spans="1:14">
      <c r="A101" s="936">
        <v>1.6</v>
      </c>
      <c r="B101" s="929">
        <v>1.1507000000000001</v>
      </c>
      <c r="C101" s="929">
        <v>1.1507000000000001</v>
      </c>
      <c r="D101" s="929">
        <v>1.1056999999999999</v>
      </c>
      <c r="E101" s="929">
        <v>1.1056999999999999</v>
      </c>
      <c r="F101" s="929">
        <v>1.1056999999999999</v>
      </c>
      <c r="G101" s="929">
        <v>1.1056999999999999</v>
      </c>
      <c r="H101" s="929">
        <v>1.1056999999999999</v>
      </c>
      <c r="I101" s="929">
        <v>1.0764</v>
      </c>
      <c r="J101" s="929">
        <v>1.0764</v>
      </c>
      <c r="K101" s="929">
        <v>1.0764</v>
      </c>
      <c r="L101" s="929">
        <v>1.0764</v>
      </c>
      <c r="M101" s="929">
        <v>1.0764</v>
      </c>
    </row>
    <row r="102" spans="1:14">
      <c r="A102" s="936">
        <v>1.7</v>
      </c>
      <c r="B102" s="929">
        <v>1.1373</v>
      </c>
      <c r="C102" s="929">
        <v>1.1373</v>
      </c>
      <c r="D102" s="929">
        <v>1.0908</v>
      </c>
      <c r="E102" s="929">
        <v>1.0908</v>
      </c>
      <c r="F102" s="929">
        <v>1.0908</v>
      </c>
      <c r="G102" s="929">
        <v>1.0908</v>
      </c>
      <c r="H102" s="929">
        <v>1.0908</v>
      </c>
      <c r="I102" s="929">
        <v>1.0556000000000001</v>
      </c>
      <c r="J102" s="929">
        <v>1.0556000000000001</v>
      </c>
      <c r="K102" s="929">
        <v>1.0556000000000001</v>
      </c>
      <c r="L102" s="929">
        <v>1.0556000000000001</v>
      </c>
      <c r="M102" s="929">
        <v>1.0556000000000001</v>
      </c>
    </row>
    <row r="103" spans="1:14">
      <c r="A103" s="936">
        <v>1.8</v>
      </c>
      <c r="B103" s="929">
        <v>1.1247</v>
      </c>
      <c r="C103" s="929">
        <v>1.1247</v>
      </c>
      <c r="D103" s="929">
        <v>1.0768</v>
      </c>
      <c r="E103" s="929">
        <v>1.0768</v>
      </c>
      <c r="F103" s="929">
        <v>1.0768</v>
      </c>
      <c r="G103" s="929">
        <v>1.0768</v>
      </c>
      <c r="H103" s="929">
        <v>1.0768</v>
      </c>
      <c r="I103" s="929">
        <v>1.0359</v>
      </c>
      <c r="J103" s="929">
        <v>1.0359</v>
      </c>
      <c r="K103" s="929">
        <v>1.0359</v>
      </c>
      <c r="L103" s="929">
        <v>1.0359</v>
      </c>
      <c r="M103" s="929">
        <v>1.0359</v>
      </c>
    </row>
    <row r="104" spans="1:14" ht="14.25">
      <c r="A104" s="920">
        <v>1.9</v>
      </c>
      <c r="B104" s="921">
        <v>1.1128</v>
      </c>
      <c r="C104" s="921">
        <v>1.1128</v>
      </c>
      <c r="D104" s="921">
        <v>1.0637000000000001</v>
      </c>
      <c r="E104" s="921">
        <v>1.0637000000000001</v>
      </c>
      <c r="F104" s="921">
        <v>1.0637000000000001</v>
      </c>
      <c r="G104" s="921">
        <v>1.0637000000000001</v>
      </c>
      <c r="H104" s="922">
        <v>1.0637000000000001</v>
      </c>
      <c r="I104" s="922">
        <v>1.0174000000000001</v>
      </c>
      <c r="J104" s="923">
        <v>1.0174000000000001</v>
      </c>
      <c r="K104" s="923">
        <v>1.0174000000000001</v>
      </c>
      <c r="L104" s="923">
        <v>1.0174000000000001</v>
      </c>
      <c r="M104" s="923">
        <v>1.0174000000000001</v>
      </c>
      <c r="N104" s="918"/>
    </row>
    <row r="105" spans="1:14">
      <c r="A105" s="920">
        <v>2</v>
      </c>
      <c r="B105" s="929">
        <v>1.1016999999999999</v>
      </c>
      <c r="C105" s="929">
        <v>1.1016999999999999</v>
      </c>
      <c r="D105" s="929">
        <v>1.0512999999999999</v>
      </c>
      <c r="E105" s="929">
        <v>1.0512999999999999</v>
      </c>
      <c r="F105" s="929">
        <v>1.0512999999999999</v>
      </c>
      <c r="G105" s="929">
        <v>1.0512999999999999</v>
      </c>
      <c r="H105" s="929">
        <v>1.0512999999999999</v>
      </c>
      <c r="I105" s="929">
        <v>1</v>
      </c>
      <c r="J105" s="929">
        <v>1</v>
      </c>
      <c r="K105" s="929">
        <v>1</v>
      </c>
      <c r="L105" s="929">
        <v>1</v>
      </c>
      <c r="M105" s="929">
        <v>1</v>
      </c>
    </row>
    <row r="106" spans="1:14">
      <c r="A106" s="920">
        <v>2.1</v>
      </c>
      <c r="B106" s="929">
        <v>1.0912999999999999</v>
      </c>
      <c r="C106" s="929">
        <v>1.0912999999999999</v>
      </c>
      <c r="D106" s="929">
        <v>1.0397000000000001</v>
      </c>
      <c r="E106" s="929">
        <v>1.0397000000000001</v>
      </c>
      <c r="F106" s="929">
        <v>1.0397000000000001</v>
      </c>
      <c r="G106" s="929">
        <v>1.0397000000000001</v>
      </c>
      <c r="H106" s="929">
        <v>1.0397000000000001</v>
      </c>
      <c r="I106" s="929">
        <v>0.98360000000000003</v>
      </c>
      <c r="J106" s="929">
        <v>0.98360000000000003</v>
      </c>
      <c r="K106" s="929">
        <v>0.98360000000000003</v>
      </c>
      <c r="L106" s="929">
        <v>0.98360000000000003</v>
      </c>
      <c r="M106" s="929">
        <v>0.98360000000000003</v>
      </c>
    </row>
    <row r="107" spans="1:14">
      <c r="A107" s="920">
        <v>2.2000000000000002</v>
      </c>
      <c r="B107" s="929">
        <v>1.0814999999999999</v>
      </c>
      <c r="C107" s="929">
        <v>1.0814999999999999</v>
      </c>
      <c r="D107" s="929">
        <v>1.0287999999999999</v>
      </c>
      <c r="E107" s="929">
        <v>1.0287999999999999</v>
      </c>
      <c r="F107" s="929">
        <v>1.0287999999999999</v>
      </c>
      <c r="G107" s="929">
        <v>1.0287999999999999</v>
      </c>
      <c r="H107" s="929">
        <v>1.0287999999999999</v>
      </c>
      <c r="I107" s="929">
        <v>0.96819999999999995</v>
      </c>
      <c r="J107" s="929">
        <v>0.96819999999999995</v>
      </c>
      <c r="K107" s="929">
        <v>0.96819999999999995</v>
      </c>
      <c r="L107" s="929">
        <v>0.96819999999999995</v>
      </c>
      <c r="M107" s="929">
        <v>0.96819999999999995</v>
      </c>
    </row>
    <row r="108" spans="1:14">
      <c r="A108" s="920">
        <v>2.2999999999999998</v>
      </c>
      <c r="B108" s="929">
        <v>1.0724</v>
      </c>
      <c r="C108" s="929">
        <v>1.0724</v>
      </c>
      <c r="D108" s="929">
        <v>1.0185999999999999</v>
      </c>
      <c r="E108" s="929">
        <v>1.0185999999999999</v>
      </c>
      <c r="F108" s="929">
        <v>1.0185999999999999</v>
      </c>
      <c r="G108" s="929">
        <v>1.0185999999999999</v>
      </c>
      <c r="H108" s="929">
        <v>1.0185999999999999</v>
      </c>
      <c r="I108" s="929">
        <v>0.95369999999999999</v>
      </c>
      <c r="J108" s="929">
        <v>0.95369999999999999</v>
      </c>
      <c r="K108" s="929">
        <v>0.95369999999999999</v>
      </c>
      <c r="L108" s="929">
        <v>0.95369999999999999</v>
      </c>
      <c r="M108" s="929">
        <v>0.95369999999999999</v>
      </c>
    </row>
    <row r="109" spans="1:14">
      <c r="A109" s="920">
        <v>2.4</v>
      </c>
      <c r="B109" s="929">
        <v>1.0638000000000001</v>
      </c>
      <c r="C109" s="929">
        <v>1.0638000000000001</v>
      </c>
      <c r="D109" s="929">
        <v>1.0089999999999999</v>
      </c>
      <c r="E109" s="929">
        <v>1.0089999999999999</v>
      </c>
      <c r="F109" s="929">
        <v>1.0089999999999999</v>
      </c>
      <c r="G109" s="929">
        <v>1.0089999999999999</v>
      </c>
      <c r="H109" s="929">
        <v>1.0089999999999999</v>
      </c>
      <c r="I109" s="929">
        <v>0.94010000000000005</v>
      </c>
      <c r="J109" s="929">
        <v>0.94010000000000005</v>
      </c>
      <c r="K109" s="929">
        <v>0.94010000000000005</v>
      </c>
      <c r="L109" s="929">
        <v>0.94010000000000005</v>
      </c>
      <c r="M109" s="929">
        <v>0.94010000000000005</v>
      </c>
    </row>
    <row r="110" spans="1:14">
      <c r="A110" s="920">
        <v>2.5</v>
      </c>
      <c r="B110" s="929">
        <v>1.0558000000000001</v>
      </c>
      <c r="C110" s="929">
        <v>1.0558000000000001</v>
      </c>
      <c r="D110" s="929">
        <v>1</v>
      </c>
      <c r="E110" s="929">
        <v>1</v>
      </c>
      <c r="F110" s="929">
        <v>1</v>
      </c>
      <c r="G110" s="929">
        <v>1</v>
      </c>
      <c r="H110" s="929">
        <v>1</v>
      </c>
      <c r="I110" s="929">
        <v>0.9274</v>
      </c>
      <c r="J110" s="929">
        <v>0.9274</v>
      </c>
      <c r="K110" s="929">
        <v>0.9274</v>
      </c>
      <c r="L110" s="929">
        <v>0.9274</v>
      </c>
      <c r="M110" s="929">
        <v>0.9274</v>
      </c>
    </row>
    <row r="111" spans="1:14">
      <c r="A111" s="920">
        <v>2.6</v>
      </c>
      <c r="B111" s="929">
        <v>1.0483</v>
      </c>
      <c r="C111" s="929">
        <v>1.0483</v>
      </c>
      <c r="D111" s="929">
        <v>0.99160000000000004</v>
      </c>
      <c r="E111" s="929">
        <v>0.99160000000000004</v>
      </c>
      <c r="F111" s="929">
        <v>0.99160000000000004</v>
      </c>
      <c r="G111" s="929">
        <v>0.99160000000000004</v>
      </c>
      <c r="H111" s="929">
        <v>0.99160000000000004</v>
      </c>
      <c r="I111" s="929">
        <v>0.91539999999999999</v>
      </c>
      <c r="J111" s="929">
        <v>0.91539999999999999</v>
      </c>
      <c r="K111" s="929">
        <v>0.91539999999999999</v>
      </c>
      <c r="L111" s="929">
        <v>0.91539999999999999</v>
      </c>
      <c r="M111" s="929">
        <v>0.91539999999999999</v>
      </c>
    </row>
    <row r="112" spans="1:14">
      <c r="A112" s="920">
        <v>2.7</v>
      </c>
      <c r="B112" s="929">
        <v>1.0412999999999999</v>
      </c>
      <c r="C112" s="929">
        <v>1.0412999999999999</v>
      </c>
      <c r="D112" s="929">
        <v>0.98370000000000002</v>
      </c>
      <c r="E112" s="929">
        <v>0.98370000000000002</v>
      </c>
      <c r="F112" s="929">
        <v>0.98370000000000002</v>
      </c>
      <c r="G112" s="929">
        <v>0.98370000000000002</v>
      </c>
      <c r="H112" s="929">
        <v>0.98370000000000002</v>
      </c>
      <c r="I112" s="929">
        <v>0.90429999999999999</v>
      </c>
      <c r="J112" s="929">
        <v>0.90429999999999999</v>
      </c>
      <c r="K112" s="929">
        <v>0.90429999999999999</v>
      </c>
      <c r="L112" s="929">
        <v>0.90429999999999999</v>
      </c>
      <c r="M112" s="929">
        <v>0.90429999999999999</v>
      </c>
    </row>
    <row r="113" spans="1:13">
      <c r="A113" s="920">
        <v>2.8</v>
      </c>
      <c r="B113" s="929">
        <v>1.0347999999999999</v>
      </c>
      <c r="C113" s="929">
        <v>1.0347999999999999</v>
      </c>
      <c r="D113" s="929">
        <v>0.97640000000000005</v>
      </c>
      <c r="E113" s="929">
        <v>0.97640000000000005</v>
      </c>
      <c r="F113" s="929">
        <v>0.97640000000000005</v>
      </c>
      <c r="G113" s="929">
        <v>0.97640000000000005</v>
      </c>
      <c r="H113" s="929">
        <v>0.97640000000000005</v>
      </c>
      <c r="I113" s="929">
        <v>0.89370000000000005</v>
      </c>
      <c r="J113" s="929">
        <v>0.89370000000000005</v>
      </c>
      <c r="K113" s="929">
        <v>0.89370000000000005</v>
      </c>
      <c r="L113" s="929">
        <v>0.89370000000000005</v>
      </c>
      <c r="M113" s="929">
        <v>0.89370000000000005</v>
      </c>
    </row>
    <row r="114" spans="1:13">
      <c r="A114" s="920">
        <v>2.9</v>
      </c>
      <c r="B114" s="929">
        <v>1.0286999999999999</v>
      </c>
      <c r="C114" s="929">
        <v>1.0286999999999999</v>
      </c>
      <c r="D114" s="929">
        <v>0.96950000000000003</v>
      </c>
      <c r="E114" s="929">
        <v>0.96950000000000003</v>
      </c>
      <c r="F114" s="929">
        <v>0.96950000000000003</v>
      </c>
      <c r="G114" s="929">
        <v>0.96950000000000003</v>
      </c>
      <c r="H114" s="929">
        <v>0.96950000000000003</v>
      </c>
      <c r="I114" s="929">
        <v>0.88390000000000002</v>
      </c>
      <c r="J114" s="929">
        <v>0.88390000000000002</v>
      </c>
      <c r="K114" s="929">
        <v>0.88390000000000002</v>
      </c>
      <c r="L114" s="929">
        <v>0.88390000000000002</v>
      </c>
      <c r="M114" s="929">
        <v>0.88390000000000002</v>
      </c>
    </row>
    <row r="115" spans="1:13">
      <c r="A115" s="920">
        <v>3</v>
      </c>
      <c r="B115" s="929">
        <v>1.0229999999999999</v>
      </c>
      <c r="C115" s="929">
        <v>1.0229999999999999</v>
      </c>
      <c r="D115" s="929">
        <v>0.96309999999999996</v>
      </c>
      <c r="E115" s="929">
        <v>0.96309999999999996</v>
      </c>
      <c r="F115" s="929">
        <v>0.96309999999999996</v>
      </c>
      <c r="G115" s="929">
        <v>0.96309999999999996</v>
      </c>
      <c r="H115" s="929">
        <v>0.96309999999999996</v>
      </c>
      <c r="I115" s="929">
        <v>0.87460000000000004</v>
      </c>
      <c r="J115" s="929">
        <v>0.87460000000000004</v>
      </c>
      <c r="K115" s="929">
        <v>0.87460000000000004</v>
      </c>
      <c r="L115" s="929">
        <v>0.87460000000000004</v>
      </c>
      <c r="M115" s="929">
        <v>0.87460000000000004</v>
      </c>
    </row>
    <row r="116" spans="1:13">
      <c r="A116" s="920">
        <v>3.1</v>
      </c>
      <c r="B116" s="929">
        <v>1.0177</v>
      </c>
      <c r="C116" s="929">
        <v>1.0177</v>
      </c>
      <c r="D116" s="929">
        <v>0.95709999999999995</v>
      </c>
      <c r="E116" s="929">
        <v>0.95709999999999995</v>
      </c>
      <c r="F116" s="929">
        <v>0.95709999999999995</v>
      </c>
      <c r="G116" s="929">
        <v>0.95709999999999995</v>
      </c>
      <c r="H116" s="929">
        <v>0.95709999999999995</v>
      </c>
      <c r="I116" s="929">
        <v>0.8659</v>
      </c>
      <c r="J116" s="929">
        <v>0.8659</v>
      </c>
      <c r="K116" s="929">
        <v>0.8659</v>
      </c>
      <c r="L116" s="929">
        <v>0.8659</v>
      </c>
      <c r="M116" s="929">
        <v>0.8659</v>
      </c>
    </row>
    <row r="117" spans="1:13">
      <c r="A117" s="920">
        <v>3.2</v>
      </c>
      <c r="B117" s="929">
        <v>1.0127999999999999</v>
      </c>
      <c r="C117" s="929">
        <v>1.0127999999999999</v>
      </c>
      <c r="D117" s="929">
        <v>0.9516</v>
      </c>
      <c r="E117" s="929">
        <v>0.9516</v>
      </c>
      <c r="F117" s="929">
        <v>0.9516</v>
      </c>
      <c r="G117" s="929">
        <v>0.9516</v>
      </c>
      <c r="H117" s="929">
        <v>0.9516</v>
      </c>
      <c r="I117" s="929">
        <v>0.85780000000000001</v>
      </c>
      <c r="J117" s="929">
        <v>0.85780000000000001</v>
      </c>
      <c r="K117" s="929">
        <v>0.85780000000000001</v>
      </c>
      <c r="L117" s="929">
        <v>0.85780000000000001</v>
      </c>
      <c r="M117" s="929">
        <v>0.85780000000000001</v>
      </c>
    </row>
    <row r="118" spans="1:13">
      <c r="A118" s="920">
        <v>3.3</v>
      </c>
      <c r="B118" s="929">
        <v>1.0082</v>
      </c>
      <c r="C118" s="929">
        <v>1.0082</v>
      </c>
      <c r="D118" s="929">
        <v>0.94640000000000002</v>
      </c>
      <c r="E118" s="929">
        <v>0.94640000000000002</v>
      </c>
      <c r="F118" s="929">
        <v>0.94640000000000002</v>
      </c>
      <c r="G118" s="929">
        <v>0.94640000000000002</v>
      </c>
      <c r="H118" s="929">
        <v>0.94640000000000002</v>
      </c>
      <c r="I118" s="929">
        <v>0.85029999999999994</v>
      </c>
      <c r="J118" s="929">
        <v>0.85029999999999994</v>
      </c>
      <c r="K118" s="929">
        <v>0.85029999999999994</v>
      </c>
      <c r="L118" s="929">
        <v>0.85029999999999994</v>
      </c>
      <c r="M118" s="929">
        <v>0.85029999999999994</v>
      </c>
    </row>
    <row r="119" spans="1:13">
      <c r="A119" s="920">
        <v>3.4</v>
      </c>
      <c r="B119" s="929">
        <v>1.004</v>
      </c>
      <c r="C119" s="929">
        <v>1.004</v>
      </c>
      <c r="D119" s="929">
        <v>0.9415</v>
      </c>
      <c r="E119" s="929">
        <v>0.9415</v>
      </c>
      <c r="F119" s="929">
        <v>0.9415</v>
      </c>
      <c r="G119" s="929">
        <v>0.9415</v>
      </c>
      <c r="H119" s="929">
        <v>0.9415</v>
      </c>
      <c r="I119" s="929">
        <v>0.84319999999999995</v>
      </c>
      <c r="J119" s="929">
        <v>0.84319999999999995</v>
      </c>
      <c r="K119" s="929">
        <v>0.84319999999999995</v>
      </c>
      <c r="L119" s="929">
        <v>0.84319999999999995</v>
      </c>
      <c r="M119" s="929">
        <v>0.84319999999999995</v>
      </c>
    </row>
    <row r="120" spans="1:13">
      <c r="A120" s="920">
        <v>3.5</v>
      </c>
      <c r="B120" s="929">
        <v>1</v>
      </c>
      <c r="C120" s="929">
        <v>1</v>
      </c>
      <c r="D120" s="929">
        <v>0.93700000000000006</v>
      </c>
      <c r="E120" s="929">
        <v>0.93700000000000006</v>
      </c>
      <c r="F120" s="929">
        <v>0.93700000000000006</v>
      </c>
      <c r="G120" s="929">
        <v>0.93700000000000006</v>
      </c>
      <c r="H120" s="929">
        <v>0.93700000000000006</v>
      </c>
      <c r="I120" s="929">
        <v>0.83660000000000001</v>
      </c>
      <c r="J120" s="929">
        <v>0.83660000000000001</v>
      </c>
      <c r="K120" s="929">
        <v>0.83660000000000001</v>
      </c>
      <c r="L120" s="929">
        <v>0.83660000000000001</v>
      </c>
      <c r="M120" s="929">
        <v>0.83660000000000001</v>
      </c>
    </row>
    <row r="121" spans="1:13">
      <c r="A121" s="920">
        <v>3.6</v>
      </c>
      <c r="B121" s="929">
        <v>0.99629999999999996</v>
      </c>
      <c r="C121" s="929">
        <v>0.99629999999999996</v>
      </c>
      <c r="D121" s="929">
        <v>0.93279999999999996</v>
      </c>
      <c r="E121" s="929">
        <v>0.93279999999999996</v>
      </c>
      <c r="F121" s="929">
        <v>0.93279999999999996</v>
      </c>
      <c r="G121" s="929">
        <v>0.93279999999999996</v>
      </c>
      <c r="H121" s="929">
        <v>0.93279999999999996</v>
      </c>
      <c r="I121" s="929">
        <v>0.83040000000000003</v>
      </c>
      <c r="J121" s="929">
        <v>0.83040000000000003</v>
      </c>
      <c r="K121" s="929">
        <v>0.83040000000000003</v>
      </c>
      <c r="L121" s="929">
        <v>0.83040000000000003</v>
      </c>
      <c r="M121" s="929">
        <v>0.83040000000000003</v>
      </c>
    </row>
    <row r="122" spans="1:13">
      <c r="A122" s="920">
        <v>3.7</v>
      </c>
      <c r="B122" s="929">
        <v>0.9929</v>
      </c>
      <c r="C122" s="929">
        <v>0.9929</v>
      </c>
      <c r="D122" s="929">
        <v>0.92879999999999996</v>
      </c>
      <c r="E122" s="929">
        <v>0.92879999999999996</v>
      </c>
      <c r="F122" s="929">
        <v>0.92879999999999996</v>
      </c>
      <c r="G122" s="929">
        <v>0.92879999999999996</v>
      </c>
      <c r="H122" s="929">
        <v>0.92879999999999996</v>
      </c>
      <c r="I122" s="929">
        <v>0.8246</v>
      </c>
      <c r="J122" s="929">
        <v>0.8246</v>
      </c>
      <c r="K122" s="929">
        <v>0.8246</v>
      </c>
      <c r="L122" s="929">
        <v>0.8246</v>
      </c>
      <c r="M122" s="929">
        <v>0.8246</v>
      </c>
    </row>
    <row r="123" spans="1:13">
      <c r="A123" s="920">
        <v>3.8</v>
      </c>
      <c r="B123" s="929">
        <v>0.98970000000000002</v>
      </c>
      <c r="C123" s="929">
        <v>0.98970000000000002</v>
      </c>
      <c r="D123" s="929">
        <v>0.92520000000000002</v>
      </c>
      <c r="E123" s="929">
        <v>0.92520000000000002</v>
      </c>
      <c r="F123" s="929">
        <v>0.92520000000000002</v>
      </c>
      <c r="G123" s="929">
        <v>0.92520000000000002</v>
      </c>
      <c r="H123" s="929">
        <v>0.92520000000000002</v>
      </c>
      <c r="I123" s="929">
        <v>0.81920000000000004</v>
      </c>
      <c r="J123" s="929">
        <v>0.81920000000000004</v>
      </c>
      <c r="K123" s="929">
        <v>0.81920000000000004</v>
      </c>
      <c r="L123" s="929">
        <v>0.81920000000000004</v>
      </c>
      <c r="M123" s="929">
        <v>0.81920000000000004</v>
      </c>
    </row>
    <row r="124" spans="1:13">
      <c r="A124" s="920">
        <v>3.9</v>
      </c>
      <c r="B124" s="929">
        <v>0.98670000000000002</v>
      </c>
      <c r="C124" s="929">
        <v>0.98670000000000002</v>
      </c>
      <c r="D124" s="929">
        <v>0.92179999999999995</v>
      </c>
      <c r="E124" s="929">
        <v>0.92179999999999995</v>
      </c>
      <c r="F124" s="929">
        <v>0.92179999999999995</v>
      </c>
      <c r="G124" s="929">
        <v>0.92179999999999995</v>
      </c>
      <c r="H124" s="929">
        <v>0.92179999999999995</v>
      </c>
      <c r="I124" s="929">
        <v>0.81410000000000005</v>
      </c>
      <c r="J124" s="929">
        <v>0.81410000000000005</v>
      </c>
      <c r="K124" s="929">
        <v>0.81410000000000005</v>
      </c>
      <c r="L124" s="929">
        <v>0.81410000000000005</v>
      </c>
      <c r="M124" s="929">
        <v>0.81410000000000005</v>
      </c>
    </row>
    <row r="125" spans="1:13">
      <c r="A125" s="936">
        <v>4</v>
      </c>
      <c r="B125" s="929">
        <v>0.98380000000000001</v>
      </c>
      <c r="C125" s="929">
        <v>0.98380000000000001</v>
      </c>
      <c r="D125" s="929">
        <v>0.91859999999999997</v>
      </c>
      <c r="E125" s="929">
        <v>0.91859999999999997</v>
      </c>
      <c r="F125" s="929">
        <v>0.91859999999999997</v>
      </c>
      <c r="G125" s="929">
        <v>0.91859999999999997</v>
      </c>
      <c r="H125" s="929">
        <v>0.91859999999999997</v>
      </c>
      <c r="I125" s="929">
        <v>0.80940000000000001</v>
      </c>
      <c r="J125" s="929">
        <v>0.80940000000000001</v>
      </c>
      <c r="K125" s="929">
        <v>0.80940000000000001</v>
      </c>
      <c r="L125" s="929">
        <v>0.80940000000000001</v>
      </c>
      <c r="M125" s="929">
        <v>0.80940000000000001</v>
      </c>
    </row>
    <row r="126" spans="1:13">
      <c r="A126" s="936">
        <v>4.0999999999999996</v>
      </c>
      <c r="B126" s="929">
        <v>0.98099999999999998</v>
      </c>
      <c r="C126" s="929">
        <v>0.98099999999999998</v>
      </c>
      <c r="D126" s="929">
        <v>0.91559999999999997</v>
      </c>
      <c r="E126" s="929">
        <v>0.91559999999999997</v>
      </c>
      <c r="F126" s="929">
        <v>0.91559999999999997</v>
      </c>
      <c r="G126" s="929">
        <v>0.91559999999999997</v>
      </c>
      <c r="H126" s="929">
        <v>0.91559999999999997</v>
      </c>
      <c r="I126" s="929">
        <v>0.80489999999999995</v>
      </c>
      <c r="J126" s="929">
        <v>0.80489999999999995</v>
      </c>
      <c r="K126" s="929">
        <v>0.80489999999999995</v>
      </c>
      <c r="L126" s="929">
        <v>0.80489999999999995</v>
      </c>
      <c r="M126" s="929">
        <v>0.80489999999999995</v>
      </c>
    </row>
    <row r="127" spans="1:13">
      <c r="A127" s="936">
        <v>4.2</v>
      </c>
      <c r="B127" s="929">
        <v>0.97829999999999995</v>
      </c>
      <c r="C127" s="929">
        <v>0.97829999999999995</v>
      </c>
      <c r="D127" s="929">
        <v>0.91269999999999996</v>
      </c>
      <c r="E127" s="929">
        <v>0.91269999999999996</v>
      </c>
      <c r="F127" s="929">
        <v>0.91269999999999996</v>
      </c>
      <c r="G127" s="929">
        <v>0.91269999999999996</v>
      </c>
      <c r="H127" s="929">
        <v>0.91269999999999996</v>
      </c>
      <c r="I127" s="929">
        <v>0.80059999999999998</v>
      </c>
      <c r="J127" s="929">
        <v>0.80059999999999998</v>
      </c>
      <c r="K127" s="929">
        <v>0.80059999999999998</v>
      </c>
      <c r="L127" s="929">
        <v>0.80059999999999998</v>
      </c>
      <c r="M127" s="929">
        <v>0.80059999999999998</v>
      </c>
    </row>
    <row r="128" spans="1:13">
      <c r="A128" s="936">
        <v>4.3</v>
      </c>
      <c r="B128" s="929">
        <v>0.97570000000000001</v>
      </c>
      <c r="C128" s="929">
        <v>0.97570000000000001</v>
      </c>
      <c r="D128" s="929">
        <v>0.90990000000000004</v>
      </c>
      <c r="E128" s="929">
        <v>0.90990000000000004</v>
      </c>
      <c r="F128" s="929">
        <v>0.90990000000000004</v>
      </c>
      <c r="G128" s="929">
        <v>0.90990000000000004</v>
      </c>
      <c r="H128" s="929">
        <v>0.90990000000000004</v>
      </c>
      <c r="I128" s="929">
        <v>0.79649999999999999</v>
      </c>
      <c r="J128" s="929">
        <v>0.79649999999999999</v>
      </c>
      <c r="K128" s="929">
        <v>0.79649999999999999</v>
      </c>
      <c r="L128" s="929">
        <v>0.79649999999999999</v>
      </c>
      <c r="M128" s="929">
        <v>0.79649999999999999</v>
      </c>
    </row>
    <row r="129" spans="1:13">
      <c r="A129" s="936">
        <v>4.4000000000000004</v>
      </c>
      <c r="B129" s="929">
        <v>0.97319999999999995</v>
      </c>
      <c r="C129" s="929">
        <v>0.97319999999999995</v>
      </c>
      <c r="D129" s="929">
        <v>0.90720000000000001</v>
      </c>
      <c r="E129" s="929">
        <v>0.90720000000000001</v>
      </c>
      <c r="F129" s="929">
        <v>0.90720000000000001</v>
      </c>
      <c r="G129" s="929">
        <v>0.90720000000000001</v>
      </c>
      <c r="H129" s="929">
        <v>0.90720000000000001</v>
      </c>
      <c r="I129" s="929">
        <v>0.79259999999999997</v>
      </c>
      <c r="J129" s="929">
        <v>0.79259999999999997</v>
      </c>
      <c r="K129" s="929">
        <v>0.79259999999999997</v>
      </c>
      <c r="L129" s="929">
        <v>0.79259999999999997</v>
      </c>
      <c r="M129" s="929">
        <v>0.79259999999999997</v>
      </c>
    </row>
    <row r="130" spans="1:13">
      <c r="A130" s="936">
        <v>4.5</v>
      </c>
      <c r="B130" s="929">
        <v>0.9708</v>
      </c>
      <c r="C130" s="929">
        <v>0.9708</v>
      </c>
      <c r="D130" s="929">
        <v>0.90459999999999996</v>
      </c>
      <c r="E130" s="929">
        <v>0.90459999999999996</v>
      </c>
      <c r="F130" s="929">
        <v>0.90459999999999996</v>
      </c>
      <c r="G130" s="929">
        <v>0.90459999999999996</v>
      </c>
      <c r="H130" s="929">
        <v>0.90459999999999996</v>
      </c>
      <c r="I130" s="929">
        <v>0.78890000000000005</v>
      </c>
      <c r="J130" s="929">
        <v>0.78890000000000005</v>
      </c>
      <c r="K130" s="929">
        <v>0.78890000000000005</v>
      </c>
      <c r="L130" s="929">
        <v>0.78890000000000005</v>
      </c>
      <c r="M130" s="929">
        <v>0.78890000000000005</v>
      </c>
    </row>
    <row r="131" spans="1:13">
      <c r="A131" s="936">
        <v>4.5999999999999996</v>
      </c>
      <c r="B131" s="929">
        <v>0.96850000000000003</v>
      </c>
      <c r="C131" s="929">
        <v>0.96850000000000003</v>
      </c>
      <c r="D131" s="929">
        <v>0.90210000000000001</v>
      </c>
      <c r="E131" s="929">
        <v>0.90210000000000001</v>
      </c>
      <c r="F131" s="929">
        <v>0.90210000000000001</v>
      </c>
      <c r="G131" s="929">
        <v>0.90210000000000001</v>
      </c>
      <c r="H131" s="929">
        <v>0.90210000000000001</v>
      </c>
      <c r="I131" s="929">
        <v>0.78539999999999999</v>
      </c>
      <c r="J131" s="929">
        <v>0.78539999999999999</v>
      </c>
      <c r="K131" s="929">
        <v>0.78539999999999999</v>
      </c>
      <c r="L131" s="929">
        <v>0.78539999999999999</v>
      </c>
      <c r="M131" s="929">
        <v>0.78539999999999999</v>
      </c>
    </row>
    <row r="132" spans="1:13">
      <c r="A132" s="936">
        <v>4.7</v>
      </c>
      <c r="B132" s="929">
        <v>0.96630000000000005</v>
      </c>
      <c r="C132" s="929">
        <v>0.96630000000000005</v>
      </c>
      <c r="D132" s="929">
        <v>0.89959999999999996</v>
      </c>
      <c r="E132" s="929">
        <v>0.89959999999999996</v>
      </c>
      <c r="F132" s="929">
        <v>0.89959999999999996</v>
      </c>
      <c r="G132" s="929">
        <v>0.89959999999999996</v>
      </c>
      <c r="H132" s="929">
        <v>0.89959999999999996</v>
      </c>
      <c r="I132" s="929">
        <v>0.78210000000000002</v>
      </c>
      <c r="J132" s="929">
        <v>0.78210000000000002</v>
      </c>
      <c r="K132" s="929">
        <v>0.78210000000000002</v>
      </c>
      <c r="L132" s="929">
        <v>0.78210000000000002</v>
      </c>
      <c r="M132" s="929">
        <v>0.78210000000000002</v>
      </c>
    </row>
    <row r="133" spans="1:13">
      <c r="A133" s="936">
        <v>4.8</v>
      </c>
      <c r="B133" s="929">
        <v>0.96409999999999996</v>
      </c>
      <c r="C133" s="929">
        <v>0.96409999999999996</v>
      </c>
      <c r="D133" s="929">
        <v>0.8972</v>
      </c>
      <c r="E133" s="929">
        <v>0.8972</v>
      </c>
      <c r="F133" s="929">
        <v>0.8972</v>
      </c>
      <c r="G133" s="929">
        <v>0.8972</v>
      </c>
      <c r="H133" s="929">
        <v>0.8972</v>
      </c>
      <c r="I133" s="929">
        <v>0.77890000000000004</v>
      </c>
      <c r="J133" s="929">
        <v>0.77890000000000004</v>
      </c>
      <c r="K133" s="929">
        <v>0.77890000000000004</v>
      </c>
      <c r="L133" s="929">
        <v>0.77890000000000004</v>
      </c>
      <c r="M133" s="929">
        <v>0.77890000000000004</v>
      </c>
    </row>
    <row r="134" spans="1:13">
      <c r="A134" s="936">
        <v>4.9000000000000004</v>
      </c>
      <c r="B134" s="929">
        <v>0.96199999999999997</v>
      </c>
      <c r="C134" s="929">
        <v>0.96199999999999997</v>
      </c>
      <c r="D134" s="929">
        <v>0.89480000000000004</v>
      </c>
      <c r="E134" s="929">
        <v>0.89480000000000004</v>
      </c>
      <c r="F134" s="929">
        <v>0.89480000000000004</v>
      </c>
      <c r="G134" s="929">
        <v>0.89480000000000004</v>
      </c>
      <c r="H134" s="929">
        <v>0.89480000000000004</v>
      </c>
      <c r="I134" s="929">
        <v>0.77580000000000005</v>
      </c>
      <c r="J134" s="929">
        <v>0.77580000000000005</v>
      </c>
      <c r="K134" s="929">
        <v>0.77580000000000005</v>
      </c>
      <c r="L134" s="929">
        <v>0.77580000000000005</v>
      </c>
      <c r="M134" s="929">
        <v>0.77580000000000005</v>
      </c>
    </row>
    <row r="135" spans="1:13">
      <c r="A135" s="936">
        <v>5</v>
      </c>
      <c r="B135" s="929">
        <v>0.95989999999999998</v>
      </c>
      <c r="C135" s="929">
        <v>0.95989999999999998</v>
      </c>
      <c r="D135" s="929">
        <v>0.89239999999999997</v>
      </c>
      <c r="E135" s="929">
        <v>0.89239999999999997</v>
      </c>
      <c r="F135" s="929">
        <v>0.89239999999999997</v>
      </c>
      <c r="G135" s="929">
        <v>0.89239999999999997</v>
      </c>
      <c r="H135" s="929">
        <v>0.89239999999999997</v>
      </c>
      <c r="I135" s="929">
        <v>0.77280000000000004</v>
      </c>
      <c r="J135" s="929">
        <v>0.77280000000000004</v>
      </c>
      <c r="K135" s="929">
        <v>0.77280000000000004</v>
      </c>
      <c r="L135" s="929">
        <v>0.77280000000000004</v>
      </c>
      <c r="M135" s="929">
        <v>0.77280000000000004</v>
      </c>
    </row>
    <row r="136" spans="1:13">
      <c r="A136" s="936">
        <v>5.0999999999999996</v>
      </c>
      <c r="B136" s="929">
        <v>0.95779999999999998</v>
      </c>
      <c r="C136" s="929">
        <v>0.95779999999999998</v>
      </c>
      <c r="D136" s="929">
        <v>0.8901</v>
      </c>
      <c r="E136" s="929">
        <v>0.8901</v>
      </c>
      <c r="F136" s="929">
        <v>0.8901</v>
      </c>
      <c r="G136" s="929">
        <v>0.8901</v>
      </c>
      <c r="H136" s="929">
        <v>0.8901</v>
      </c>
      <c r="I136" s="929">
        <v>0.76990000000000003</v>
      </c>
      <c r="J136" s="929">
        <v>0.76990000000000003</v>
      </c>
      <c r="K136" s="929">
        <v>0.76990000000000003</v>
      </c>
      <c r="L136" s="929">
        <v>0.76990000000000003</v>
      </c>
      <c r="M136" s="929">
        <v>0.76990000000000003</v>
      </c>
    </row>
    <row r="137" spans="1:13">
      <c r="A137" s="936">
        <v>5.2</v>
      </c>
      <c r="B137" s="929">
        <v>0.95579999999999998</v>
      </c>
      <c r="C137" s="929">
        <v>0.95579999999999998</v>
      </c>
      <c r="D137" s="929">
        <v>0.88780000000000003</v>
      </c>
      <c r="E137" s="929">
        <v>0.88780000000000003</v>
      </c>
      <c r="F137" s="929">
        <v>0.88780000000000003</v>
      </c>
      <c r="G137" s="929">
        <v>0.88780000000000003</v>
      </c>
      <c r="H137" s="929">
        <v>0.88780000000000003</v>
      </c>
      <c r="I137" s="929">
        <v>0.76700000000000002</v>
      </c>
      <c r="J137" s="929">
        <v>0.76700000000000002</v>
      </c>
      <c r="K137" s="929">
        <v>0.76700000000000002</v>
      </c>
      <c r="L137" s="929">
        <v>0.76700000000000002</v>
      </c>
      <c r="M137" s="929">
        <v>0.76700000000000002</v>
      </c>
    </row>
    <row r="138" spans="1:13">
      <c r="A138" s="936">
        <v>5.3</v>
      </c>
      <c r="B138" s="929">
        <v>0.95379999999999998</v>
      </c>
      <c r="C138" s="929">
        <v>0.95379999999999998</v>
      </c>
      <c r="D138" s="929">
        <v>0.88549999999999995</v>
      </c>
      <c r="E138" s="929">
        <v>0.88549999999999995</v>
      </c>
      <c r="F138" s="929">
        <v>0.88549999999999995</v>
      </c>
      <c r="G138" s="929">
        <v>0.88549999999999995</v>
      </c>
      <c r="H138" s="929">
        <v>0.88549999999999995</v>
      </c>
      <c r="I138" s="929">
        <v>0.76419999999999999</v>
      </c>
      <c r="J138" s="929">
        <v>0.76419999999999999</v>
      </c>
      <c r="K138" s="929">
        <v>0.76419999999999999</v>
      </c>
      <c r="L138" s="929">
        <v>0.76419999999999999</v>
      </c>
      <c r="M138" s="929">
        <v>0.76419999999999999</v>
      </c>
    </row>
    <row r="139" spans="1:13">
      <c r="A139" s="936">
        <v>5.4</v>
      </c>
      <c r="B139" s="929">
        <v>0.95179999999999998</v>
      </c>
      <c r="C139" s="929">
        <v>0.95179999999999998</v>
      </c>
      <c r="D139" s="929">
        <v>0.88329999999999997</v>
      </c>
      <c r="E139" s="929">
        <v>0.88329999999999997</v>
      </c>
      <c r="F139" s="929">
        <v>0.88329999999999997</v>
      </c>
      <c r="G139" s="929">
        <v>0.88329999999999997</v>
      </c>
      <c r="H139" s="929">
        <v>0.88329999999999997</v>
      </c>
      <c r="I139" s="929">
        <v>0.76139999999999997</v>
      </c>
      <c r="J139" s="929">
        <v>0.76139999999999997</v>
      </c>
      <c r="K139" s="929">
        <v>0.76139999999999997</v>
      </c>
      <c r="L139" s="929">
        <v>0.76139999999999997</v>
      </c>
      <c r="M139" s="929">
        <v>0.76139999999999997</v>
      </c>
    </row>
    <row r="140" spans="1:13">
      <c r="A140" s="936">
        <v>5.5</v>
      </c>
      <c r="B140" s="929">
        <v>0.94979999999999998</v>
      </c>
      <c r="C140" s="929">
        <v>0.94979999999999998</v>
      </c>
      <c r="D140" s="929">
        <v>0.88109999999999999</v>
      </c>
      <c r="E140" s="929">
        <v>0.88109999999999999</v>
      </c>
      <c r="F140" s="929">
        <v>0.88109999999999999</v>
      </c>
      <c r="G140" s="929">
        <v>0.88109999999999999</v>
      </c>
      <c r="H140" s="929">
        <v>0.88109999999999999</v>
      </c>
      <c r="I140" s="929">
        <v>0.75860000000000005</v>
      </c>
      <c r="J140" s="929">
        <v>0.75860000000000005</v>
      </c>
      <c r="K140" s="929">
        <v>0.75860000000000005</v>
      </c>
      <c r="L140" s="929">
        <v>0.75860000000000005</v>
      </c>
      <c r="M140" s="929">
        <v>0.75860000000000005</v>
      </c>
    </row>
    <row r="141" spans="1:13">
      <c r="A141" s="936">
        <v>5.6</v>
      </c>
      <c r="B141" s="929">
        <v>0.94789999999999996</v>
      </c>
      <c r="C141" s="929">
        <v>0.94789999999999996</v>
      </c>
      <c r="D141" s="929">
        <v>0.87890000000000001</v>
      </c>
      <c r="E141" s="929">
        <v>0.87890000000000001</v>
      </c>
      <c r="F141" s="929">
        <v>0.87890000000000001</v>
      </c>
      <c r="G141" s="929">
        <v>0.87890000000000001</v>
      </c>
      <c r="H141" s="929">
        <v>0.87890000000000001</v>
      </c>
      <c r="I141" s="929">
        <v>0.75590000000000002</v>
      </c>
      <c r="J141" s="929">
        <v>0.75590000000000002</v>
      </c>
      <c r="K141" s="929">
        <v>0.75590000000000002</v>
      </c>
      <c r="L141" s="929">
        <v>0.75590000000000002</v>
      </c>
      <c r="M141" s="929">
        <v>0.75590000000000002</v>
      </c>
    </row>
    <row r="142" spans="1:13">
      <c r="A142" s="936">
        <v>5.7</v>
      </c>
      <c r="B142" s="929">
        <v>0.94599999999999995</v>
      </c>
      <c r="C142" s="929">
        <v>0.94599999999999995</v>
      </c>
      <c r="D142" s="929">
        <v>0.87670000000000003</v>
      </c>
      <c r="E142" s="929">
        <v>0.87670000000000003</v>
      </c>
      <c r="F142" s="929">
        <v>0.87670000000000003</v>
      </c>
      <c r="G142" s="929">
        <v>0.87670000000000003</v>
      </c>
      <c r="H142" s="929">
        <v>0.87670000000000003</v>
      </c>
      <c r="I142" s="929">
        <v>0.75319999999999998</v>
      </c>
      <c r="J142" s="929">
        <v>0.75319999999999998</v>
      </c>
      <c r="K142" s="929">
        <v>0.75319999999999998</v>
      </c>
      <c r="L142" s="929">
        <v>0.75319999999999998</v>
      </c>
      <c r="M142" s="929">
        <v>0.75319999999999998</v>
      </c>
    </row>
    <row r="143" spans="1:13">
      <c r="A143" s="936">
        <v>5.8</v>
      </c>
      <c r="B143" s="929">
        <v>0.94410000000000005</v>
      </c>
      <c r="C143" s="929">
        <v>0.94410000000000005</v>
      </c>
      <c r="D143" s="929">
        <v>0.87460000000000004</v>
      </c>
      <c r="E143" s="929">
        <v>0.87460000000000004</v>
      </c>
      <c r="F143" s="929">
        <v>0.87460000000000004</v>
      </c>
      <c r="G143" s="929">
        <v>0.87460000000000004</v>
      </c>
      <c r="H143" s="929">
        <v>0.87460000000000004</v>
      </c>
      <c r="I143" s="929">
        <v>0.75049999999999994</v>
      </c>
      <c r="J143" s="929">
        <v>0.75049999999999994</v>
      </c>
      <c r="K143" s="929">
        <v>0.75049999999999994</v>
      </c>
      <c r="L143" s="929">
        <v>0.75049999999999994</v>
      </c>
      <c r="M143" s="929">
        <v>0.75049999999999994</v>
      </c>
    </row>
    <row r="144" spans="1:13">
      <c r="A144" s="936">
        <v>5.9</v>
      </c>
      <c r="B144" s="929">
        <v>0.94220000000000004</v>
      </c>
      <c r="C144" s="929">
        <v>0.94220000000000004</v>
      </c>
      <c r="D144" s="929">
        <v>0.87250000000000005</v>
      </c>
      <c r="E144" s="929">
        <v>0.87250000000000005</v>
      </c>
      <c r="F144" s="929">
        <v>0.87250000000000005</v>
      </c>
      <c r="G144" s="929">
        <v>0.87250000000000005</v>
      </c>
      <c r="H144" s="929">
        <v>0.87250000000000005</v>
      </c>
      <c r="I144" s="929">
        <v>0.74780000000000002</v>
      </c>
      <c r="J144" s="929">
        <v>0.74780000000000002</v>
      </c>
      <c r="K144" s="929">
        <v>0.74780000000000002</v>
      </c>
      <c r="L144" s="929">
        <v>0.74780000000000002</v>
      </c>
      <c r="M144" s="929">
        <v>0.74780000000000002</v>
      </c>
    </row>
    <row r="145" spans="1:13">
      <c r="A145" s="936">
        <v>6</v>
      </c>
      <c r="B145" s="929">
        <v>0.94040000000000001</v>
      </c>
      <c r="C145" s="929">
        <v>0.94040000000000001</v>
      </c>
      <c r="D145" s="929">
        <v>0.87039999999999995</v>
      </c>
      <c r="E145" s="929">
        <v>0.87039999999999995</v>
      </c>
      <c r="F145" s="929">
        <v>0.87039999999999995</v>
      </c>
      <c r="G145" s="929">
        <v>0.87039999999999995</v>
      </c>
      <c r="H145" s="929">
        <v>0.87039999999999995</v>
      </c>
      <c r="I145" s="929">
        <v>0.74519999999999997</v>
      </c>
      <c r="J145" s="929">
        <v>0.74519999999999997</v>
      </c>
      <c r="K145" s="929">
        <v>0.74519999999999997</v>
      </c>
      <c r="L145" s="929">
        <v>0.74519999999999997</v>
      </c>
      <c r="M145" s="929">
        <v>0.74519999999999997</v>
      </c>
    </row>
    <row r="146" spans="1:13">
      <c r="A146" s="936">
        <v>6.1</v>
      </c>
      <c r="B146" s="929">
        <v>0.93859999999999999</v>
      </c>
      <c r="C146" s="929">
        <v>0.93859999999999999</v>
      </c>
      <c r="D146" s="929">
        <v>0.86829999999999996</v>
      </c>
      <c r="E146" s="929">
        <v>0.86829999999999996</v>
      </c>
      <c r="F146" s="929">
        <v>0.86829999999999996</v>
      </c>
      <c r="G146" s="929">
        <v>0.86829999999999996</v>
      </c>
      <c r="H146" s="929">
        <v>0.86829999999999996</v>
      </c>
      <c r="I146" s="929">
        <v>0.74260000000000004</v>
      </c>
      <c r="J146" s="929">
        <v>0.74260000000000004</v>
      </c>
      <c r="K146" s="929">
        <v>0.74260000000000004</v>
      </c>
      <c r="L146" s="929">
        <v>0.74260000000000004</v>
      </c>
      <c r="M146" s="929">
        <v>0.74260000000000004</v>
      </c>
    </row>
    <row r="147" spans="1:13">
      <c r="A147" s="936">
        <v>6.2</v>
      </c>
      <c r="B147" s="929">
        <v>0.93679999999999997</v>
      </c>
      <c r="C147" s="929">
        <v>0.93679999999999997</v>
      </c>
      <c r="D147" s="929">
        <v>0.86619999999999997</v>
      </c>
      <c r="E147" s="929">
        <v>0.86619999999999997</v>
      </c>
      <c r="F147" s="929">
        <v>0.86619999999999997</v>
      </c>
      <c r="G147" s="929">
        <v>0.86619999999999997</v>
      </c>
      <c r="H147" s="929">
        <v>0.86619999999999997</v>
      </c>
      <c r="I147" s="929">
        <v>0.74</v>
      </c>
      <c r="J147" s="929">
        <v>0.74</v>
      </c>
      <c r="K147" s="929">
        <v>0.74</v>
      </c>
      <c r="L147" s="929">
        <v>0.74</v>
      </c>
      <c r="M147" s="929">
        <v>0.74</v>
      </c>
    </row>
    <row r="148" spans="1:13">
      <c r="A148" s="936">
        <v>6.3</v>
      </c>
      <c r="B148" s="929">
        <v>0.93500000000000005</v>
      </c>
      <c r="C148" s="929">
        <v>0.93500000000000005</v>
      </c>
      <c r="D148" s="929">
        <v>0.86409999999999998</v>
      </c>
      <c r="E148" s="929">
        <v>0.86409999999999998</v>
      </c>
      <c r="F148" s="929">
        <v>0.86409999999999998</v>
      </c>
      <c r="G148" s="929">
        <v>0.86409999999999998</v>
      </c>
      <c r="H148" s="929">
        <v>0.86409999999999998</v>
      </c>
      <c r="I148" s="929">
        <v>0.73740000000000006</v>
      </c>
      <c r="J148" s="929">
        <v>0.73740000000000006</v>
      </c>
      <c r="K148" s="929">
        <v>0.73740000000000006</v>
      </c>
      <c r="L148" s="929">
        <v>0.73740000000000006</v>
      </c>
      <c r="M148" s="929">
        <v>0.73740000000000006</v>
      </c>
    </row>
    <row r="149" spans="1:13">
      <c r="A149" s="936">
        <v>6.4</v>
      </c>
      <c r="B149" s="929">
        <v>0.93320000000000003</v>
      </c>
      <c r="C149" s="929">
        <v>0.93320000000000003</v>
      </c>
      <c r="D149" s="929">
        <v>0.86209999999999998</v>
      </c>
      <c r="E149" s="929">
        <v>0.86209999999999998</v>
      </c>
      <c r="F149" s="929">
        <v>0.86209999999999998</v>
      </c>
      <c r="G149" s="929">
        <v>0.86209999999999998</v>
      </c>
      <c r="H149" s="929">
        <v>0.86209999999999998</v>
      </c>
      <c r="I149" s="929">
        <v>0.73480000000000001</v>
      </c>
      <c r="J149" s="929">
        <v>0.73480000000000001</v>
      </c>
      <c r="K149" s="929">
        <v>0.73480000000000001</v>
      </c>
      <c r="L149" s="929">
        <v>0.73480000000000001</v>
      </c>
      <c r="M149" s="929">
        <v>0.73480000000000001</v>
      </c>
    </row>
    <row r="150" spans="1:13">
      <c r="A150" s="936">
        <v>6.5</v>
      </c>
      <c r="B150" s="929">
        <v>0.93149999999999999</v>
      </c>
      <c r="C150" s="929">
        <v>0.93149999999999999</v>
      </c>
      <c r="D150" s="929">
        <v>0.86009999999999998</v>
      </c>
      <c r="E150" s="929">
        <v>0.86009999999999998</v>
      </c>
      <c r="F150" s="929">
        <v>0.86009999999999998</v>
      </c>
      <c r="G150" s="929">
        <v>0.86009999999999998</v>
      </c>
      <c r="H150" s="929">
        <v>0.86009999999999998</v>
      </c>
      <c r="I150" s="929">
        <v>0.73229999999999995</v>
      </c>
      <c r="J150" s="929">
        <v>0.73229999999999995</v>
      </c>
      <c r="K150" s="929">
        <v>0.73229999999999995</v>
      </c>
      <c r="L150" s="929">
        <v>0.73229999999999995</v>
      </c>
      <c r="M150" s="929">
        <v>0.73229999999999995</v>
      </c>
    </row>
    <row r="151" spans="1:13">
      <c r="A151" s="936">
        <v>6.6</v>
      </c>
      <c r="B151" s="929">
        <v>0.92979999999999996</v>
      </c>
      <c r="C151" s="929">
        <v>0.92979999999999996</v>
      </c>
      <c r="D151" s="929">
        <v>0.85809999999999997</v>
      </c>
      <c r="E151" s="929">
        <v>0.85809999999999997</v>
      </c>
      <c r="F151" s="929">
        <v>0.85809999999999997</v>
      </c>
      <c r="G151" s="929">
        <v>0.85809999999999997</v>
      </c>
      <c r="H151" s="929">
        <v>0.85809999999999997</v>
      </c>
      <c r="I151" s="929">
        <v>0.7298</v>
      </c>
      <c r="J151" s="929">
        <v>0.7298</v>
      </c>
      <c r="K151" s="929">
        <v>0.7298</v>
      </c>
      <c r="L151" s="929">
        <v>0.7298</v>
      </c>
      <c r="M151" s="929">
        <v>0.7298</v>
      </c>
    </row>
    <row r="152" spans="1:13">
      <c r="A152" s="936">
        <v>6.7</v>
      </c>
      <c r="B152" s="929">
        <v>0.92810000000000004</v>
      </c>
      <c r="C152" s="929">
        <v>0.92810000000000004</v>
      </c>
      <c r="D152" s="929">
        <v>0.85609999999999997</v>
      </c>
      <c r="E152" s="929">
        <v>0.85609999999999997</v>
      </c>
      <c r="F152" s="929">
        <v>0.85609999999999997</v>
      </c>
      <c r="G152" s="929">
        <v>0.85609999999999997</v>
      </c>
      <c r="H152" s="929">
        <v>0.85609999999999997</v>
      </c>
      <c r="I152" s="929">
        <v>0.72729999999999995</v>
      </c>
      <c r="J152" s="929">
        <v>0.72729999999999995</v>
      </c>
      <c r="K152" s="929">
        <v>0.72729999999999995</v>
      </c>
      <c r="L152" s="929">
        <v>0.72729999999999995</v>
      </c>
      <c r="M152" s="929">
        <v>0.72729999999999995</v>
      </c>
    </row>
    <row r="153" spans="1:13">
      <c r="A153" s="936">
        <v>6.8</v>
      </c>
      <c r="B153" s="929">
        <v>0.9264</v>
      </c>
      <c r="C153" s="929">
        <v>0.9264</v>
      </c>
      <c r="D153" s="929">
        <v>0.85409999999999997</v>
      </c>
      <c r="E153" s="929">
        <v>0.85409999999999997</v>
      </c>
      <c r="F153" s="929">
        <v>0.85409999999999997</v>
      </c>
      <c r="G153" s="929">
        <v>0.85409999999999997</v>
      </c>
      <c r="H153" s="929">
        <v>0.85409999999999997</v>
      </c>
      <c r="I153" s="929">
        <v>0.7248</v>
      </c>
      <c r="J153" s="929">
        <v>0.7248</v>
      </c>
      <c r="K153" s="929">
        <v>0.7248</v>
      </c>
      <c r="L153" s="929">
        <v>0.7248</v>
      </c>
      <c r="M153" s="929">
        <v>0.7248</v>
      </c>
    </row>
    <row r="154" spans="1:13">
      <c r="A154" s="936">
        <v>6.9</v>
      </c>
      <c r="B154" s="929">
        <v>0.92469999999999997</v>
      </c>
      <c r="C154" s="929">
        <v>0.92469999999999997</v>
      </c>
      <c r="D154" s="929">
        <v>0.85209999999999997</v>
      </c>
      <c r="E154" s="929">
        <v>0.85209999999999997</v>
      </c>
      <c r="F154" s="929">
        <v>0.85209999999999997</v>
      </c>
      <c r="G154" s="929">
        <v>0.85209999999999997</v>
      </c>
      <c r="H154" s="929">
        <v>0.85209999999999997</v>
      </c>
      <c r="I154" s="929">
        <v>0.72230000000000005</v>
      </c>
      <c r="J154" s="929">
        <v>0.72230000000000005</v>
      </c>
      <c r="K154" s="929">
        <v>0.72230000000000005</v>
      </c>
      <c r="L154" s="929">
        <v>0.72230000000000005</v>
      </c>
      <c r="M154" s="929">
        <v>0.72230000000000005</v>
      </c>
    </row>
    <row r="155" spans="1:13">
      <c r="A155" s="920">
        <v>7</v>
      </c>
      <c r="B155" s="929">
        <v>0.92300000000000004</v>
      </c>
      <c r="C155" s="929">
        <v>0.92300000000000004</v>
      </c>
      <c r="D155" s="929">
        <v>0.85019999999999996</v>
      </c>
      <c r="E155" s="929">
        <v>0.85019999999999996</v>
      </c>
      <c r="F155" s="929">
        <v>0.85019999999999996</v>
      </c>
      <c r="G155" s="929">
        <v>0.85019999999999996</v>
      </c>
      <c r="H155" s="929">
        <v>0.85019999999999996</v>
      </c>
      <c r="I155" s="929">
        <v>0.71989999999999998</v>
      </c>
      <c r="J155" s="929">
        <v>0.71989999999999998</v>
      </c>
      <c r="K155" s="929">
        <v>0.71989999999999998</v>
      </c>
      <c r="L155" s="929">
        <v>0.71989999999999998</v>
      </c>
      <c r="M155" s="929">
        <v>0.71989999999999998</v>
      </c>
    </row>
    <row r="156" spans="1:13">
      <c r="A156" s="920">
        <v>7.1</v>
      </c>
      <c r="B156" s="929">
        <v>0.9214</v>
      </c>
      <c r="C156" s="929">
        <v>0.9214</v>
      </c>
      <c r="D156" s="929">
        <v>0.84830000000000005</v>
      </c>
      <c r="E156" s="929">
        <v>0.84830000000000005</v>
      </c>
      <c r="F156" s="929">
        <v>0.84830000000000005</v>
      </c>
      <c r="G156" s="929">
        <v>0.84830000000000005</v>
      </c>
      <c r="H156" s="929">
        <v>0.84830000000000005</v>
      </c>
      <c r="I156" s="929">
        <v>0.71750000000000003</v>
      </c>
      <c r="J156" s="929">
        <v>0.71750000000000003</v>
      </c>
      <c r="K156" s="929">
        <v>0.71750000000000003</v>
      </c>
      <c r="L156" s="929">
        <v>0.71750000000000003</v>
      </c>
      <c r="M156" s="929">
        <v>0.71750000000000003</v>
      </c>
    </row>
    <row r="157" spans="1:13">
      <c r="A157" s="920">
        <v>7.2</v>
      </c>
      <c r="B157" s="929">
        <v>0.91979999999999995</v>
      </c>
      <c r="C157" s="929">
        <v>0.91979999999999995</v>
      </c>
      <c r="D157" s="929">
        <v>0.84640000000000004</v>
      </c>
      <c r="E157" s="929">
        <v>0.84640000000000004</v>
      </c>
      <c r="F157" s="929">
        <v>0.84640000000000004</v>
      </c>
      <c r="G157" s="929">
        <v>0.84640000000000004</v>
      </c>
      <c r="H157" s="929">
        <v>0.84640000000000004</v>
      </c>
      <c r="I157" s="929">
        <v>0.71509999999999996</v>
      </c>
      <c r="J157" s="929">
        <v>0.71509999999999996</v>
      </c>
      <c r="K157" s="929">
        <v>0.71509999999999996</v>
      </c>
      <c r="L157" s="929">
        <v>0.71509999999999996</v>
      </c>
      <c r="M157" s="929">
        <v>0.71509999999999996</v>
      </c>
    </row>
    <row r="158" spans="1:13">
      <c r="A158" s="920">
        <v>7.3</v>
      </c>
      <c r="B158" s="929">
        <v>0.91820000000000002</v>
      </c>
      <c r="C158" s="929">
        <v>0.91820000000000002</v>
      </c>
      <c r="D158" s="929">
        <v>0.84450000000000003</v>
      </c>
      <c r="E158" s="929">
        <v>0.84450000000000003</v>
      </c>
      <c r="F158" s="929">
        <v>0.84450000000000003</v>
      </c>
      <c r="G158" s="929">
        <v>0.84450000000000003</v>
      </c>
      <c r="H158" s="929">
        <v>0.84450000000000003</v>
      </c>
      <c r="I158" s="929">
        <v>0.7127</v>
      </c>
      <c r="J158" s="929">
        <v>0.7127</v>
      </c>
      <c r="K158" s="929">
        <v>0.7127</v>
      </c>
      <c r="L158" s="929">
        <v>0.7127</v>
      </c>
      <c r="M158" s="929">
        <v>0.7127</v>
      </c>
    </row>
    <row r="159" spans="1:13">
      <c r="A159" s="920">
        <v>7.4</v>
      </c>
      <c r="B159" s="929">
        <v>0.91659999999999997</v>
      </c>
      <c r="C159" s="929">
        <v>0.91659999999999997</v>
      </c>
      <c r="D159" s="929">
        <v>0.84260000000000002</v>
      </c>
      <c r="E159" s="929">
        <v>0.84260000000000002</v>
      </c>
      <c r="F159" s="929">
        <v>0.84260000000000002</v>
      </c>
      <c r="G159" s="929">
        <v>0.84260000000000002</v>
      </c>
      <c r="H159" s="929">
        <v>0.84260000000000002</v>
      </c>
      <c r="I159" s="929">
        <v>0.71030000000000004</v>
      </c>
      <c r="J159" s="929">
        <v>0.71030000000000004</v>
      </c>
      <c r="K159" s="929">
        <v>0.71030000000000004</v>
      </c>
      <c r="L159" s="929">
        <v>0.71030000000000004</v>
      </c>
      <c r="M159" s="929">
        <v>0.71030000000000004</v>
      </c>
    </row>
    <row r="160" spans="1:13">
      <c r="A160" s="920">
        <v>7.5</v>
      </c>
      <c r="B160" s="929">
        <v>0.91500000000000004</v>
      </c>
      <c r="C160" s="929">
        <v>0.91500000000000004</v>
      </c>
      <c r="D160" s="929">
        <v>0.8407</v>
      </c>
      <c r="E160" s="929">
        <v>0.8407</v>
      </c>
      <c r="F160" s="929">
        <v>0.8407</v>
      </c>
      <c r="G160" s="929">
        <v>0.8407</v>
      </c>
      <c r="H160" s="929">
        <v>0.8407</v>
      </c>
      <c r="I160" s="929">
        <v>0.70799999999999996</v>
      </c>
      <c r="J160" s="929">
        <v>0.70799999999999996</v>
      </c>
      <c r="K160" s="929">
        <v>0.70799999999999996</v>
      </c>
      <c r="L160" s="929">
        <v>0.70799999999999996</v>
      </c>
      <c r="M160" s="929">
        <v>0.70799999999999996</v>
      </c>
    </row>
    <row r="161" spans="1:13">
      <c r="A161" s="936">
        <v>7.6</v>
      </c>
      <c r="B161" s="929">
        <v>0.91339999999999999</v>
      </c>
      <c r="C161" s="929">
        <v>0.91339999999999999</v>
      </c>
      <c r="D161" s="929">
        <v>0.83889999999999998</v>
      </c>
      <c r="E161" s="929">
        <v>0.83889999999999998</v>
      </c>
      <c r="F161" s="929">
        <v>0.83889999999999998</v>
      </c>
      <c r="G161" s="929">
        <v>0.83889999999999998</v>
      </c>
      <c r="H161" s="929">
        <v>0.83889999999999998</v>
      </c>
      <c r="I161" s="929">
        <v>0.70569999999999999</v>
      </c>
      <c r="J161" s="929">
        <v>0.70569999999999999</v>
      </c>
      <c r="K161" s="929">
        <v>0.70569999999999999</v>
      </c>
      <c r="L161" s="929">
        <v>0.70569999999999999</v>
      </c>
      <c r="M161" s="929">
        <v>0.70569999999999999</v>
      </c>
    </row>
    <row r="162" spans="1:13">
      <c r="A162" s="920">
        <v>7.7</v>
      </c>
      <c r="B162" s="929">
        <v>0.91190000000000004</v>
      </c>
      <c r="C162" s="929">
        <v>0.91190000000000004</v>
      </c>
      <c r="D162" s="929">
        <v>0.83709999999999996</v>
      </c>
      <c r="E162" s="929">
        <v>0.83709999999999996</v>
      </c>
      <c r="F162" s="929">
        <v>0.83709999999999996</v>
      </c>
      <c r="G162" s="929">
        <v>0.83709999999999996</v>
      </c>
      <c r="H162" s="929">
        <v>0.83709999999999996</v>
      </c>
      <c r="I162" s="929">
        <v>0.70340000000000003</v>
      </c>
      <c r="J162" s="929">
        <v>0.70340000000000003</v>
      </c>
      <c r="K162" s="929">
        <v>0.70340000000000003</v>
      </c>
      <c r="L162" s="929">
        <v>0.70340000000000003</v>
      </c>
      <c r="M162" s="929">
        <v>0.70340000000000003</v>
      </c>
    </row>
    <row r="163" spans="1:13">
      <c r="A163" s="920">
        <v>7.8</v>
      </c>
      <c r="B163" s="929">
        <v>0.91039999999999999</v>
      </c>
      <c r="C163" s="929">
        <v>0.91039999999999999</v>
      </c>
      <c r="D163" s="929">
        <v>0.83530000000000004</v>
      </c>
      <c r="E163" s="929">
        <v>0.83530000000000004</v>
      </c>
      <c r="F163" s="929">
        <v>0.83530000000000004</v>
      </c>
      <c r="G163" s="929">
        <v>0.83530000000000004</v>
      </c>
      <c r="H163" s="929">
        <v>0.83530000000000004</v>
      </c>
      <c r="I163" s="929">
        <v>0.70109999999999995</v>
      </c>
      <c r="J163" s="929">
        <v>0.70109999999999995</v>
      </c>
      <c r="K163" s="929">
        <v>0.70109999999999995</v>
      </c>
      <c r="L163" s="929">
        <v>0.70109999999999995</v>
      </c>
      <c r="M163" s="929">
        <v>0.70109999999999995</v>
      </c>
    </row>
    <row r="164" spans="1:13">
      <c r="A164" s="920">
        <v>7.9</v>
      </c>
      <c r="B164" s="929">
        <v>0.90890000000000004</v>
      </c>
      <c r="C164" s="929">
        <v>0.90890000000000004</v>
      </c>
      <c r="D164" s="929">
        <v>0.83350000000000002</v>
      </c>
      <c r="E164" s="929">
        <v>0.83350000000000002</v>
      </c>
      <c r="F164" s="929">
        <v>0.83350000000000002</v>
      </c>
      <c r="G164" s="929">
        <v>0.83350000000000002</v>
      </c>
      <c r="H164" s="929">
        <v>0.83350000000000002</v>
      </c>
      <c r="I164" s="929">
        <v>0.69879999999999998</v>
      </c>
      <c r="J164" s="929">
        <v>0.69879999999999998</v>
      </c>
      <c r="K164" s="929">
        <v>0.69879999999999998</v>
      </c>
      <c r="L164" s="929">
        <v>0.69879999999999998</v>
      </c>
      <c r="M164" s="929">
        <v>0.69879999999999998</v>
      </c>
    </row>
    <row r="165" spans="1:13">
      <c r="A165" s="920">
        <v>8</v>
      </c>
      <c r="B165" s="929">
        <v>0.90739999999999998</v>
      </c>
      <c r="C165" s="929">
        <v>0.90739999999999998</v>
      </c>
      <c r="D165" s="929">
        <v>0.83169999999999999</v>
      </c>
      <c r="E165" s="929">
        <v>0.83169999999999999</v>
      </c>
      <c r="F165" s="929">
        <v>0.83169999999999999</v>
      </c>
      <c r="G165" s="929">
        <v>0.83169999999999999</v>
      </c>
      <c r="H165" s="929">
        <v>0.83169999999999999</v>
      </c>
      <c r="I165" s="929">
        <v>0.6966</v>
      </c>
      <c r="J165" s="929">
        <v>0.6966</v>
      </c>
      <c r="K165" s="929">
        <v>0.6966</v>
      </c>
      <c r="L165" s="929">
        <v>0.6966</v>
      </c>
      <c r="M165" s="929">
        <v>0.6966</v>
      </c>
    </row>
    <row r="166" spans="1:13">
      <c r="A166" s="920">
        <v>8.1</v>
      </c>
      <c r="B166" s="929">
        <v>0.90590000000000004</v>
      </c>
      <c r="C166" s="929">
        <v>0.90590000000000004</v>
      </c>
      <c r="D166" s="929">
        <v>0.82989999999999997</v>
      </c>
      <c r="E166" s="929">
        <v>0.82989999999999997</v>
      </c>
      <c r="F166" s="929">
        <v>0.82989999999999997</v>
      </c>
      <c r="G166" s="929">
        <v>0.82989999999999997</v>
      </c>
      <c r="H166" s="929">
        <v>0.82989999999999997</v>
      </c>
      <c r="I166" s="929">
        <v>0.69440000000000002</v>
      </c>
      <c r="J166" s="929">
        <v>0.69440000000000002</v>
      </c>
      <c r="K166" s="929">
        <v>0.69440000000000002</v>
      </c>
      <c r="L166" s="929">
        <v>0.69440000000000002</v>
      </c>
      <c r="M166" s="929">
        <v>0.69440000000000002</v>
      </c>
    </row>
    <row r="167" spans="1:13">
      <c r="A167" s="920">
        <v>8.1999999999999993</v>
      </c>
      <c r="B167" s="929">
        <v>0.90439999999999998</v>
      </c>
      <c r="C167" s="929">
        <v>0.90439999999999998</v>
      </c>
      <c r="D167" s="929">
        <v>0.82820000000000005</v>
      </c>
      <c r="E167" s="929">
        <v>0.82820000000000005</v>
      </c>
      <c r="F167" s="929">
        <v>0.82820000000000005</v>
      </c>
      <c r="G167" s="929">
        <v>0.82820000000000005</v>
      </c>
      <c r="H167" s="929">
        <v>0.82820000000000005</v>
      </c>
      <c r="I167" s="929">
        <v>0.69220000000000004</v>
      </c>
      <c r="J167" s="929">
        <v>0.69220000000000004</v>
      </c>
      <c r="K167" s="929">
        <v>0.69220000000000004</v>
      </c>
      <c r="L167" s="929">
        <v>0.69220000000000004</v>
      </c>
      <c r="M167" s="929">
        <v>0.69220000000000004</v>
      </c>
    </row>
    <row r="168" spans="1:13">
      <c r="A168" s="920">
        <v>8.3000000000000007</v>
      </c>
      <c r="B168" s="929">
        <v>0.90300000000000002</v>
      </c>
      <c r="C168" s="929">
        <v>0.90300000000000002</v>
      </c>
      <c r="D168" s="929">
        <v>0.82650000000000001</v>
      </c>
      <c r="E168" s="929">
        <v>0.82650000000000001</v>
      </c>
      <c r="F168" s="929">
        <v>0.82650000000000001</v>
      </c>
      <c r="G168" s="929">
        <v>0.82650000000000001</v>
      </c>
      <c r="H168" s="929">
        <v>0.82650000000000001</v>
      </c>
      <c r="I168" s="929">
        <v>0.69</v>
      </c>
      <c r="J168" s="929">
        <v>0.69</v>
      </c>
      <c r="K168" s="929">
        <v>0.69</v>
      </c>
      <c r="L168" s="929">
        <v>0.69</v>
      </c>
      <c r="M168" s="929">
        <v>0.69</v>
      </c>
    </row>
    <row r="169" spans="1:13">
      <c r="A169" s="920">
        <v>8.4</v>
      </c>
      <c r="B169" s="929">
        <v>0.90159999999999996</v>
      </c>
      <c r="C169" s="929">
        <v>0.90159999999999996</v>
      </c>
      <c r="D169" s="929">
        <v>0.82479999999999998</v>
      </c>
      <c r="E169" s="929">
        <v>0.82479999999999998</v>
      </c>
      <c r="F169" s="929">
        <v>0.82479999999999998</v>
      </c>
      <c r="G169" s="929">
        <v>0.82479999999999998</v>
      </c>
      <c r="H169" s="929">
        <v>0.82479999999999998</v>
      </c>
      <c r="I169" s="929">
        <v>0.68779999999999997</v>
      </c>
      <c r="J169" s="929">
        <v>0.68779999999999997</v>
      </c>
      <c r="K169" s="929">
        <v>0.68779999999999997</v>
      </c>
      <c r="L169" s="929">
        <v>0.68779999999999997</v>
      </c>
      <c r="M169" s="929">
        <v>0.68779999999999997</v>
      </c>
    </row>
    <row r="170" spans="1:13">
      <c r="A170" s="920">
        <v>8.5</v>
      </c>
      <c r="B170" s="929">
        <v>0.9002</v>
      </c>
      <c r="C170" s="929">
        <v>0.9002</v>
      </c>
      <c r="D170" s="929">
        <v>0.82310000000000005</v>
      </c>
      <c r="E170" s="929">
        <v>0.82310000000000005</v>
      </c>
      <c r="F170" s="929">
        <v>0.82310000000000005</v>
      </c>
      <c r="G170" s="929">
        <v>0.82310000000000005</v>
      </c>
      <c r="H170" s="929">
        <v>0.82310000000000005</v>
      </c>
      <c r="I170" s="929">
        <v>0.68569999999999998</v>
      </c>
      <c r="J170" s="929">
        <v>0.68569999999999998</v>
      </c>
      <c r="K170" s="929">
        <v>0.68569999999999998</v>
      </c>
      <c r="L170" s="929">
        <v>0.68569999999999998</v>
      </c>
      <c r="M170" s="929">
        <v>0.68569999999999998</v>
      </c>
    </row>
    <row r="171" spans="1:13">
      <c r="A171" s="920">
        <v>8.6</v>
      </c>
      <c r="B171" s="929">
        <v>0.89880000000000004</v>
      </c>
      <c r="C171" s="929">
        <v>0.89880000000000004</v>
      </c>
      <c r="D171" s="929">
        <v>0.82140000000000002</v>
      </c>
      <c r="E171" s="929">
        <v>0.82140000000000002</v>
      </c>
      <c r="F171" s="929">
        <v>0.82140000000000002</v>
      </c>
      <c r="G171" s="929">
        <v>0.82140000000000002</v>
      </c>
      <c r="H171" s="929">
        <v>0.82140000000000002</v>
      </c>
      <c r="I171" s="929">
        <v>0.68359999999999999</v>
      </c>
      <c r="J171" s="929">
        <v>0.68359999999999999</v>
      </c>
      <c r="K171" s="929">
        <v>0.68359999999999999</v>
      </c>
      <c r="L171" s="929">
        <v>0.68359999999999999</v>
      </c>
      <c r="M171" s="929">
        <v>0.68359999999999999</v>
      </c>
    </row>
    <row r="172" spans="1:13">
      <c r="A172" s="920">
        <v>8.6999999999999993</v>
      </c>
      <c r="B172" s="929">
        <v>0.89739999999999998</v>
      </c>
      <c r="C172" s="929">
        <v>0.89739999999999998</v>
      </c>
      <c r="D172" s="929">
        <v>0.81969999999999998</v>
      </c>
      <c r="E172" s="929">
        <v>0.81969999999999998</v>
      </c>
      <c r="F172" s="929">
        <v>0.81969999999999998</v>
      </c>
      <c r="G172" s="929">
        <v>0.81969999999999998</v>
      </c>
      <c r="H172" s="929">
        <v>0.81969999999999998</v>
      </c>
      <c r="I172" s="929">
        <v>0.68149999999999999</v>
      </c>
      <c r="J172" s="929">
        <v>0.68149999999999999</v>
      </c>
      <c r="K172" s="929">
        <v>0.68149999999999999</v>
      </c>
      <c r="L172" s="929">
        <v>0.68149999999999999</v>
      </c>
      <c r="M172" s="929">
        <v>0.68149999999999999</v>
      </c>
    </row>
    <row r="173" spans="1:13">
      <c r="A173" s="920">
        <v>8.8000000000000007</v>
      </c>
      <c r="B173" s="929">
        <v>0.89600000000000002</v>
      </c>
      <c r="C173" s="929">
        <v>0.89600000000000002</v>
      </c>
      <c r="D173" s="929">
        <v>0.81810000000000005</v>
      </c>
      <c r="E173" s="929">
        <v>0.81810000000000005</v>
      </c>
      <c r="F173" s="929">
        <v>0.81810000000000005</v>
      </c>
      <c r="G173" s="929">
        <v>0.81810000000000005</v>
      </c>
      <c r="H173" s="929">
        <v>0.81810000000000005</v>
      </c>
      <c r="I173" s="929">
        <v>0.6794</v>
      </c>
      <c r="J173" s="929">
        <v>0.6794</v>
      </c>
      <c r="K173" s="929">
        <v>0.6794</v>
      </c>
      <c r="L173" s="929">
        <v>0.6794</v>
      </c>
      <c r="M173" s="929">
        <v>0.6794</v>
      </c>
    </row>
    <row r="174" spans="1:13">
      <c r="A174" s="920">
        <v>8.9</v>
      </c>
      <c r="B174" s="929">
        <v>0.89470000000000005</v>
      </c>
      <c r="C174" s="929">
        <v>0.89470000000000005</v>
      </c>
      <c r="D174" s="929">
        <v>0.8165</v>
      </c>
      <c r="E174" s="929">
        <v>0.8165</v>
      </c>
      <c r="F174" s="929">
        <v>0.8165</v>
      </c>
      <c r="G174" s="929">
        <v>0.8165</v>
      </c>
      <c r="H174" s="929">
        <v>0.8165</v>
      </c>
      <c r="I174" s="929">
        <v>0.6774</v>
      </c>
      <c r="J174" s="929">
        <v>0.6774</v>
      </c>
      <c r="K174" s="929">
        <v>0.6774</v>
      </c>
      <c r="L174" s="929">
        <v>0.6774</v>
      </c>
      <c r="M174" s="929">
        <v>0.6774</v>
      </c>
    </row>
    <row r="175" spans="1:13">
      <c r="A175" s="920">
        <v>9</v>
      </c>
      <c r="B175" s="929">
        <v>0.89339999999999997</v>
      </c>
      <c r="C175" s="929">
        <v>0.89339999999999997</v>
      </c>
      <c r="D175" s="929">
        <v>0.81489999999999996</v>
      </c>
      <c r="E175" s="929">
        <v>0.81489999999999996</v>
      </c>
      <c r="F175" s="929">
        <v>0.81489999999999996</v>
      </c>
      <c r="G175" s="929">
        <v>0.81489999999999996</v>
      </c>
      <c r="H175" s="929">
        <v>0.81489999999999996</v>
      </c>
      <c r="I175" s="929">
        <v>0.6754</v>
      </c>
      <c r="J175" s="929">
        <v>0.6754</v>
      </c>
      <c r="K175" s="929">
        <v>0.6754</v>
      </c>
      <c r="L175" s="929">
        <v>0.6754</v>
      </c>
      <c r="M175" s="929">
        <v>0.6754</v>
      </c>
    </row>
    <row r="176" spans="1:13">
      <c r="A176" s="920">
        <v>9.1</v>
      </c>
      <c r="B176" s="929">
        <v>0.8921</v>
      </c>
      <c r="C176" s="929">
        <v>0.8921</v>
      </c>
      <c r="D176" s="929">
        <v>0.81330000000000002</v>
      </c>
      <c r="E176" s="929">
        <v>0.81330000000000002</v>
      </c>
      <c r="F176" s="929">
        <v>0.81330000000000002</v>
      </c>
      <c r="G176" s="929">
        <v>0.81330000000000002</v>
      </c>
      <c r="H176" s="929">
        <v>0.81330000000000002</v>
      </c>
      <c r="I176" s="929">
        <v>0.6734</v>
      </c>
      <c r="J176" s="929">
        <v>0.6734</v>
      </c>
      <c r="K176" s="929">
        <v>0.6734</v>
      </c>
      <c r="L176" s="929">
        <v>0.6734</v>
      </c>
      <c r="M176" s="929">
        <v>0.6734</v>
      </c>
    </row>
    <row r="177" spans="1:13">
      <c r="A177" s="920">
        <v>9.1999999999999993</v>
      </c>
      <c r="B177" s="929">
        <v>0.89080000000000004</v>
      </c>
      <c r="C177" s="929">
        <v>0.89080000000000004</v>
      </c>
      <c r="D177" s="929">
        <v>0.81169999999999998</v>
      </c>
      <c r="E177" s="929">
        <v>0.81169999999999998</v>
      </c>
      <c r="F177" s="929">
        <v>0.81169999999999998</v>
      </c>
      <c r="G177" s="929">
        <v>0.81169999999999998</v>
      </c>
      <c r="H177" s="929">
        <v>0.81169999999999998</v>
      </c>
      <c r="I177" s="929">
        <v>0.6714</v>
      </c>
      <c r="J177" s="929">
        <v>0.6714</v>
      </c>
      <c r="K177" s="929">
        <v>0.6714</v>
      </c>
      <c r="L177" s="929">
        <v>0.6714</v>
      </c>
      <c r="M177" s="929">
        <v>0.6714</v>
      </c>
    </row>
    <row r="178" spans="1:13">
      <c r="A178" s="920">
        <v>9.3000000000000007</v>
      </c>
      <c r="B178" s="929">
        <v>0.88949999999999996</v>
      </c>
      <c r="C178" s="929">
        <v>0.88949999999999996</v>
      </c>
      <c r="D178" s="929">
        <v>0.81010000000000004</v>
      </c>
      <c r="E178" s="929">
        <v>0.81010000000000004</v>
      </c>
      <c r="F178" s="929">
        <v>0.81010000000000004</v>
      </c>
      <c r="G178" s="929">
        <v>0.81010000000000004</v>
      </c>
      <c r="H178" s="929">
        <v>0.81010000000000004</v>
      </c>
      <c r="I178" s="929">
        <v>0.6694</v>
      </c>
      <c r="J178" s="929">
        <v>0.6694</v>
      </c>
      <c r="K178" s="929">
        <v>0.6694</v>
      </c>
      <c r="L178" s="929">
        <v>0.6694</v>
      </c>
      <c r="M178" s="929">
        <v>0.6694</v>
      </c>
    </row>
    <row r="179" spans="1:13">
      <c r="A179" s="920">
        <v>9.4</v>
      </c>
      <c r="B179" s="929">
        <v>0.88819999999999999</v>
      </c>
      <c r="C179" s="929">
        <v>0.88819999999999999</v>
      </c>
      <c r="D179" s="929">
        <v>0.8085</v>
      </c>
      <c r="E179" s="929">
        <v>0.8085</v>
      </c>
      <c r="F179" s="929">
        <v>0.8085</v>
      </c>
      <c r="G179" s="929">
        <v>0.8085</v>
      </c>
      <c r="H179" s="929">
        <v>0.8085</v>
      </c>
      <c r="I179" s="929">
        <v>0.66739999999999999</v>
      </c>
      <c r="J179" s="929">
        <v>0.66739999999999999</v>
      </c>
      <c r="K179" s="929">
        <v>0.66739999999999999</v>
      </c>
      <c r="L179" s="929">
        <v>0.66739999999999999</v>
      </c>
      <c r="M179" s="929">
        <v>0.66739999999999999</v>
      </c>
    </row>
    <row r="180" spans="1:13">
      <c r="A180" s="920">
        <v>9.5</v>
      </c>
      <c r="B180" s="929">
        <v>0.88700000000000001</v>
      </c>
      <c r="C180" s="929">
        <v>0.88700000000000001</v>
      </c>
      <c r="D180" s="929">
        <v>0.80700000000000005</v>
      </c>
      <c r="E180" s="929">
        <v>0.80700000000000005</v>
      </c>
      <c r="F180" s="929">
        <v>0.80700000000000005</v>
      </c>
      <c r="G180" s="929">
        <v>0.80700000000000005</v>
      </c>
      <c r="H180" s="929">
        <v>0.80700000000000005</v>
      </c>
      <c r="I180" s="929">
        <v>0.66549999999999998</v>
      </c>
      <c r="J180" s="929">
        <v>0.66549999999999998</v>
      </c>
      <c r="K180" s="929">
        <v>0.66549999999999998</v>
      </c>
      <c r="L180" s="929">
        <v>0.66549999999999998</v>
      </c>
      <c r="M180" s="929">
        <v>0.66549999999999998</v>
      </c>
    </row>
    <row r="181" spans="1:13">
      <c r="A181" s="920">
        <v>9.6</v>
      </c>
      <c r="B181" s="929">
        <v>0.88580000000000003</v>
      </c>
      <c r="C181" s="929">
        <v>0.88580000000000003</v>
      </c>
      <c r="D181" s="929">
        <v>0.80549999999999999</v>
      </c>
      <c r="E181" s="929">
        <v>0.80549999999999999</v>
      </c>
      <c r="F181" s="929">
        <v>0.80549999999999999</v>
      </c>
      <c r="G181" s="929">
        <v>0.80549999999999999</v>
      </c>
      <c r="H181" s="929">
        <v>0.80549999999999999</v>
      </c>
      <c r="I181" s="929">
        <v>0.66359999999999997</v>
      </c>
      <c r="J181" s="929">
        <v>0.66359999999999997</v>
      </c>
      <c r="K181" s="929">
        <v>0.66359999999999997</v>
      </c>
      <c r="L181" s="929">
        <v>0.66359999999999997</v>
      </c>
      <c r="M181" s="929">
        <v>0.66359999999999997</v>
      </c>
    </row>
    <row r="182" spans="1:13">
      <c r="A182" s="920">
        <v>9.6999999999999993</v>
      </c>
      <c r="B182" s="929">
        <v>0.88460000000000005</v>
      </c>
      <c r="C182" s="929">
        <v>0.88460000000000005</v>
      </c>
      <c r="D182" s="929">
        <v>0.80400000000000005</v>
      </c>
      <c r="E182" s="929">
        <v>0.80400000000000005</v>
      </c>
      <c r="F182" s="929">
        <v>0.80400000000000005</v>
      </c>
      <c r="G182" s="929">
        <v>0.80400000000000005</v>
      </c>
      <c r="H182" s="929">
        <v>0.80400000000000005</v>
      </c>
      <c r="I182" s="929">
        <v>0.66169999999999995</v>
      </c>
      <c r="J182" s="929">
        <v>0.66169999999999995</v>
      </c>
      <c r="K182" s="929">
        <v>0.66169999999999995</v>
      </c>
      <c r="L182" s="929">
        <v>0.66169999999999995</v>
      </c>
      <c r="M182" s="929">
        <v>0.66169999999999995</v>
      </c>
    </row>
    <row r="183" spans="1:13">
      <c r="A183" s="920">
        <v>9.8000000000000007</v>
      </c>
      <c r="B183" s="929">
        <v>0.88339999999999996</v>
      </c>
      <c r="C183" s="929">
        <v>0.88339999999999996</v>
      </c>
      <c r="D183" s="929">
        <v>0.80249999999999999</v>
      </c>
      <c r="E183" s="929">
        <v>0.80249999999999999</v>
      </c>
      <c r="F183" s="929">
        <v>0.80249999999999999</v>
      </c>
      <c r="G183" s="929">
        <v>0.80249999999999999</v>
      </c>
      <c r="H183" s="929">
        <v>0.80249999999999999</v>
      </c>
      <c r="I183" s="929">
        <v>0.65980000000000005</v>
      </c>
      <c r="J183" s="929">
        <v>0.65980000000000005</v>
      </c>
      <c r="K183" s="929">
        <v>0.65980000000000005</v>
      </c>
      <c r="L183" s="929">
        <v>0.65980000000000005</v>
      </c>
      <c r="M183" s="929">
        <v>0.65980000000000005</v>
      </c>
    </row>
    <row r="184" spans="1:13">
      <c r="A184" s="920">
        <v>9.9</v>
      </c>
      <c r="B184" s="929">
        <v>0.88219999999999998</v>
      </c>
      <c r="C184" s="929">
        <v>0.88219999999999998</v>
      </c>
      <c r="D184" s="929">
        <v>0.80100000000000005</v>
      </c>
      <c r="E184" s="929">
        <v>0.80100000000000005</v>
      </c>
      <c r="F184" s="929">
        <v>0.80100000000000005</v>
      </c>
      <c r="G184" s="929">
        <v>0.80100000000000005</v>
      </c>
      <c r="H184" s="929">
        <v>0.80100000000000005</v>
      </c>
      <c r="I184" s="929">
        <v>0.65790000000000004</v>
      </c>
      <c r="J184" s="929">
        <v>0.65790000000000004</v>
      </c>
      <c r="K184" s="929">
        <v>0.65790000000000004</v>
      </c>
      <c r="L184" s="929">
        <v>0.65790000000000004</v>
      </c>
      <c r="M184" s="929">
        <v>0.65790000000000004</v>
      </c>
    </row>
    <row r="185" spans="1:13" ht="14.25">
      <c r="A185" s="3083" t="s">
        <v>2765</v>
      </c>
      <c r="B185" s="929"/>
      <c r="C185" s="929"/>
      <c r="D185" s="929"/>
      <c r="E185" s="929"/>
      <c r="F185" s="929"/>
      <c r="G185" s="929"/>
      <c r="H185" s="929"/>
      <c r="I185" s="929"/>
      <c r="J185" s="929"/>
      <c r="K185" s="929"/>
      <c r="L185" s="929"/>
      <c r="M185" s="929"/>
    </row>
    <row r="186" spans="1:13">
      <c r="A186" s="920" t="s">
        <v>1548</v>
      </c>
      <c r="B186" s="929" t="s">
        <v>988</v>
      </c>
      <c r="C186" s="929" t="s">
        <v>1029</v>
      </c>
      <c r="D186" s="929" t="s">
        <v>1143</v>
      </c>
      <c r="E186" s="929" t="s">
        <v>851</v>
      </c>
      <c r="F186" s="929" t="s">
        <v>1150</v>
      </c>
      <c r="G186" s="929" t="s">
        <v>1151</v>
      </c>
      <c r="H186" s="929" t="s">
        <v>1152</v>
      </c>
      <c r="I186" s="929" t="s">
        <v>1153</v>
      </c>
      <c r="J186" s="929" t="s">
        <v>1154</v>
      </c>
      <c r="K186" s="929" t="s">
        <v>1155</v>
      </c>
      <c r="L186" s="929" t="s">
        <v>2750</v>
      </c>
      <c r="M186" s="929" t="s">
        <v>2751</v>
      </c>
    </row>
    <row r="187" spans="1:13">
      <c r="A187" s="920">
        <v>1</v>
      </c>
      <c r="B187" s="929">
        <v>1.1901999999999999</v>
      </c>
      <c r="C187" s="929">
        <v>1.1901999999999999</v>
      </c>
      <c r="D187" s="929">
        <v>1.222</v>
      </c>
      <c r="E187" s="929">
        <v>1.222</v>
      </c>
      <c r="F187" s="929">
        <v>1.222</v>
      </c>
      <c r="G187" s="929">
        <v>1.222</v>
      </c>
      <c r="H187" s="929">
        <v>1.222</v>
      </c>
      <c r="I187" s="929">
        <v>1.1054999999999999</v>
      </c>
      <c r="J187" s="929">
        <v>1.1054999999999999</v>
      </c>
      <c r="K187" s="929">
        <v>1.1054999999999999</v>
      </c>
      <c r="L187" s="929">
        <v>1.1054999999999999</v>
      </c>
      <c r="M187" s="929">
        <v>1.1054999999999999</v>
      </c>
    </row>
    <row r="188" spans="1:13">
      <c r="A188" s="920">
        <v>1.1000000000000001</v>
      </c>
      <c r="B188" s="929">
        <v>1.1715</v>
      </c>
      <c r="C188" s="929">
        <v>1.1715</v>
      </c>
      <c r="D188" s="929">
        <v>1.2002999999999999</v>
      </c>
      <c r="E188" s="929">
        <v>1.2002999999999999</v>
      </c>
      <c r="F188" s="929">
        <v>1.2002999999999999</v>
      </c>
      <c r="G188" s="929">
        <v>1.2002999999999999</v>
      </c>
      <c r="H188" s="929">
        <v>1.2002999999999999</v>
      </c>
      <c r="I188" s="929">
        <v>1.0819000000000001</v>
      </c>
      <c r="J188" s="929">
        <v>1.0819000000000001</v>
      </c>
      <c r="K188" s="929">
        <v>1.0819000000000001</v>
      </c>
      <c r="L188" s="929">
        <v>1.0819000000000001</v>
      </c>
      <c r="M188" s="929">
        <v>1.0819000000000001</v>
      </c>
    </row>
    <row r="189" spans="1:13">
      <c r="A189" s="920">
        <v>1.2</v>
      </c>
      <c r="B189" s="929">
        <v>1.1538999999999999</v>
      </c>
      <c r="C189" s="929">
        <v>1.1538999999999999</v>
      </c>
      <c r="D189" s="929">
        <v>1.1798</v>
      </c>
      <c r="E189" s="929">
        <v>1.1798</v>
      </c>
      <c r="F189" s="929">
        <v>1.1798</v>
      </c>
      <c r="G189" s="929">
        <v>1.1798</v>
      </c>
      <c r="H189" s="929">
        <v>1.1798</v>
      </c>
      <c r="I189" s="929">
        <v>1.0597000000000001</v>
      </c>
      <c r="J189" s="929">
        <v>1.0597000000000001</v>
      </c>
      <c r="K189" s="929">
        <v>1.0597000000000001</v>
      </c>
      <c r="L189" s="929">
        <v>1.0597000000000001</v>
      </c>
      <c r="M189" s="929">
        <v>1.0597000000000001</v>
      </c>
    </row>
    <row r="190" spans="1:13">
      <c r="A190" s="920">
        <v>1.3</v>
      </c>
      <c r="B190" s="929">
        <v>1.1372</v>
      </c>
      <c r="C190" s="929">
        <v>1.1372</v>
      </c>
      <c r="D190" s="929">
        <v>1.1605000000000001</v>
      </c>
      <c r="E190" s="929">
        <v>1.1605000000000001</v>
      </c>
      <c r="F190" s="929">
        <v>1.1605000000000001</v>
      </c>
      <c r="G190" s="929">
        <v>1.1605000000000001</v>
      </c>
      <c r="H190" s="929">
        <v>1.1605000000000001</v>
      </c>
      <c r="I190" s="929">
        <v>1.0386</v>
      </c>
      <c r="J190" s="929">
        <v>1.0386</v>
      </c>
      <c r="K190" s="929">
        <v>1.0386</v>
      </c>
      <c r="L190" s="929">
        <v>1.0386</v>
      </c>
      <c r="M190" s="929">
        <v>1.0386</v>
      </c>
    </row>
    <row r="191" spans="1:13">
      <c r="A191" s="920">
        <v>1.4</v>
      </c>
      <c r="B191" s="929">
        <v>1.1215999999999999</v>
      </c>
      <c r="C191" s="929">
        <v>1.1215999999999999</v>
      </c>
      <c r="D191" s="929">
        <v>1.1422000000000001</v>
      </c>
      <c r="E191" s="929">
        <v>1.1422000000000001</v>
      </c>
      <c r="F191" s="929">
        <v>1.1422000000000001</v>
      </c>
      <c r="G191" s="929">
        <v>1.1422000000000001</v>
      </c>
      <c r="H191" s="929">
        <v>1.1422000000000001</v>
      </c>
      <c r="I191" s="929">
        <v>1.0187999999999999</v>
      </c>
      <c r="J191" s="929">
        <v>1.0187999999999999</v>
      </c>
      <c r="K191" s="929">
        <v>1.0187999999999999</v>
      </c>
      <c r="L191" s="929">
        <v>1.0187999999999999</v>
      </c>
      <c r="M191" s="929">
        <v>1.0187999999999999</v>
      </c>
    </row>
    <row r="192" spans="1:13">
      <c r="A192" s="920">
        <v>1.5</v>
      </c>
      <c r="B192" s="929">
        <v>1.1069</v>
      </c>
      <c r="C192" s="929">
        <v>1.1069</v>
      </c>
      <c r="D192" s="929">
        <v>1.125</v>
      </c>
      <c r="E192" s="929">
        <v>1.125</v>
      </c>
      <c r="F192" s="929">
        <v>1.125</v>
      </c>
      <c r="G192" s="929">
        <v>1.125</v>
      </c>
      <c r="H192" s="929">
        <v>1.125</v>
      </c>
      <c r="I192" s="929">
        <v>1</v>
      </c>
      <c r="J192" s="929">
        <v>1</v>
      </c>
      <c r="K192" s="929">
        <v>1</v>
      </c>
      <c r="L192" s="929">
        <v>1</v>
      </c>
      <c r="M192" s="929">
        <v>1</v>
      </c>
    </row>
    <row r="193" spans="1:13">
      <c r="A193" s="920">
        <v>1.6</v>
      </c>
      <c r="B193" s="929">
        <v>1.0929</v>
      </c>
      <c r="C193" s="929">
        <v>1.0929</v>
      </c>
      <c r="D193" s="929">
        <v>1.1087</v>
      </c>
      <c r="E193" s="929">
        <v>1.1087</v>
      </c>
      <c r="F193" s="929">
        <v>1.1087</v>
      </c>
      <c r="G193" s="929">
        <v>1.1087</v>
      </c>
      <c r="H193" s="929">
        <v>1.1087</v>
      </c>
      <c r="I193" s="929">
        <v>0.98229999999999995</v>
      </c>
      <c r="J193" s="929">
        <v>0.98229999999999995</v>
      </c>
      <c r="K193" s="929">
        <v>0.98229999999999995</v>
      </c>
      <c r="L193" s="929">
        <v>0.98229999999999995</v>
      </c>
      <c r="M193" s="929">
        <v>0.98229999999999995</v>
      </c>
    </row>
    <row r="194" spans="1:13">
      <c r="A194" s="936">
        <v>1.7</v>
      </c>
      <c r="B194" s="929">
        <v>1.0798000000000001</v>
      </c>
      <c r="C194" s="929">
        <v>1.0798000000000001</v>
      </c>
      <c r="D194" s="929">
        <v>1.0933999999999999</v>
      </c>
      <c r="E194" s="929">
        <v>1.0933999999999999</v>
      </c>
      <c r="F194" s="929">
        <v>1.0933999999999999</v>
      </c>
      <c r="G194" s="929">
        <v>1.0933999999999999</v>
      </c>
      <c r="H194" s="929">
        <v>1.0933999999999999</v>
      </c>
      <c r="I194" s="929">
        <v>0.96560000000000001</v>
      </c>
      <c r="J194" s="929">
        <v>0.96560000000000001</v>
      </c>
      <c r="K194" s="929">
        <v>0.96560000000000001</v>
      </c>
      <c r="L194" s="929">
        <v>0.96560000000000001</v>
      </c>
      <c r="M194" s="929">
        <v>0.96560000000000001</v>
      </c>
    </row>
    <row r="195" spans="1:13">
      <c r="A195" s="936">
        <v>1.8</v>
      </c>
      <c r="B195" s="929">
        <v>1.0674999999999999</v>
      </c>
      <c r="C195" s="929">
        <v>1.0674999999999999</v>
      </c>
      <c r="D195" s="929">
        <v>1.0790999999999999</v>
      </c>
      <c r="E195" s="929">
        <v>1.0790999999999999</v>
      </c>
      <c r="F195" s="929">
        <v>1.0790999999999999</v>
      </c>
      <c r="G195" s="929">
        <v>1.0790999999999999</v>
      </c>
      <c r="H195" s="929">
        <v>1.0790999999999999</v>
      </c>
      <c r="I195" s="929">
        <v>0.94989999999999997</v>
      </c>
      <c r="J195" s="929">
        <v>0.94989999999999997</v>
      </c>
      <c r="K195" s="929">
        <v>0.94989999999999997</v>
      </c>
      <c r="L195" s="929">
        <v>0.94989999999999997</v>
      </c>
      <c r="M195" s="929">
        <v>0.94989999999999997</v>
      </c>
    </row>
    <row r="196" spans="1:13">
      <c r="A196" s="936">
        <v>1.9</v>
      </c>
      <c r="B196" s="929">
        <v>1.0558000000000001</v>
      </c>
      <c r="C196" s="929">
        <v>1.0558000000000001</v>
      </c>
      <c r="D196" s="929">
        <v>1.0654999999999999</v>
      </c>
      <c r="E196" s="929">
        <v>1.0654999999999999</v>
      </c>
      <c r="F196" s="929">
        <v>1.0654999999999999</v>
      </c>
      <c r="G196" s="929">
        <v>1.0654999999999999</v>
      </c>
      <c r="H196" s="929">
        <v>1.0654999999999999</v>
      </c>
      <c r="I196" s="929">
        <v>0.93520000000000003</v>
      </c>
      <c r="J196" s="929">
        <v>0.93520000000000003</v>
      </c>
      <c r="K196" s="929">
        <v>0.93520000000000003</v>
      </c>
      <c r="L196" s="929">
        <v>0.93520000000000003</v>
      </c>
      <c r="M196" s="929">
        <v>0.93520000000000003</v>
      </c>
    </row>
    <row r="197" spans="1:13">
      <c r="A197" s="936">
        <v>2</v>
      </c>
      <c r="B197" s="929">
        <v>1.0449999999999999</v>
      </c>
      <c r="C197" s="929">
        <v>1.0449999999999999</v>
      </c>
      <c r="D197" s="929">
        <v>1.0528</v>
      </c>
      <c r="E197" s="929">
        <v>1.0528</v>
      </c>
      <c r="F197" s="929">
        <v>1.0528</v>
      </c>
      <c r="G197" s="929">
        <v>1.0528</v>
      </c>
      <c r="H197" s="929">
        <v>1.0528</v>
      </c>
      <c r="I197" s="929">
        <v>0.92130000000000001</v>
      </c>
      <c r="J197" s="929">
        <v>0.92130000000000001</v>
      </c>
      <c r="K197" s="929">
        <v>0.92130000000000001</v>
      </c>
      <c r="L197" s="929">
        <v>0.92130000000000001</v>
      </c>
      <c r="M197" s="929">
        <v>0.92130000000000001</v>
      </c>
    </row>
    <row r="198" spans="1:13">
      <c r="A198" s="936">
        <v>2.1</v>
      </c>
      <c r="B198" s="929">
        <v>1.0347999999999999</v>
      </c>
      <c r="C198" s="929">
        <v>1.0347999999999999</v>
      </c>
      <c r="D198" s="929">
        <v>1.0407999999999999</v>
      </c>
      <c r="E198" s="929">
        <v>1.0407999999999999</v>
      </c>
      <c r="F198" s="929">
        <v>1.0407999999999999</v>
      </c>
      <c r="G198" s="929">
        <v>1.0407999999999999</v>
      </c>
      <c r="H198" s="929">
        <v>1.0407999999999999</v>
      </c>
      <c r="I198" s="929">
        <v>0.90820000000000001</v>
      </c>
      <c r="J198" s="929">
        <v>0.90820000000000001</v>
      </c>
      <c r="K198" s="929">
        <v>0.90820000000000001</v>
      </c>
      <c r="L198" s="929">
        <v>0.90820000000000001</v>
      </c>
      <c r="M198" s="929">
        <v>0.90820000000000001</v>
      </c>
    </row>
    <row r="199" spans="1:13">
      <c r="A199" s="936">
        <v>2.2000000000000002</v>
      </c>
      <c r="B199" s="929">
        <v>1.0251999999999999</v>
      </c>
      <c r="C199" s="929">
        <v>1.0251999999999999</v>
      </c>
      <c r="D199" s="929">
        <v>1.0296000000000001</v>
      </c>
      <c r="E199" s="929">
        <v>1.0296000000000001</v>
      </c>
      <c r="F199" s="929">
        <v>1.0296000000000001</v>
      </c>
      <c r="G199" s="929">
        <v>1.0296000000000001</v>
      </c>
      <c r="H199" s="929">
        <v>1.0296000000000001</v>
      </c>
      <c r="I199" s="929">
        <v>0.89570000000000005</v>
      </c>
      <c r="J199" s="929">
        <v>0.89570000000000005</v>
      </c>
      <c r="K199" s="929">
        <v>0.89570000000000005</v>
      </c>
      <c r="L199" s="929">
        <v>0.89570000000000005</v>
      </c>
      <c r="M199" s="929">
        <v>0.89570000000000005</v>
      </c>
    </row>
    <row r="200" spans="1:13">
      <c r="A200" s="936">
        <v>2.2999999999999998</v>
      </c>
      <c r="B200" s="929">
        <v>1.0162</v>
      </c>
      <c r="C200" s="929">
        <v>1.0162</v>
      </c>
      <c r="D200" s="929">
        <v>1.0190999999999999</v>
      </c>
      <c r="E200" s="929">
        <v>1.0190999999999999</v>
      </c>
      <c r="F200" s="929">
        <v>1.0190999999999999</v>
      </c>
      <c r="G200" s="929">
        <v>1.0190999999999999</v>
      </c>
      <c r="H200" s="929">
        <v>1.0190999999999999</v>
      </c>
      <c r="I200" s="929">
        <v>0.88419999999999999</v>
      </c>
      <c r="J200" s="929">
        <v>0.88419999999999999</v>
      </c>
      <c r="K200" s="929">
        <v>0.88419999999999999</v>
      </c>
      <c r="L200" s="929">
        <v>0.88419999999999999</v>
      </c>
      <c r="M200" s="929">
        <v>0.88419999999999999</v>
      </c>
    </row>
    <row r="201" spans="1:13">
      <c r="A201" s="936">
        <v>2.4</v>
      </c>
      <c r="B201" s="929">
        <v>1.0078</v>
      </c>
      <c r="C201" s="929">
        <v>1.0078</v>
      </c>
      <c r="D201" s="929">
        <v>1.0092000000000001</v>
      </c>
      <c r="E201" s="929">
        <v>1.0092000000000001</v>
      </c>
      <c r="F201" s="929">
        <v>1.0092000000000001</v>
      </c>
      <c r="G201" s="929">
        <v>1.0092000000000001</v>
      </c>
      <c r="H201" s="929">
        <v>1.0092000000000001</v>
      </c>
      <c r="I201" s="929">
        <v>0.87329999999999997</v>
      </c>
      <c r="J201" s="929">
        <v>0.87329999999999997</v>
      </c>
      <c r="K201" s="929">
        <v>0.87329999999999997</v>
      </c>
      <c r="L201" s="929">
        <v>0.87329999999999997</v>
      </c>
      <c r="M201" s="929">
        <v>0.87329999999999997</v>
      </c>
    </row>
    <row r="202" spans="1:13">
      <c r="A202" s="936">
        <v>2.5</v>
      </c>
      <c r="B202" s="929">
        <v>1</v>
      </c>
      <c r="C202" s="929">
        <v>1</v>
      </c>
      <c r="D202" s="929">
        <v>1</v>
      </c>
      <c r="E202" s="929">
        <v>1</v>
      </c>
      <c r="F202" s="929">
        <v>1</v>
      </c>
      <c r="G202" s="929">
        <v>1</v>
      </c>
      <c r="H202" s="929">
        <v>1</v>
      </c>
      <c r="I202" s="929">
        <v>0.86299999999999999</v>
      </c>
      <c r="J202" s="929">
        <v>0.86299999999999999</v>
      </c>
      <c r="K202" s="929">
        <v>0.86299999999999999</v>
      </c>
      <c r="L202" s="929">
        <v>0.86299999999999999</v>
      </c>
      <c r="M202" s="929">
        <v>0.86299999999999999</v>
      </c>
    </row>
    <row r="203" spans="1:13">
      <c r="A203" s="936">
        <v>2.6</v>
      </c>
      <c r="B203" s="929">
        <v>0.99270000000000003</v>
      </c>
      <c r="C203" s="929">
        <v>0.99270000000000003</v>
      </c>
      <c r="D203" s="929">
        <v>0.99139999999999995</v>
      </c>
      <c r="E203" s="929">
        <v>0.99139999999999995</v>
      </c>
      <c r="F203" s="929">
        <v>0.99139999999999995</v>
      </c>
      <c r="G203" s="929">
        <v>0.99139999999999995</v>
      </c>
      <c r="H203" s="929">
        <v>0.99139999999999995</v>
      </c>
      <c r="I203" s="929">
        <v>0.85340000000000005</v>
      </c>
      <c r="J203" s="929">
        <v>0.85340000000000005</v>
      </c>
      <c r="K203" s="929">
        <v>0.85340000000000005</v>
      </c>
      <c r="L203" s="929">
        <v>0.85340000000000005</v>
      </c>
      <c r="M203" s="929">
        <v>0.85340000000000005</v>
      </c>
    </row>
    <row r="204" spans="1:13">
      <c r="A204" s="936">
        <v>2.7</v>
      </c>
      <c r="B204" s="929">
        <v>0.98580000000000001</v>
      </c>
      <c r="C204" s="929">
        <v>0.98580000000000001</v>
      </c>
      <c r="D204" s="929">
        <v>0.98329999999999995</v>
      </c>
      <c r="E204" s="929">
        <v>0.98329999999999995</v>
      </c>
      <c r="F204" s="929">
        <v>0.98329999999999995</v>
      </c>
      <c r="G204" s="929">
        <v>0.98329999999999995</v>
      </c>
      <c r="H204" s="929">
        <v>0.98329999999999995</v>
      </c>
      <c r="I204" s="929">
        <v>0.84440000000000004</v>
      </c>
      <c r="J204" s="929">
        <v>0.84440000000000004</v>
      </c>
      <c r="K204" s="929">
        <v>0.84440000000000004</v>
      </c>
      <c r="L204" s="929">
        <v>0.84440000000000004</v>
      </c>
      <c r="M204" s="929">
        <v>0.84440000000000004</v>
      </c>
    </row>
    <row r="205" spans="1:13">
      <c r="A205" s="936">
        <v>2.8</v>
      </c>
      <c r="B205" s="929">
        <v>0.97940000000000005</v>
      </c>
      <c r="C205" s="929">
        <v>0.97940000000000005</v>
      </c>
      <c r="D205" s="929">
        <v>0.97570000000000001</v>
      </c>
      <c r="E205" s="929">
        <v>0.97570000000000001</v>
      </c>
      <c r="F205" s="929">
        <v>0.97570000000000001</v>
      </c>
      <c r="G205" s="929">
        <v>0.97570000000000001</v>
      </c>
      <c r="H205" s="929">
        <v>0.97570000000000001</v>
      </c>
      <c r="I205" s="929">
        <v>0.83599999999999997</v>
      </c>
      <c r="J205" s="929">
        <v>0.83599999999999997</v>
      </c>
      <c r="K205" s="929">
        <v>0.83599999999999997</v>
      </c>
      <c r="L205" s="929">
        <v>0.83599999999999997</v>
      </c>
      <c r="M205" s="929">
        <v>0.83599999999999997</v>
      </c>
    </row>
    <row r="206" spans="1:13">
      <c r="A206" s="920">
        <v>2.9</v>
      </c>
      <c r="B206" s="921">
        <v>0.97350000000000003</v>
      </c>
      <c r="C206" s="921">
        <v>0.97350000000000003</v>
      </c>
      <c r="D206" s="921">
        <v>0.96870000000000001</v>
      </c>
      <c r="E206" s="921">
        <v>0.96870000000000001</v>
      </c>
      <c r="F206" s="921">
        <v>0.96870000000000001</v>
      </c>
      <c r="G206" s="921">
        <v>0.96870000000000001</v>
      </c>
      <c r="H206" s="922">
        <v>0.96870000000000001</v>
      </c>
      <c r="I206" s="922">
        <v>0.82820000000000005</v>
      </c>
      <c r="J206" s="923">
        <v>0.82820000000000005</v>
      </c>
      <c r="K206" s="923">
        <v>0.82820000000000005</v>
      </c>
      <c r="L206" s="923">
        <v>0.82820000000000005</v>
      </c>
      <c r="M206" s="923">
        <v>0.82820000000000005</v>
      </c>
    </row>
    <row r="207" spans="1:13">
      <c r="A207" s="920">
        <v>3</v>
      </c>
      <c r="B207" s="929">
        <v>0.96789999999999998</v>
      </c>
      <c r="C207" s="929">
        <v>0.96789999999999998</v>
      </c>
      <c r="D207" s="929">
        <v>0.96209999999999996</v>
      </c>
      <c r="E207" s="929">
        <v>0.96209999999999996</v>
      </c>
      <c r="F207" s="929">
        <v>0.96209999999999996</v>
      </c>
      <c r="G207" s="929">
        <v>0.96209999999999996</v>
      </c>
      <c r="H207" s="929">
        <v>0.96209999999999996</v>
      </c>
      <c r="I207" s="929">
        <v>0.82079999999999997</v>
      </c>
      <c r="J207" s="929">
        <v>0.82079999999999997</v>
      </c>
      <c r="K207" s="929">
        <v>0.82079999999999997</v>
      </c>
      <c r="L207" s="929">
        <v>0.82079999999999997</v>
      </c>
      <c r="M207" s="929">
        <v>0.82079999999999997</v>
      </c>
    </row>
    <row r="208" spans="1:13">
      <c r="A208" s="920">
        <v>3.1</v>
      </c>
      <c r="B208" s="929">
        <v>0.9627</v>
      </c>
      <c r="C208" s="929">
        <v>0.9627</v>
      </c>
      <c r="D208" s="929">
        <v>0.95589999999999997</v>
      </c>
      <c r="E208" s="929">
        <v>0.95589999999999997</v>
      </c>
      <c r="F208" s="929">
        <v>0.95589999999999997</v>
      </c>
      <c r="G208" s="929">
        <v>0.95589999999999997</v>
      </c>
      <c r="H208" s="929">
        <v>0.95589999999999997</v>
      </c>
      <c r="I208" s="929">
        <v>0.81389999999999996</v>
      </c>
      <c r="J208" s="929">
        <v>0.81389999999999996</v>
      </c>
      <c r="K208" s="929">
        <v>0.81389999999999996</v>
      </c>
      <c r="L208" s="929">
        <v>0.81389999999999996</v>
      </c>
      <c r="M208" s="929">
        <v>0.81389999999999996</v>
      </c>
    </row>
    <row r="209" spans="1:13">
      <c r="A209" s="920">
        <v>3.2</v>
      </c>
      <c r="B209" s="929">
        <v>0.95789999999999997</v>
      </c>
      <c r="C209" s="929">
        <v>0.95789999999999997</v>
      </c>
      <c r="D209" s="929">
        <v>0.95020000000000004</v>
      </c>
      <c r="E209" s="929">
        <v>0.95020000000000004</v>
      </c>
      <c r="F209" s="929">
        <v>0.95020000000000004</v>
      </c>
      <c r="G209" s="929">
        <v>0.95020000000000004</v>
      </c>
      <c r="H209" s="929">
        <v>0.95020000000000004</v>
      </c>
      <c r="I209" s="929">
        <v>0.8075</v>
      </c>
      <c r="J209" s="929">
        <v>0.8075</v>
      </c>
      <c r="K209" s="929">
        <v>0.8075</v>
      </c>
      <c r="L209" s="929">
        <v>0.8075</v>
      </c>
      <c r="M209" s="929">
        <v>0.8075</v>
      </c>
    </row>
    <row r="210" spans="1:13">
      <c r="A210" s="920">
        <v>3.3</v>
      </c>
      <c r="B210" s="929">
        <v>0.95340000000000003</v>
      </c>
      <c r="C210" s="929">
        <v>0.95340000000000003</v>
      </c>
      <c r="D210" s="929">
        <v>0.94479999999999997</v>
      </c>
      <c r="E210" s="929">
        <v>0.94479999999999997</v>
      </c>
      <c r="F210" s="929">
        <v>0.94479999999999997</v>
      </c>
      <c r="G210" s="929">
        <v>0.94479999999999997</v>
      </c>
      <c r="H210" s="929">
        <v>0.94479999999999997</v>
      </c>
      <c r="I210" s="929">
        <v>0.80149999999999999</v>
      </c>
      <c r="J210" s="929">
        <v>0.80149999999999999</v>
      </c>
      <c r="K210" s="929">
        <v>0.80149999999999999</v>
      </c>
      <c r="L210" s="929">
        <v>0.80149999999999999</v>
      </c>
      <c r="M210" s="929">
        <v>0.80149999999999999</v>
      </c>
    </row>
    <row r="211" spans="1:13">
      <c r="A211" s="920">
        <v>3.4</v>
      </c>
      <c r="B211" s="929">
        <v>0.94920000000000004</v>
      </c>
      <c r="C211" s="929">
        <v>0.94920000000000004</v>
      </c>
      <c r="D211" s="929">
        <v>0.93989999999999996</v>
      </c>
      <c r="E211" s="929">
        <v>0.93989999999999996</v>
      </c>
      <c r="F211" s="929">
        <v>0.93989999999999996</v>
      </c>
      <c r="G211" s="929">
        <v>0.93989999999999996</v>
      </c>
      <c r="H211" s="929">
        <v>0.93989999999999996</v>
      </c>
      <c r="I211" s="929">
        <v>0.79590000000000005</v>
      </c>
      <c r="J211" s="929">
        <v>0.79590000000000005</v>
      </c>
      <c r="K211" s="929">
        <v>0.79590000000000005</v>
      </c>
      <c r="L211" s="929">
        <v>0.79590000000000005</v>
      </c>
      <c r="M211" s="929">
        <v>0.79590000000000005</v>
      </c>
    </row>
    <row r="212" spans="1:13">
      <c r="A212" s="920">
        <v>3.5</v>
      </c>
      <c r="B212" s="929">
        <v>0.94540000000000002</v>
      </c>
      <c r="C212" s="929">
        <v>0.94540000000000002</v>
      </c>
      <c r="D212" s="929">
        <v>0.93520000000000003</v>
      </c>
      <c r="E212" s="929">
        <v>0.93520000000000003</v>
      </c>
      <c r="F212" s="929">
        <v>0.93520000000000003</v>
      </c>
      <c r="G212" s="929">
        <v>0.93520000000000003</v>
      </c>
      <c r="H212" s="929">
        <v>0.93520000000000003</v>
      </c>
      <c r="I212" s="929">
        <v>0.79059999999999997</v>
      </c>
      <c r="J212" s="929">
        <v>0.79059999999999997</v>
      </c>
      <c r="K212" s="929">
        <v>0.79059999999999997</v>
      </c>
      <c r="L212" s="929">
        <v>0.79059999999999997</v>
      </c>
      <c r="M212" s="929">
        <v>0.79059999999999997</v>
      </c>
    </row>
    <row r="213" spans="1:13">
      <c r="A213" s="920">
        <v>3.6</v>
      </c>
      <c r="B213" s="929">
        <v>0.94179999999999997</v>
      </c>
      <c r="C213" s="929">
        <v>0.94179999999999997</v>
      </c>
      <c r="D213" s="929">
        <v>0.93089999999999995</v>
      </c>
      <c r="E213" s="929">
        <v>0.93089999999999995</v>
      </c>
      <c r="F213" s="929">
        <v>0.93089999999999995</v>
      </c>
      <c r="G213" s="929">
        <v>0.93089999999999995</v>
      </c>
      <c r="H213" s="929">
        <v>0.93089999999999995</v>
      </c>
      <c r="I213" s="929">
        <v>0.78569999999999995</v>
      </c>
      <c r="J213" s="929">
        <v>0.78569999999999995</v>
      </c>
      <c r="K213" s="929">
        <v>0.78569999999999995</v>
      </c>
      <c r="L213" s="929">
        <v>0.78569999999999995</v>
      </c>
      <c r="M213" s="929">
        <v>0.78569999999999995</v>
      </c>
    </row>
    <row r="214" spans="1:13">
      <c r="A214" s="920">
        <v>3.7</v>
      </c>
      <c r="B214" s="929">
        <v>0.93840000000000001</v>
      </c>
      <c r="C214" s="929">
        <v>0.93840000000000001</v>
      </c>
      <c r="D214" s="929">
        <v>0.92689999999999995</v>
      </c>
      <c r="E214" s="929">
        <v>0.92689999999999995</v>
      </c>
      <c r="F214" s="929">
        <v>0.92689999999999995</v>
      </c>
      <c r="G214" s="929">
        <v>0.92689999999999995</v>
      </c>
      <c r="H214" s="929">
        <v>0.92689999999999995</v>
      </c>
      <c r="I214" s="929">
        <v>0.78110000000000002</v>
      </c>
      <c r="J214" s="929">
        <v>0.78110000000000002</v>
      </c>
      <c r="K214" s="929">
        <v>0.78110000000000002</v>
      </c>
      <c r="L214" s="929">
        <v>0.78110000000000002</v>
      </c>
      <c r="M214" s="929">
        <v>0.78110000000000002</v>
      </c>
    </row>
    <row r="215" spans="1:13">
      <c r="A215" s="920">
        <v>3.8</v>
      </c>
      <c r="B215" s="929">
        <v>0.93530000000000002</v>
      </c>
      <c r="C215" s="929">
        <v>0.93530000000000002</v>
      </c>
      <c r="D215" s="929">
        <v>0.92310000000000003</v>
      </c>
      <c r="E215" s="929">
        <v>0.92310000000000003</v>
      </c>
      <c r="F215" s="929">
        <v>0.92310000000000003</v>
      </c>
      <c r="G215" s="929">
        <v>0.92310000000000003</v>
      </c>
      <c r="H215" s="929">
        <v>0.92310000000000003</v>
      </c>
      <c r="I215" s="929">
        <v>0.77680000000000005</v>
      </c>
      <c r="J215" s="929">
        <v>0.77680000000000005</v>
      </c>
      <c r="K215" s="929">
        <v>0.77680000000000005</v>
      </c>
      <c r="L215" s="929">
        <v>0.77680000000000005</v>
      </c>
      <c r="M215" s="929">
        <v>0.77680000000000005</v>
      </c>
    </row>
    <row r="216" spans="1:13">
      <c r="A216" s="920">
        <v>3.9</v>
      </c>
      <c r="B216" s="929">
        <v>0.93240000000000001</v>
      </c>
      <c r="C216" s="929">
        <v>0.93240000000000001</v>
      </c>
      <c r="D216" s="929">
        <v>0.91959999999999997</v>
      </c>
      <c r="E216" s="929">
        <v>0.91959999999999997</v>
      </c>
      <c r="F216" s="929">
        <v>0.91959999999999997</v>
      </c>
      <c r="G216" s="929">
        <v>0.91959999999999997</v>
      </c>
      <c r="H216" s="929">
        <v>0.91959999999999997</v>
      </c>
      <c r="I216" s="929">
        <v>0.77270000000000005</v>
      </c>
      <c r="J216" s="929">
        <v>0.77270000000000005</v>
      </c>
      <c r="K216" s="929">
        <v>0.77270000000000005</v>
      </c>
      <c r="L216" s="929">
        <v>0.77270000000000005</v>
      </c>
      <c r="M216" s="929">
        <v>0.77270000000000005</v>
      </c>
    </row>
    <row r="217" spans="1:13">
      <c r="A217" s="920">
        <v>4</v>
      </c>
      <c r="B217" s="929">
        <v>0.92969999999999997</v>
      </c>
      <c r="C217" s="929">
        <v>0.92969999999999997</v>
      </c>
      <c r="D217" s="929">
        <v>0.9163</v>
      </c>
      <c r="E217" s="929">
        <v>0.9163</v>
      </c>
      <c r="F217" s="929">
        <v>0.9163</v>
      </c>
      <c r="G217" s="929">
        <v>0.9163</v>
      </c>
      <c r="H217" s="929">
        <v>0.9163</v>
      </c>
      <c r="I217" s="929">
        <v>0.76880000000000004</v>
      </c>
      <c r="J217" s="929">
        <v>0.76880000000000004</v>
      </c>
      <c r="K217" s="929">
        <v>0.76880000000000004</v>
      </c>
      <c r="L217" s="929">
        <v>0.76880000000000004</v>
      </c>
      <c r="M217" s="929">
        <v>0.76880000000000004</v>
      </c>
    </row>
    <row r="218" spans="1:13">
      <c r="A218" s="920">
        <v>4.0999999999999996</v>
      </c>
      <c r="B218" s="929">
        <v>0.92720000000000002</v>
      </c>
      <c r="C218" s="929">
        <v>0.92720000000000002</v>
      </c>
      <c r="D218" s="929">
        <v>0.91320000000000001</v>
      </c>
      <c r="E218" s="929">
        <v>0.91320000000000001</v>
      </c>
      <c r="F218" s="929">
        <v>0.91320000000000001</v>
      </c>
      <c r="G218" s="929">
        <v>0.91320000000000001</v>
      </c>
      <c r="H218" s="929">
        <v>0.91320000000000001</v>
      </c>
      <c r="I218" s="929">
        <v>0.7651</v>
      </c>
      <c r="J218" s="929">
        <v>0.7651</v>
      </c>
      <c r="K218" s="929">
        <v>0.7651</v>
      </c>
      <c r="L218" s="929">
        <v>0.7651</v>
      </c>
      <c r="M218" s="929">
        <v>0.7651</v>
      </c>
    </row>
    <row r="219" spans="1:13">
      <c r="A219" s="920">
        <v>4.2</v>
      </c>
      <c r="B219" s="929">
        <v>0.92479999999999996</v>
      </c>
      <c r="C219" s="929">
        <v>0.92479999999999996</v>
      </c>
      <c r="D219" s="929">
        <v>0.91020000000000001</v>
      </c>
      <c r="E219" s="929">
        <v>0.91020000000000001</v>
      </c>
      <c r="F219" s="929">
        <v>0.91020000000000001</v>
      </c>
      <c r="G219" s="929">
        <v>0.91020000000000001</v>
      </c>
      <c r="H219" s="929">
        <v>0.91020000000000001</v>
      </c>
      <c r="I219" s="929">
        <v>0.76149999999999995</v>
      </c>
      <c r="J219" s="929">
        <v>0.76149999999999995</v>
      </c>
      <c r="K219" s="929">
        <v>0.76149999999999995</v>
      </c>
      <c r="L219" s="929">
        <v>0.76149999999999995</v>
      </c>
      <c r="M219" s="929">
        <v>0.76149999999999995</v>
      </c>
    </row>
    <row r="220" spans="1:13">
      <c r="A220" s="920">
        <v>4.3</v>
      </c>
      <c r="B220" s="929">
        <v>0.92249999999999999</v>
      </c>
      <c r="C220" s="929">
        <v>0.92249999999999999</v>
      </c>
      <c r="D220" s="929">
        <v>0.9073</v>
      </c>
      <c r="E220" s="929">
        <v>0.9073</v>
      </c>
      <c r="F220" s="929">
        <v>0.9073</v>
      </c>
      <c r="G220" s="929">
        <v>0.9073</v>
      </c>
      <c r="H220" s="929">
        <v>0.9073</v>
      </c>
      <c r="I220" s="929">
        <v>0.75800000000000001</v>
      </c>
      <c r="J220" s="929">
        <v>0.75800000000000001</v>
      </c>
      <c r="K220" s="929">
        <v>0.75800000000000001</v>
      </c>
      <c r="L220" s="929">
        <v>0.75800000000000001</v>
      </c>
      <c r="M220" s="929">
        <v>0.75800000000000001</v>
      </c>
    </row>
    <row r="221" spans="1:13">
      <c r="A221" s="920">
        <v>4.4000000000000004</v>
      </c>
      <c r="B221" s="929">
        <v>0.92030000000000001</v>
      </c>
      <c r="C221" s="929">
        <v>0.92030000000000001</v>
      </c>
      <c r="D221" s="929">
        <v>0.90449999999999997</v>
      </c>
      <c r="E221" s="929">
        <v>0.90449999999999997</v>
      </c>
      <c r="F221" s="929">
        <v>0.90449999999999997</v>
      </c>
      <c r="G221" s="929">
        <v>0.90449999999999997</v>
      </c>
      <c r="H221" s="929">
        <v>0.90449999999999997</v>
      </c>
      <c r="I221" s="929">
        <v>0.75460000000000005</v>
      </c>
      <c r="J221" s="929">
        <v>0.75460000000000005</v>
      </c>
      <c r="K221" s="929">
        <v>0.75460000000000005</v>
      </c>
      <c r="L221" s="929">
        <v>0.75460000000000005</v>
      </c>
      <c r="M221" s="929">
        <v>0.75460000000000005</v>
      </c>
    </row>
    <row r="222" spans="1:13">
      <c r="A222" s="920">
        <v>4.5</v>
      </c>
      <c r="B222" s="929">
        <v>0.91810000000000003</v>
      </c>
      <c r="C222" s="929">
        <v>0.91810000000000003</v>
      </c>
      <c r="D222" s="929">
        <v>0.90180000000000005</v>
      </c>
      <c r="E222" s="929">
        <v>0.90180000000000005</v>
      </c>
      <c r="F222" s="929">
        <v>0.90180000000000005</v>
      </c>
      <c r="G222" s="929">
        <v>0.90180000000000005</v>
      </c>
      <c r="H222" s="929">
        <v>0.90180000000000005</v>
      </c>
      <c r="I222" s="929">
        <v>0.75129999999999997</v>
      </c>
      <c r="J222" s="929">
        <v>0.75129999999999997</v>
      </c>
      <c r="K222" s="929">
        <v>0.75129999999999997</v>
      </c>
      <c r="L222" s="929">
        <v>0.75129999999999997</v>
      </c>
      <c r="M222" s="929">
        <v>0.75129999999999997</v>
      </c>
    </row>
    <row r="223" spans="1:13">
      <c r="A223" s="920">
        <v>4.5999999999999996</v>
      </c>
      <c r="B223" s="929">
        <v>0.91600000000000004</v>
      </c>
      <c r="C223" s="929">
        <v>0.91600000000000004</v>
      </c>
      <c r="D223" s="929">
        <v>0.8992</v>
      </c>
      <c r="E223" s="929">
        <v>0.8992</v>
      </c>
      <c r="F223" s="929">
        <v>0.8992</v>
      </c>
      <c r="G223" s="929">
        <v>0.8992</v>
      </c>
      <c r="H223" s="929">
        <v>0.8992</v>
      </c>
      <c r="I223" s="929">
        <v>0.748</v>
      </c>
      <c r="J223" s="929">
        <v>0.748</v>
      </c>
      <c r="K223" s="929">
        <v>0.748</v>
      </c>
      <c r="L223" s="929">
        <v>0.748</v>
      </c>
      <c r="M223" s="929">
        <v>0.748</v>
      </c>
    </row>
    <row r="224" spans="1:13">
      <c r="A224" s="920">
        <v>4.7</v>
      </c>
      <c r="B224" s="929">
        <v>0.91390000000000005</v>
      </c>
      <c r="C224" s="929">
        <v>0.91390000000000005</v>
      </c>
      <c r="D224" s="929">
        <v>0.89659999999999995</v>
      </c>
      <c r="E224" s="929">
        <v>0.89659999999999995</v>
      </c>
      <c r="F224" s="929">
        <v>0.89659999999999995</v>
      </c>
      <c r="G224" s="929">
        <v>0.89659999999999995</v>
      </c>
      <c r="H224" s="929">
        <v>0.89659999999999995</v>
      </c>
      <c r="I224" s="929">
        <v>0.74480000000000002</v>
      </c>
      <c r="J224" s="929">
        <v>0.74480000000000002</v>
      </c>
      <c r="K224" s="929">
        <v>0.74480000000000002</v>
      </c>
      <c r="L224" s="929">
        <v>0.74480000000000002</v>
      </c>
      <c r="M224" s="929">
        <v>0.74480000000000002</v>
      </c>
    </row>
    <row r="225" spans="1:13">
      <c r="A225" s="920">
        <v>4.8</v>
      </c>
      <c r="B225" s="929">
        <v>0.91180000000000005</v>
      </c>
      <c r="C225" s="929">
        <v>0.91180000000000005</v>
      </c>
      <c r="D225" s="929">
        <v>0.89410000000000001</v>
      </c>
      <c r="E225" s="929">
        <v>0.89410000000000001</v>
      </c>
      <c r="F225" s="929">
        <v>0.89410000000000001</v>
      </c>
      <c r="G225" s="929">
        <v>0.89410000000000001</v>
      </c>
      <c r="H225" s="929">
        <v>0.89410000000000001</v>
      </c>
      <c r="I225" s="929">
        <v>0.74160000000000004</v>
      </c>
      <c r="J225" s="929">
        <v>0.74160000000000004</v>
      </c>
      <c r="K225" s="929">
        <v>0.74160000000000004</v>
      </c>
      <c r="L225" s="929">
        <v>0.74160000000000004</v>
      </c>
      <c r="M225" s="929">
        <v>0.74160000000000004</v>
      </c>
    </row>
    <row r="226" spans="1:13">
      <c r="A226" s="920">
        <v>4.9000000000000004</v>
      </c>
      <c r="B226" s="929">
        <v>0.90980000000000005</v>
      </c>
      <c r="C226" s="929">
        <v>0.90980000000000005</v>
      </c>
      <c r="D226" s="929">
        <v>0.89159999999999995</v>
      </c>
      <c r="E226" s="929">
        <v>0.89159999999999995</v>
      </c>
      <c r="F226" s="929">
        <v>0.89159999999999995</v>
      </c>
      <c r="G226" s="929">
        <v>0.89159999999999995</v>
      </c>
      <c r="H226" s="929">
        <v>0.89159999999999995</v>
      </c>
      <c r="I226" s="929">
        <v>0.73839999999999995</v>
      </c>
      <c r="J226" s="929">
        <v>0.73839999999999995</v>
      </c>
      <c r="K226" s="929">
        <v>0.73839999999999995</v>
      </c>
      <c r="L226" s="929">
        <v>0.73839999999999995</v>
      </c>
      <c r="M226" s="929">
        <v>0.73839999999999995</v>
      </c>
    </row>
    <row r="227" spans="1:13">
      <c r="A227" s="936">
        <v>5</v>
      </c>
      <c r="B227" s="929">
        <v>0.90780000000000005</v>
      </c>
      <c r="C227" s="929">
        <v>0.90780000000000005</v>
      </c>
      <c r="D227" s="929">
        <v>0.8891</v>
      </c>
      <c r="E227" s="929">
        <v>0.8891</v>
      </c>
      <c r="F227" s="929">
        <v>0.8891</v>
      </c>
      <c r="G227" s="929">
        <v>0.8891</v>
      </c>
      <c r="H227" s="929">
        <v>0.8891</v>
      </c>
      <c r="I227" s="929">
        <v>0.73529999999999995</v>
      </c>
      <c r="J227" s="929">
        <v>0.73529999999999995</v>
      </c>
      <c r="K227" s="929">
        <v>0.73529999999999995</v>
      </c>
      <c r="L227" s="929">
        <v>0.73529999999999995</v>
      </c>
      <c r="M227" s="929">
        <v>0.73529999999999995</v>
      </c>
    </row>
    <row r="228" spans="1:13">
      <c r="A228" s="936">
        <v>5.0999999999999996</v>
      </c>
      <c r="B228" s="929">
        <v>0.90580000000000005</v>
      </c>
      <c r="C228" s="929">
        <v>0.90580000000000005</v>
      </c>
      <c r="D228" s="929">
        <v>0.88670000000000004</v>
      </c>
      <c r="E228" s="929">
        <v>0.88670000000000004</v>
      </c>
      <c r="F228" s="929">
        <v>0.88670000000000004</v>
      </c>
      <c r="G228" s="929">
        <v>0.88670000000000004</v>
      </c>
      <c r="H228" s="929">
        <v>0.88670000000000004</v>
      </c>
      <c r="I228" s="929">
        <v>0.73219999999999996</v>
      </c>
      <c r="J228" s="929">
        <v>0.73219999999999996</v>
      </c>
      <c r="K228" s="929">
        <v>0.73219999999999996</v>
      </c>
      <c r="L228" s="929">
        <v>0.73219999999999996</v>
      </c>
      <c r="M228" s="929">
        <v>0.73219999999999996</v>
      </c>
    </row>
    <row r="229" spans="1:13">
      <c r="A229" s="936">
        <v>5.2</v>
      </c>
      <c r="B229" s="929">
        <v>0.90380000000000005</v>
      </c>
      <c r="C229" s="929">
        <v>0.90380000000000005</v>
      </c>
      <c r="D229" s="929">
        <v>0.88429999999999997</v>
      </c>
      <c r="E229" s="929">
        <v>0.88429999999999997</v>
      </c>
      <c r="F229" s="929">
        <v>0.88429999999999997</v>
      </c>
      <c r="G229" s="929">
        <v>0.88429999999999997</v>
      </c>
      <c r="H229" s="929">
        <v>0.88429999999999997</v>
      </c>
      <c r="I229" s="929">
        <v>0.72909999999999997</v>
      </c>
      <c r="J229" s="929">
        <v>0.72909999999999997</v>
      </c>
      <c r="K229" s="929">
        <v>0.72909999999999997</v>
      </c>
      <c r="L229" s="929">
        <v>0.72909999999999997</v>
      </c>
      <c r="M229" s="929">
        <v>0.72909999999999997</v>
      </c>
    </row>
    <row r="230" spans="1:13">
      <c r="A230" s="936">
        <v>5.3</v>
      </c>
      <c r="B230" s="929">
        <v>0.90190000000000003</v>
      </c>
      <c r="C230" s="929">
        <v>0.90190000000000003</v>
      </c>
      <c r="D230" s="929">
        <v>0.88190000000000002</v>
      </c>
      <c r="E230" s="929">
        <v>0.88190000000000002</v>
      </c>
      <c r="F230" s="929">
        <v>0.88190000000000002</v>
      </c>
      <c r="G230" s="929">
        <v>0.88190000000000002</v>
      </c>
      <c r="H230" s="929">
        <v>0.88190000000000002</v>
      </c>
      <c r="I230" s="929">
        <v>0.72609999999999997</v>
      </c>
      <c r="J230" s="929">
        <v>0.72609999999999997</v>
      </c>
      <c r="K230" s="929">
        <v>0.72609999999999997</v>
      </c>
      <c r="L230" s="929">
        <v>0.72609999999999997</v>
      </c>
      <c r="M230" s="929">
        <v>0.72609999999999997</v>
      </c>
    </row>
    <row r="231" spans="1:13">
      <c r="A231" s="936">
        <v>5.4</v>
      </c>
      <c r="B231" s="929">
        <v>0.9</v>
      </c>
      <c r="C231" s="929">
        <v>0.9</v>
      </c>
      <c r="D231" s="929">
        <v>0.87949999999999995</v>
      </c>
      <c r="E231" s="929">
        <v>0.87949999999999995</v>
      </c>
      <c r="F231" s="929">
        <v>0.87949999999999995</v>
      </c>
      <c r="G231" s="929">
        <v>0.87949999999999995</v>
      </c>
      <c r="H231" s="929">
        <v>0.87949999999999995</v>
      </c>
      <c r="I231" s="929">
        <v>0.72309999999999997</v>
      </c>
      <c r="J231" s="929">
        <v>0.72309999999999997</v>
      </c>
      <c r="K231" s="929">
        <v>0.72309999999999997</v>
      </c>
      <c r="L231" s="929">
        <v>0.72309999999999997</v>
      </c>
      <c r="M231" s="929">
        <v>0.72309999999999997</v>
      </c>
    </row>
    <row r="232" spans="1:13">
      <c r="A232" s="936">
        <v>5.5</v>
      </c>
      <c r="B232" s="929">
        <v>0.89810000000000001</v>
      </c>
      <c r="C232" s="929">
        <v>0.89810000000000001</v>
      </c>
      <c r="D232" s="929">
        <v>0.87719999999999998</v>
      </c>
      <c r="E232" s="929">
        <v>0.87719999999999998</v>
      </c>
      <c r="F232" s="929">
        <v>0.87719999999999998</v>
      </c>
      <c r="G232" s="929">
        <v>0.87719999999999998</v>
      </c>
      <c r="H232" s="929">
        <v>0.87719999999999998</v>
      </c>
      <c r="I232" s="929">
        <v>0.72009999999999996</v>
      </c>
      <c r="J232" s="929">
        <v>0.72009999999999996</v>
      </c>
      <c r="K232" s="929">
        <v>0.72009999999999996</v>
      </c>
      <c r="L232" s="929">
        <v>0.72009999999999996</v>
      </c>
      <c r="M232" s="929">
        <v>0.72009999999999996</v>
      </c>
    </row>
    <row r="233" spans="1:13">
      <c r="A233" s="936">
        <v>5.6</v>
      </c>
      <c r="B233" s="929">
        <v>0.8962</v>
      </c>
      <c r="C233" s="929">
        <v>0.8962</v>
      </c>
      <c r="D233" s="929">
        <v>0.87490000000000001</v>
      </c>
      <c r="E233" s="929">
        <v>0.87490000000000001</v>
      </c>
      <c r="F233" s="929">
        <v>0.87490000000000001</v>
      </c>
      <c r="G233" s="929">
        <v>0.87490000000000001</v>
      </c>
      <c r="H233" s="929">
        <v>0.87490000000000001</v>
      </c>
      <c r="I233" s="929">
        <v>0.71709999999999996</v>
      </c>
      <c r="J233" s="929">
        <v>0.71709999999999996</v>
      </c>
      <c r="K233" s="929">
        <v>0.71709999999999996</v>
      </c>
      <c r="L233" s="929">
        <v>0.71709999999999996</v>
      </c>
      <c r="M233" s="929">
        <v>0.71709999999999996</v>
      </c>
    </row>
    <row r="234" spans="1:13">
      <c r="A234" s="936">
        <v>5.7</v>
      </c>
      <c r="B234" s="929">
        <v>0.89429999999999998</v>
      </c>
      <c r="C234" s="929">
        <v>0.89429999999999998</v>
      </c>
      <c r="D234" s="929">
        <v>0.87260000000000004</v>
      </c>
      <c r="E234" s="929">
        <v>0.87260000000000004</v>
      </c>
      <c r="F234" s="929">
        <v>0.87260000000000004</v>
      </c>
      <c r="G234" s="929">
        <v>0.87260000000000004</v>
      </c>
      <c r="H234" s="929">
        <v>0.87260000000000004</v>
      </c>
      <c r="I234" s="929">
        <v>0.71419999999999995</v>
      </c>
      <c r="J234" s="929">
        <v>0.71419999999999995</v>
      </c>
      <c r="K234" s="929">
        <v>0.71419999999999995</v>
      </c>
      <c r="L234" s="929">
        <v>0.71419999999999995</v>
      </c>
      <c r="M234" s="929">
        <v>0.71419999999999995</v>
      </c>
    </row>
    <row r="235" spans="1:13">
      <c r="A235" s="936">
        <v>5.8</v>
      </c>
      <c r="B235" s="929">
        <v>0.89249999999999996</v>
      </c>
      <c r="C235" s="929">
        <v>0.89249999999999996</v>
      </c>
      <c r="D235" s="929">
        <v>0.87029999999999996</v>
      </c>
      <c r="E235" s="929">
        <v>0.87029999999999996</v>
      </c>
      <c r="F235" s="929">
        <v>0.87029999999999996</v>
      </c>
      <c r="G235" s="929">
        <v>0.87029999999999996</v>
      </c>
      <c r="H235" s="929">
        <v>0.87029999999999996</v>
      </c>
      <c r="I235" s="929">
        <v>0.71130000000000004</v>
      </c>
      <c r="J235" s="929">
        <v>0.71130000000000004</v>
      </c>
      <c r="K235" s="929">
        <v>0.71130000000000004</v>
      </c>
      <c r="L235" s="929">
        <v>0.71130000000000004</v>
      </c>
      <c r="M235" s="929">
        <v>0.71130000000000004</v>
      </c>
    </row>
    <row r="236" spans="1:13">
      <c r="A236" s="936">
        <v>5.9</v>
      </c>
      <c r="B236" s="929">
        <v>0.89070000000000005</v>
      </c>
      <c r="C236" s="929">
        <v>0.89070000000000005</v>
      </c>
      <c r="D236" s="929">
        <v>0.86799999999999999</v>
      </c>
      <c r="E236" s="929">
        <v>0.86799999999999999</v>
      </c>
      <c r="F236" s="929">
        <v>0.86799999999999999</v>
      </c>
      <c r="G236" s="929">
        <v>0.86799999999999999</v>
      </c>
      <c r="H236" s="929">
        <v>0.86799999999999999</v>
      </c>
      <c r="I236" s="929">
        <v>0.70840000000000003</v>
      </c>
      <c r="J236" s="929">
        <v>0.70840000000000003</v>
      </c>
      <c r="K236" s="929">
        <v>0.70840000000000003</v>
      </c>
      <c r="L236" s="929">
        <v>0.70840000000000003</v>
      </c>
      <c r="M236" s="929">
        <v>0.70840000000000003</v>
      </c>
    </row>
    <row r="237" spans="1:13">
      <c r="A237" s="936">
        <v>6</v>
      </c>
      <c r="B237" s="929">
        <v>0.88890000000000002</v>
      </c>
      <c r="C237" s="929">
        <v>0.88890000000000002</v>
      </c>
      <c r="D237" s="929">
        <v>0.86580000000000001</v>
      </c>
      <c r="E237" s="929">
        <v>0.86580000000000001</v>
      </c>
      <c r="F237" s="929">
        <v>0.86580000000000001</v>
      </c>
      <c r="G237" s="929">
        <v>0.86580000000000001</v>
      </c>
      <c r="H237" s="929">
        <v>0.86580000000000001</v>
      </c>
      <c r="I237" s="929">
        <v>0.70550000000000002</v>
      </c>
      <c r="J237" s="929">
        <v>0.70550000000000002</v>
      </c>
      <c r="K237" s="929">
        <v>0.70550000000000002</v>
      </c>
      <c r="L237" s="929">
        <v>0.70550000000000002</v>
      </c>
      <c r="M237" s="929">
        <v>0.70550000000000002</v>
      </c>
    </row>
    <row r="238" spans="1:13">
      <c r="A238" s="936">
        <v>6.1</v>
      </c>
      <c r="B238" s="929">
        <v>0.8871</v>
      </c>
      <c r="C238" s="929">
        <v>0.8871</v>
      </c>
      <c r="D238" s="929">
        <v>0.86360000000000003</v>
      </c>
      <c r="E238" s="929">
        <v>0.86360000000000003</v>
      </c>
      <c r="F238" s="929">
        <v>0.86360000000000003</v>
      </c>
      <c r="G238" s="929">
        <v>0.86360000000000003</v>
      </c>
      <c r="H238" s="929">
        <v>0.86360000000000003</v>
      </c>
      <c r="I238" s="929">
        <v>0.70269999999999999</v>
      </c>
      <c r="J238" s="929">
        <v>0.70269999999999999</v>
      </c>
      <c r="K238" s="929">
        <v>0.70269999999999999</v>
      </c>
      <c r="L238" s="929">
        <v>0.70269999999999999</v>
      </c>
      <c r="M238" s="929">
        <v>0.70269999999999999</v>
      </c>
    </row>
    <row r="239" spans="1:13">
      <c r="A239" s="936">
        <v>6.2</v>
      </c>
      <c r="B239" s="929">
        <v>0.88529999999999998</v>
      </c>
      <c r="C239" s="929">
        <v>0.88529999999999998</v>
      </c>
      <c r="D239" s="929">
        <v>0.86140000000000005</v>
      </c>
      <c r="E239" s="929">
        <v>0.86140000000000005</v>
      </c>
      <c r="F239" s="929">
        <v>0.86140000000000005</v>
      </c>
      <c r="G239" s="929">
        <v>0.86140000000000005</v>
      </c>
      <c r="H239" s="929">
        <v>0.86140000000000005</v>
      </c>
      <c r="I239" s="929">
        <v>0.69989999999999997</v>
      </c>
      <c r="J239" s="929">
        <v>0.69989999999999997</v>
      </c>
      <c r="K239" s="929">
        <v>0.69989999999999997</v>
      </c>
      <c r="L239" s="929">
        <v>0.69989999999999997</v>
      </c>
      <c r="M239" s="929">
        <v>0.69989999999999997</v>
      </c>
    </row>
    <row r="240" spans="1:13">
      <c r="A240" s="936">
        <v>6.3</v>
      </c>
      <c r="B240" s="929">
        <v>0.88349999999999995</v>
      </c>
      <c r="C240" s="929">
        <v>0.88349999999999995</v>
      </c>
      <c r="D240" s="929">
        <v>0.85919999999999996</v>
      </c>
      <c r="E240" s="929">
        <v>0.85919999999999996</v>
      </c>
      <c r="F240" s="929">
        <v>0.85919999999999996</v>
      </c>
      <c r="G240" s="929">
        <v>0.85919999999999996</v>
      </c>
      <c r="H240" s="929">
        <v>0.85919999999999996</v>
      </c>
      <c r="I240" s="929">
        <v>0.69710000000000005</v>
      </c>
      <c r="J240" s="929">
        <v>0.69710000000000005</v>
      </c>
      <c r="K240" s="929">
        <v>0.69710000000000005</v>
      </c>
      <c r="L240" s="929">
        <v>0.69710000000000005</v>
      </c>
      <c r="M240" s="929">
        <v>0.69710000000000005</v>
      </c>
    </row>
    <row r="241" spans="1:13">
      <c r="A241" s="936">
        <v>6.4</v>
      </c>
      <c r="B241" s="929">
        <v>0.88180000000000003</v>
      </c>
      <c r="C241" s="929">
        <v>0.88180000000000003</v>
      </c>
      <c r="D241" s="929">
        <v>0.85699999999999998</v>
      </c>
      <c r="E241" s="929">
        <v>0.85699999999999998</v>
      </c>
      <c r="F241" s="929">
        <v>0.85699999999999998</v>
      </c>
      <c r="G241" s="929">
        <v>0.85699999999999998</v>
      </c>
      <c r="H241" s="929">
        <v>0.85699999999999998</v>
      </c>
      <c r="I241" s="929">
        <v>0.69430000000000003</v>
      </c>
      <c r="J241" s="929">
        <v>0.69430000000000003</v>
      </c>
      <c r="K241" s="929">
        <v>0.69430000000000003</v>
      </c>
      <c r="L241" s="929">
        <v>0.69430000000000003</v>
      </c>
      <c r="M241" s="929">
        <v>0.69430000000000003</v>
      </c>
    </row>
    <row r="242" spans="1:13">
      <c r="A242" s="936">
        <v>6.5</v>
      </c>
      <c r="B242" s="929">
        <v>0.88009999999999999</v>
      </c>
      <c r="C242" s="929">
        <v>0.88009999999999999</v>
      </c>
      <c r="D242" s="929">
        <v>0.85489999999999999</v>
      </c>
      <c r="E242" s="929">
        <v>0.85489999999999999</v>
      </c>
      <c r="F242" s="929">
        <v>0.85489999999999999</v>
      </c>
      <c r="G242" s="929">
        <v>0.85489999999999999</v>
      </c>
      <c r="H242" s="929">
        <v>0.85489999999999999</v>
      </c>
      <c r="I242" s="929">
        <v>0.69159999999999999</v>
      </c>
      <c r="J242" s="929">
        <v>0.69159999999999999</v>
      </c>
      <c r="K242" s="929">
        <v>0.69159999999999999</v>
      </c>
      <c r="L242" s="929">
        <v>0.69159999999999999</v>
      </c>
      <c r="M242" s="929">
        <v>0.69159999999999999</v>
      </c>
    </row>
    <row r="243" spans="1:13">
      <c r="A243" s="936">
        <v>6.6</v>
      </c>
      <c r="B243" s="929">
        <v>0.87839999999999996</v>
      </c>
      <c r="C243" s="929">
        <v>0.87839999999999996</v>
      </c>
      <c r="D243" s="929">
        <v>0.8528</v>
      </c>
      <c r="E243" s="929">
        <v>0.8528</v>
      </c>
      <c r="F243" s="929">
        <v>0.8528</v>
      </c>
      <c r="G243" s="929">
        <v>0.8528</v>
      </c>
      <c r="H243" s="929">
        <v>0.8528</v>
      </c>
      <c r="I243" s="929">
        <v>0.68889999999999996</v>
      </c>
      <c r="J243" s="929">
        <v>0.68889999999999996</v>
      </c>
      <c r="K243" s="929">
        <v>0.68889999999999996</v>
      </c>
      <c r="L243" s="929">
        <v>0.68889999999999996</v>
      </c>
      <c r="M243" s="929">
        <v>0.68889999999999996</v>
      </c>
    </row>
    <row r="244" spans="1:13">
      <c r="A244" s="936">
        <v>6.7</v>
      </c>
      <c r="B244" s="929">
        <v>0.87670000000000003</v>
      </c>
      <c r="C244" s="929">
        <v>0.87670000000000003</v>
      </c>
      <c r="D244" s="929">
        <v>0.85070000000000001</v>
      </c>
      <c r="E244" s="929">
        <v>0.85070000000000001</v>
      </c>
      <c r="F244" s="929">
        <v>0.85070000000000001</v>
      </c>
      <c r="G244" s="929">
        <v>0.85070000000000001</v>
      </c>
      <c r="H244" s="929">
        <v>0.85070000000000001</v>
      </c>
      <c r="I244" s="929">
        <v>0.68620000000000003</v>
      </c>
      <c r="J244" s="929">
        <v>0.68620000000000003</v>
      </c>
      <c r="K244" s="929">
        <v>0.68620000000000003</v>
      </c>
      <c r="L244" s="929">
        <v>0.68620000000000003</v>
      </c>
      <c r="M244" s="929">
        <v>0.68620000000000003</v>
      </c>
    </row>
    <row r="245" spans="1:13">
      <c r="A245" s="936">
        <v>6.8</v>
      </c>
      <c r="B245" s="929">
        <v>0.875</v>
      </c>
      <c r="C245" s="929">
        <v>0.875</v>
      </c>
      <c r="D245" s="929">
        <v>0.84860000000000002</v>
      </c>
      <c r="E245" s="929">
        <v>0.84860000000000002</v>
      </c>
      <c r="F245" s="929">
        <v>0.84860000000000002</v>
      </c>
      <c r="G245" s="929">
        <v>0.84860000000000002</v>
      </c>
      <c r="H245" s="929">
        <v>0.84860000000000002</v>
      </c>
      <c r="I245" s="929">
        <v>0.6835</v>
      </c>
      <c r="J245" s="929">
        <v>0.6835</v>
      </c>
      <c r="K245" s="929">
        <v>0.6835</v>
      </c>
      <c r="L245" s="929">
        <v>0.6835</v>
      </c>
      <c r="M245" s="929">
        <v>0.6835</v>
      </c>
    </row>
    <row r="246" spans="1:13">
      <c r="A246" s="936">
        <v>6.9</v>
      </c>
      <c r="B246" s="929">
        <v>0.87329999999999997</v>
      </c>
      <c r="C246" s="929">
        <v>0.87329999999999997</v>
      </c>
      <c r="D246" s="929">
        <v>0.84650000000000003</v>
      </c>
      <c r="E246" s="929">
        <v>0.84650000000000003</v>
      </c>
      <c r="F246" s="929">
        <v>0.84650000000000003</v>
      </c>
      <c r="G246" s="929">
        <v>0.84650000000000003</v>
      </c>
      <c r="H246" s="929">
        <v>0.84650000000000003</v>
      </c>
      <c r="I246" s="929">
        <v>0.68089999999999995</v>
      </c>
      <c r="J246" s="929">
        <v>0.68089999999999995</v>
      </c>
      <c r="K246" s="929">
        <v>0.68089999999999995</v>
      </c>
      <c r="L246" s="929">
        <v>0.68089999999999995</v>
      </c>
      <c r="M246" s="929">
        <v>0.68089999999999995</v>
      </c>
    </row>
    <row r="247" spans="1:13">
      <c r="A247" s="936">
        <v>7</v>
      </c>
      <c r="B247" s="929">
        <v>0.87170000000000003</v>
      </c>
      <c r="C247" s="929">
        <v>0.87170000000000003</v>
      </c>
      <c r="D247" s="929">
        <v>0.84450000000000003</v>
      </c>
      <c r="E247" s="929">
        <v>0.84450000000000003</v>
      </c>
      <c r="F247" s="929">
        <v>0.84450000000000003</v>
      </c>
      <c r="G247" s="929">
        <v>0.84450000000000003</v>
      </c>
      <c r="H247" s="929">
        <v>0.84450000000000003</v>
      </c>
      <c r="I247" s="929">
        <v>0.67830000000000001</v>
      </c>
      <c r="J247" s="929">
        <v>0.67830000000000001</v>
      </c>
      <c r="K247" s="929">
        <v>0.67830000000000001</v>
      </c>
      <c r="L247" s="929">
        <v>0.67830000000000001</v>
      </c>
      <c r="M247" s="929">
        <v>0.67830000000000001</v>
      </c>
    </row>
    <row r="248" spans="1:13">
      <c r="A248" s="936">
        <v>7.1</v>
      </c>
      <c r="B248" s="929">
        <v>0.87009999999999998</v>
      </c>
      <c r="C248" s="929">
        <v>0.87009999999999998</v>
      </c>
      <c r="D248" s="929">
        <v>0.84250000000000003</v>
      </c>
      <c r="E248" s="929">
        <v>0.84250000000000003</v>
      </c>
      <c r="F248" s="929">
        <v>0.84250000000000003</v>
      </c>
      <c r="G248" s="929">
        <v>0.84250000000000003</v>
      </c>
      <c r="H248" s="929">
        <v>0.84250000000000003</v>
      </c>
      <c r="I248" s="929">
        <v>0.67569999999999997</v>
      </c>
      <c r="J248" s="929">
        <v>0.67569999999999997</v>
      </c>
      <c r="K248" s="929">
        <v>0.67569999999999997</v>
      </c>
      <c r="L248" s="929">
        <v>0.67569999999999997</v>
      </c>
      <c r="M248" s="929">
        <v>0.67569999999999997</v>
      </c>
    </row>
    <row r="249" spans="1:13">
      <c r="A249" s="936">
        <v>7.2</v>
      </c>
      <c r="B249" s="929">
        <v>0.86850000000000005</v>
      </c>
      <c r="C249" s="929">
        <v>0.86850000000000005</v>
      </c>
      <c r="D249" s="929">
        <v>0.84050000000000002</v>
      </c>
      <c r="E249" s="929">
        <v>0.84050000000000002</v>
      </c>
      <c r="F249" s="929">
        <v>0.84050000000000002</v>
      </c>
      <c r="G249" s="929">
        <v>0.84050000000000002</v>
      </c>
      <c r="H249" s="929">
        <v>0.84050000000000002</v>
      </c>
      <c r="I249" s="929">
        <v>0.67310000000000003</v>
      </c>
      <c r="J249" s="929">
        <v>0.67310000000000003</v>
      </c>
      <c r="K249" s="929">
        <v>0.67310000000000003</v>
      </c>
      <c r="L249" s="929">
        <v>0.67310000000000003</v>
      </c>
      <c r="M249" s="929">
        <v>0.67310000000000003</v>
      </c>
    </row>
    <row r="250" spans="1:13">
      <c r="A250" s="936">
        <v>7.3</v>
      </c>
      <c r="B250" s="929">
        <v>0.8669</v>
      </c>
      <c r="C250" s="929">
        <v>0.8669</v>
      </c>
      <c r="D250" s="929">
        <v>0.83850000000000002</v>
      </c>
      <c r="E250" s="929">
        <v>0.83850000000000002</v>
      </c>
      <c r="F250" s="929">
        <v>0.83850000000000002</v>
      </c>
      <c r="G250" s="929">
        <v>0.83850000000000002</v>
      </c>
      <c r="H250" s="929">
        <v>0.83850000000000002</v>
      </c>
      <c r="I250" s="929">
        <v>0.67059999999999997</v>
      </c>
      <c r="J250" s="929">
        <v>0.67059999999999997</v>
      </c>
      <c r="K250" s="929">
        <v>0.67059999999999997</v>
      </c>
      <c r="L250" s="929">
        <v>0.67059999999999997</v>
      </c>
      <c r="M250" s="929">
        <v>0.67059999999999997</v>
      </c>
    </row>
    <row r="251" spans="1:13">
      <c r="A251" s="936">
        <v>7.4</v>
      </c>
      <c r="B251" s="929">
        <v>0.86529999999999996</v>
      </c>
      <c r="C251" s="929">
        <v>0.86529999999999996</v>
      </c>
      <c r="D251" s="929">
        <v>0.83650000000000002</v>
      </c>
      <c r="E251" s="929">
        <v>0.83650000000000002</v>
      </c>
      <c r="F251" s="929">
        <v>0.83650000000000002</v>
      </c>
      <c r="G251" s="929">
        <v>0.83650000000000002</v>
      </c>
      <c r="H251" s="929">
        <v>0.83650000000000002</v>
      </c>
      <c r="I251" s="929">
        <v>0.66810000000000003</v>
      </c>
      <c r="J251" s="929">
        <v>0.66810000000000003</v>
      </c>
      <c r="K251" s="929">
        <v>0.66810000000000003</v>
      </c>
      <c r="L251" s="929">
        <v>0.66810000000000003</v>
      </c>
      <c r="M251" s="929">
        <v>0.66810000000000003</v>
      </c>
    </row>
    <row r="252" spans="1:13">
      <c r="A252" s="936">
        <v>7.5</v>
      </c>
      <c r="B252" s="929">
        <v>0.86370000000000002</v>
      </c>
      <c r="C252" s="929">
        <v>0.86370000000000002</v>
      </c>
      <c r="D252" s="929">
        <v>0.83460000000000001</v>
      </c>
      <c r="E252" s="929">
        <v>0.83460000000000001</v>
      </c>
      <c r="F252" s="929">
        <v>0.83460000000000001</v>
      </c>
      <c r="G252" s="929">
        <v>0.83460000000000001</v>
      </c>
      <c r="H252" s="929">
        <v>0.83460000000000001</v>
      </c>
      <c r="I252" s="929">
        <v>0.66559999999999997</v>
      </c>
      <c r="J252" s="929">
        <v>0.66559999999999997</v>
      </c>
      <c r="K252" s="929">
        <v>0.66559999999999997</v>
      </c>
      <c r="L252" s="929">
        <v>0.66559999999999997</v>
      </c>
      <c r="M252" s="929">
        <v>0.66559999999999997</v>
      </c>
    </row>
    <row r="253" spans="1:13">
      <c r="A253" s="936">
        <v>7.6</v>
      </c>
      <c r="B253" s="929">
        <v>0.86219999999999997</v>
      </c>
      <c r="C253" s="929">
        <v>0.86219999999999997</v>
      </c>
      <c r="D253" s="929">
        <v>0.8327</v>
      </c>
      <c r="E253" s="929">
        <v>0.8327</v>
      </c>
      <c r="F253" s="929">
        <v>0.8327</v>
      </c>
      <c r="G253" s="929">
        <v>0.8327</v>
      </c>
      <c r="H253" s="929">
        <v>0.8327</v>
      </c>
      <c r="I253" s="929">
        <v>0.66310000000000002</v>
      </c>
      <c r="J253" s="929">
        <v>0.66310000000000002</v>
      </c>
      <c r="K253" s="929">
        <v>0.66310000000000002</v>
      </c>
      <c r="L253" s="929">
        <v>0.66310000000000002</v>
      </c>
      <c r="M253" s="929">
        <v>0.66310000000000002</v>
      </c>
    </row>
    <row r="254" spans="1:13">
      <c r="A254" s="936">
        <v>7.7</v>
      </c>
      <c r="B254" s="929">
        <v>0.86070000000000002</v>
      </c>
      <c r="C254" s="929">
        <v>0.86070000000000002</v>
      </c>
      <c r="D254" s="929">
        <v>0.83079999999999998</v>
      </c>
      <c r="E254" s="929">
        <v>0.83079999999999998</v>
      </c>
      <c r="F254" s="929">
        <v>0.83079999999999998</v>
      </c>
      <c r="G254" s="929">
        <v>0.83079999999999998</v>
      </c>
      <c r="H254" s="929">
        <v>0.83079999999999998</v>
      </c>
      <c r="I254" s="929">
        <v>0.66069999999999995</v>
      </c>
      <c r="J254" s="929">
        <v>0.66069999999999995</v>
      </c>
      <c r="K254" s="929">
        <v>0.66069999999999995</v>
      </c>
      <c r="L254" s="929">
        <v>0.66069999999999995</v>
      </c>
      <c r="M254" s="929">
        <v>0.66069999999999995</v>
      </c>
    </row>
    <row r="255" spans="1:13">
      <c r="A255" s="936">
        <v>7.8</v>
      </c>
      <c r="B255" s="929">
        <v>0.85919999999999996</v>
      </c>
      <c r="C255" s="929">
        <v>0.85919999999999996</v>
      </c>
      <c r="D255" s="929">
        <v>0.82889999999999997</v>
      </c>
      <c r="E255" s="929">
        <v>0.82889999999999997</v>
      </c>
      <c r="F255" s="929">
        <v>0.82889999999999997</v>
      </c>
      <c r="G255" s="929">
        <v>0.82889999999999997</v>
      </c>
      <c r="H255" s="929">
        <v>0.82889999999999997</v>
      </c>
      <c r="I255" s="929">
        <v>0.6583</v>
      </c>
      <c r="J255" s="929">
        <v>0.6583</v>
      </c>
      <c r="K255" s="929">
        <v>0.6583</v>
      </c>
      <c r="L255" s="929">
        <v>0.6583</v>
      </c>
      <c r="M255" s="929">
        <v>0.6583</v>
      </c>
    </row>
    <row r="256" spans="1:13">
      <c r="A256" s="936">
        <v>7.9</v>
      </c>
      <c r="B256" s="929">
        <v>0.85770000000000002</v>
      </c>
      <c r="C256" s="929">
        <v>0.85770000000000002</v>
      </c>
      <c r="D256" s="929">
        <v>0.82699999999999996</v>
      </c>
      <c r="E256" s="929">
        <v>0.82699999999999996</v>
      </c>
      <c r="F256" s="929">
        <v>0.82699999999999996</v>
      </c>
      <c r="G256" s="929">
        <v>0.82699999999999996</v>
      </c>
      <c r="H256" s="929">
        <v>0.82699999999999996</v>
      </c>
      <c r="I256" s="929">
        <v>0.65590000000000004</v>
      </c>
      <c r="J256" s="929">
        <v>0.65590000000000004</v>
      </c>
      <c r="K256" s="929">
        <v>0.65590000000000004</v>
      </c>
      <c r="L256" s="929">
        <v>0.65590000000000004</v>
      </c>
      <c r="M256" s="929">
        <v>0.65590000000000004</v>
      </c>
    </row>
    <row r="257" spans="1:13">
      <c r="A257" s="920">
        <v>8</v>
      </c>
      <c r="B257" s="929">
        <v>0.85619999999999996</v>
      </c>
      <c r="C257" s="929">
        <v>0.85619999999999996</v>
      </c>
      <c r="D257" s="929">
        <v>0.82509999999999994</v>
      </c>
      <c r="E257" s="929">
        <v>0.82509999999999994</v>
      </c>
      <c r="F257" s="929">
        <v>0.82509999999999994</v>
      </c>
      <c r="G257" s="929">
        <v>0.82509999999999994</v>
      </c>
      <c r="H257" s="929">
        <v>0.82509999999999994</v>
      </c>
      <c r="I257" s="929">
        <v>0.65349999999999997</v>
      </c>
      <c r="J257" s="929">
        <v>0.65349999999999997</v>
      </c>
      <c r="K257" s="929">
        <v>0.65349999999999997</v>
      </c>
      <c r="L257" s="929">
        <v>0.65349999999999997</v>
      </c>
      <c r="M257" s="929">
        <v>0.65349999999999997</v>
      </c>
    </row>
    <row r="258" spans="1:13">
      <c r="A258" s="920">
        <v>8.1</v>
      </c>
      <c r="B258" s="929">
        <v>0.85470000000000002</v>
      </c>
      <c r="C258" s="929">
        <v>0.85470000000000002</v>
      </c>
      <c r="D258" s="929">
        <v>0.82330000000000003</v>
      </c>
      <c r="E258" s="929">
        <v>0.82330000000000003</v>
      </c>
      <c r="F258" s="929">
        <v>0.82330000000000003</v>
      </c>
      <c r="G258" s="929">
        <v>0.82330000000000003</v>
      </c>
      <c r="H258" s="929">
        <v>0.82330000000000003</v>
      </c>
      <c r="I258" s="929">
        <v>0.6512</v>
      </c>
      <c r="J258" s="929">
        <v>0.6512</v>
      </c>
      <c r="K258" s="929">
        <v>0.6512</v>
      </c>
      <c r="L258" s="929">
        <v>0.6512</v>
      </c>
      <c r="M258" s="929">
        <v>0.6512</v>
      </c>
    </row>
    <row r="259" spans="1:13">
      <c r="A259" s="920">
        <v>8.1999999999999993</v>
      </c>
      <c r="B259" s="929">
        <v>0.85329999999999995</v>
      </c>
      <c r="C259" s="929">
        <v>0.85329999999999995</v>
      </c>
      <c r="D259" s="929">
        <v>0.82150000000000001</v>
      </c>
      <c r="E259" s="929">
        <v>0.82150000000000001</v>
      </c>
      <c r="F259" s="929">
        <v>0.82150000000000001</v>
      </c>
      <c r="G259" s="929">
        <v>0.82150000000000001</v>
      </c>
      <c r="H259" s="929">
        <v>0.82150000000000001</v>
      </c>
      <c r="I259" s="929">
        <v>0.64890000000000003</v>
      </c>
      <c r="J259" s="929">
        <v>0.64890000000000003</v>
      </c>
      <c r="K259" s="929">
        <v>0.64890000000000003</v>
      </c>
      <c r="L259" s="929">
        <v>0.64890000000000003</v>
      </c>
      <c r="M259" s="929">
        <v>0.64890000000000003</v>
      </c>
    </row>
    <row r="260" spans="1:13">
      <c r="A260" s="920">
        <v>8.3000000000000007</v>
      </c>
      <c r="B260" s="929">
        <v>0.85189999999999999</v>
      </c>
      <c r="C260" s="929">
        <v>0.85189999999999999</v>
      </c>
      <c r="D260" s="929">
        <v>0.81969999999999998</v>
      </c>
      <c r="E260" s="929">
        <v>0.81969999999999998</v>
      </c>
      <c r="F260" s="929">
        <v>0.81969999999999998</v>
      </c>
      <c r="G260" s="929">
        <v>0.81969999999999998</v>
      </c>
      <c r="H260" s="929">
        <v>0.81969999999999998</v>
      </c>
      <c r="I260" s="929">
        <v>0.64659999999999995</v>
      </c>
      <c r="J260" s="929">
        <v>0.64659999999999995</v>
      </c>
      <c r="K260" s="929">
        <v>0.64659999999999995</v>
      </c>
      <c r="L260" s="929">
        <v>0.64659999999999995</v>
      </c>
      <c r="M260" s="929">
        <v>0.64659999999999995</v>
      </c>
    </row>
    <row r="261" spans="1:13">
      <c r="A261" s="920">
        <v>8.4</v>
      </c>
      <c r="B261" s="929">
        <v>0.85050000000000003</v>
      </c>
      <c r="C261" s="929">
        <v>0.85050000000000003</v>
      </c>
      <c r="D261" s="929">
        <v>0.81789999999999996</v>
      </c>
      <c r="E261" s="929">
        <v>0.81789999999999996</v>
      </c>
      <c r="F261" s="929">
        <v>0.81789999999999996</v>
      </c>
      <c r="G261" s="929">
        <v>0.81789999999999996</v>
      </c>
      <c r="H261" s="929">
        <v>0.81789999999999996</v>
      </c>
      <c r="I261" s="929">
        <v>0.64429999999999998</v>
      </c>
      <c r="J261" s="929">
        <v>0.64429999999999998</v>
      </c>
      <c r="K261" s="929">
        <v>0.64429999999999998</v>
      </c>
      <c r="L261" s="929">
        <v>0.64429999999999998</v>
      </c>
      <c r="M261" s="929">
        <v>0.64429999999999998</v>
      </c>
    </row>
    <row r="262" spans="1:13">
      <c r="A262" s="920">
        <v>8.5</v>
      </c>
      <c r="B262" s="929">
        <v>0.84909999999999997</v>
      </c>
      <c r="C262" s="929">
        <v>0.84909999999999997</v>
      </c>
      <c r="D262" s="929">
        <v>0.81610000000000005</v>
      </c>
      <c r="E262" s="929">
        <v>0.81610000000000005</v>
      </c>
      <c r="F262" s="929">
        <v>0.81610000000000005</v>
      </c>
      <c r="G262" s="929">
        <v>0.81610000000000005</v>
      </c>
      <c r="H262" s="929">
        <v>0.81610000000000005</v>
      </c>
      <c r="I262" s="929">
        <v>0.6421</v>
      </c>
      <c r="J262" s="929">
        <v>0.6421</v>
      </c>
      <c r="K262" s="929">
        <v>0.6421</v>
      </c>
      <c r="L262" s="929">
        <v>0.6421</v>
      </c>
      <c r="M262" s="929">
        <v>0.6421</v>
      </c>
    </row>
    <row r="263" spans="1:13">
      <c r="A263" s="936">
        <v>8.6</v>
      </c>
      <c r="B263" s="929">
        <v>0.84770000000000001</v>
      </c>
      <c r="C263" s="929">
        <v>0.84770000000000001</v>
      </c>
      <c r="D263" s="929">
        <v>0.81440000000000001</v>
      </c>
      <c r="E263" s="929">
        <v>0.81440000000000001</v>
      </c>
      <c r="F263" s="929">
        <v>0.81440000000000001</v>
      </c>
      <c r="G263" s="929">
        <v>0.81440000000000001</v>
      </c>
      <c r="H263" s="929">
        <v>0.81440000000000001</v>
      </c>
      <c r="I263" s="929">
        <v>0.63990000000000002</v>
      </c>
      <c r="J263" s="929">
        <v>0.63990000000000002</v>
      </c>
      <c r="K263" s="929">
        <v>0.63990000000000002</v>
      </c>
      <c r="L263" s="929">
        <v>0.63990000000000002</v>
      </c>
      <c r="M263" s="929">
        <v>0.63990000000000002</v>
      </c>
    </row>
    <row r="264" spans="1:13">
      <c r="A264" s="920">
        <v>8.6999999999999993</v>
      </c>
      <c r="B264" s="929">
        <v>0.84630000000000005</v>
      </c>
      <c r="C264" s="929">
        <v>0.84630000000000005</v>
      </c>
      <c r="D264" s="929">
        <v>0.81269999999999998</v>
      </c>
      <c r="E264" s="929">
        <v>0.81269999999999998</v>
      </c>
      <c r="F264" s="929">
        <v>0.81269999999999998</v>
      </c>
      <c r="G264" s="929">
        <v>0.81269999999999998</v>
      </c>
      <c r="H264" s="929">
        <v>0.81269999999999998</v>
      </c>
      <c r="I264" s="929">
        <v>0.63770000000000004</v>
      </c>
      <c r="J264" s="929">
        <v>0.63770000000000004</v>
      </c>
      <c r="K264" s="929">
        <v>0.63770000000000004</v>
      </c>
      <c r="L264" s="929">
        <v>0.63770000000000004</v>
      </c>
      <c r="M264" s="929">
        <v>0.63770000000000004</v>
      </c>
    </row>
    <row r="265" spans="1:13">
      <c r="A265" s="920">
        <v>8.8000000000000007</v>
      </c>
      <c r="B265" s="929">
        <v>0.84489999999999998</v>
      </c>
      <c r="C265" s="929">
        <v>0.84489999999999998</v>
      </c>
      <c r="D265" s="929">
        <v>0.81100000000000005</v>
      </c>
      <c r="E265" s="929">
        <v>0.81100000000000005</v>
      </c>
      <c r="F265" s="929">
        <v>0.81100000000000005</v>
      </c>
      <c r="G265" s="929">
        <v>0.81100000000000005</v>
      </c>
      <c r="H265" s="929">
        <v>0.81100000000000005</v>
      </c>
      <c r="I265" s="929">
        <v>0.63549999999999995</v>
      </c>
      <c r="J265" s="929">
        <v>0.63549999999999995</v>
      </c>
      <c r="K265" s="929">
        <v>0.63549999999999995</v>
      </c>
      <c r="L265" s="929">
        <v>0.63549999999999995</v>
      </c>
      <c r="M265" s="929">
        <v>0.63549999999999995</v>
      </c>
    </row>
    <row r="266" spans="1:13">
      <c r="A266" s="920">
        <v>8.9</v>
      </c>
      <c r="B266" s="929">
        <v>0.84360000000000002</v>
      </c>
      <c r="C266" s="929">
        <v>0.84360000000000002</v>
      </c>
      <c r="D266" s="929">
        <v>0.80930000000000002</v>
      </c>
      <c r="E266" s="929">
        <v>0.80930000000000002</v>
      </c>
      <c r="F266" s="929">
        <v>0.80930000000000002</v>
      </c>
      <c r="G266" s="929">
        <v>0.80930000000000002</v>
      </c>
      <c r="H266" s="929">
        <v>0.80930000000000002</v>
      </c>
      <c r="I266" s="929">
        <v>0.63339999999999996</v>
      </c>
      <c r="J266" s="929">
        <v>0.63339999999999996</v>
      </c>
      <c r="K266" s="929">
        <v>0.63339999999999996</v>
      </c>
      <c r="L266" s="929">
        <v>0.63339999999999996</v>
      </c>
      <c r="M266" s="929">
        <v>0.63339999999999996</v>
      </c>
    </row>
    <row r="267" spans="1:13">
      <c r="A267" s="920">
        <v>9</v>
      </c>
      <c r="B267" s="929">
        <v>0.84230000000000005</v>
      </c>
      <c r="C267" s="929">
        <v>0.84230000000000005</v>
      </c>
      <c r="D267" s="929">
        <v>0.80759999999999998</v>
      </c>
      <c r="E267" s="929">
        <v>0.80759999999999998</v>
      </c>
      <c r="F267" s="929">
        <v>0.80759999999999998</v>
      </c>
      <c r="G267" s="929">
        <v>0.80759999999999998</v>
      </c>
      <c r="H267" s="929">
        <v>0.80759999999999998</v>
      </c>
      <c r="I267" s="929">
        <v>0.63129999999999997</v>
      </c>
      <c r="J267" s="929">
        <v>0.63129999999999997</v>
      </c>
      <c r="K267" s="929">
        <v>0.63129999999999997</v>
      </c>
      <c r="L267" s="929">
        <v>0.63129999999999997</v>
      </c>
      <c r="M267" s="929">
        <v>0.63129999999999997</v>
      </c>
    </row>
    <row r="268" spans="1:13">
      <c r="A268" s="920">
        <v>9.1</v>
      </c>
      <c r="B268" s="929">
        <v>0.84099999999999997</v>
      </c>
      <c r="C268" s="929">
        <v>0.84099999999999997</v>
      </c>
      <c r="D268" s="929">
        <v>0.80600000000000005</v>
      </c>
      <c r="E268" s="929">
        <v>0.80600000000000005</v>
      </c>
      <c r="F268" s="929">
        <v>0.80600000000000005</v>
      </c>
      <c r="G268" s="929">
        <v>0.80600000000000005</v>
      </c>
      <c r="H268" s="929">
        <v>0.80600000000000005</v>
      </c>
      <c r="I268" s="929">
        <v>0.62919999999999998</v>
      </c>
      <c r="J268" s="929">
        <v>0.62919999999999998</v>
      </c>
      <c r="K268" s="929">
        <v>0.62919999999999998</v>
      </c>
      <c r="L268" s="929">
        <v>0.62919999999999998</v>
      </c>
      <c r="M268" s="929">
        <v>0.62919999999999998</v>
      </c>
    </row>
    <row r="269" spans="1:13">
      <c r="A269" s="920">
        <v>9.1999999999999993</v>
      </c>
      <c r="B269" s="929">
        <v>0.8397</v>
      </c>
      <c r="C269" s="929">
        <v>0.8397</v>
      </c>
      <c r="D269" s="929">
        <v>0.8044</v>
      </c>
      <c r="E269" s="929">
        <v>0.8044</v>
      </c>
      <c r="F269" s="929">
        <v>0.8044</v>
      </c>
      <c r="G269" s="929">
        <v>0.8044</v>
      </c>
      <c r="H269" s="929">
        <v>0.8044</v>
      </c>
      <c r="I269" s="929">
        <v>0.62709999999999999</v>
      </c>
      <c r="J269" s="929">
        <v>0.62709999999999999</v>
      </c>
      <c r="K269" s="929">
        <v>0.62709999999999999</v>
      </c>
      <c r="L269" s="929">
        <v>0.62709999999999999</v>
      </c>
      <c r="M269" s="929">
        <v>0.62709999999999999</v>
      </c>
    </row>
    <row r="270" spans="1:13">
      <c r="A270" s="920">
        <v>9.3000000000000007</v>
      </c>
      <c r="B270" s="929">
        <v>0.83840000000000003</v>
      </c>
      <c r="C270" s="929">
        <v>0.83840000000000003</v>
      </c>
      <c r="D270" s="929">
        <v>0.80279999999999996</v>
      </c>
      <c r="E270" s="929">
        <v>0.80279999999999996</v>
      </c>
      <c r="F270" s="929">
        <v>0.80279999999999996</v>
      </c>
      <c r="G270" s="929">
        <v>0.80279999999999996</v>
      </c>
      <c r="H270" s="929">
        <v>0.80279999999999996</v>
      </c>
      <c r="I270" s="929">
        <v>0.62509999999999999</v>
      </c>
      <c r="J270" s="929">
        <v>0.62509999999999999</v>
      </c>
      <c r="K270" s="929">
        <v>0.62509999999999999</v>
      </c>
      <c r="L270" s="929">
        <v>0.62509999999999999</v>
      </c>
      <c r="M270" s="929">
        <v>0.62509999999999999</v>
      </c>
    </row>
    <row r="271" spans="1:13">
      <c r="A271" s="920">
        <v>9.4</v>
      </c>
      <c r="B271" s="929">
        <v>0.83709999999999996</v>
      </c>
      <c r="C271" s="929">
        <v>0.83709999999999996</v>
      </c>
      <c r="D271" s="929">
        <v>0.80120000000000002</v>
      </c>
      <c r="E271" s="929">
        <v>0.80120000000000002</v>
      </c>
      <c r="F271" s="929">
        <v>0.80120000000000002</v>
      </c>
      <c r="G271" s="929">
        <v>0.80120000000000002</v>
      </c>
      <c r="H271" s="929">
        <v>0.80120000000000002</v>
      </c>
      <c r="I271" s="929">
        <v>0.62309999999999999</v>
      </c>
      <c r="J271" s="929">
        <v>0.62309999999999999</v>
      </c>
      <c r="K271" s="929">
        <v>0.62309999999999999</v>
      </c>
      <c r="L271" s="929">
        <v>0.62309999999999999</v>
      </c>
      <c r="M271" s="929">
        <v>0.62309999999999999</v>
      </c>
    </row>
    <row r="272" spans="1:13">
      <c r="A272" s="920">
        <v>9.5</v>
      </c>
      <c r="B272" s="929">
        <v>0.83579999999999999</v>
      </c>
      <c r="C272" s="929">
        <v>0.83579999999999999</v>
      </c>
      <c r="D272" s="929">
        <v>0.79959999999999998</v>
      </c>
      <c r="E272" s="929">
        <v>0.79959999999999998</v>
      </c>
      <c r="F272" s="929">
        <v>0.79959999999999998</v>
      </c>
      <c r="G272" s="929">
        <v>0.79959999999999998</v>
      </c>
      <c r="H272" s="929">
        <v>0.79959999999999998</v>
      </c>
      <c r="I272" s="929">
        <v>0.62109999999999999</v>
      </c>
      <c r="J272" s="929">
        <v>0.62109999999999999</v>
      </c>
      <c r="K272" s="929">
        <v>0.62109999999999999</v>
      </c>
      <c r="L272" s="929">
        <v>0.62109999999999999</v>
      </c>
      <c r="M272" s="929">
        <v>0.62109999999999999</v>
      </c>
    </row>
    <row r="273" spans="1:13">
      <c r="A273" s="920">
        <v>9.6</v>
      </c>
      <c r="B273" s="929">
        <v>0.83460000000000001</v>
      </c>
      <c r="C273" s="929">
        <v>0.83460000000000001</v>
      </c>
      <c r="D273" s="929">
        <v>0.79800000000000004</v>
      </c>
      <c r="E273" s="929">
        <v>0.79800000000000004</v>
      </c>
      <c r="F273" s="929">
        <v>0.79800000000000004</v>
      </c>
      <c r="G273" s="929">
        <v>0.79800000000000004</v>
      </c>
      <c r="H273" s="929">
        <v>0.79800000000000004</v>
      </c>
      <c r="I273" s="929">
        <v>0.61909999999999998</v>
      </c>
      <c r="J273" s="929">
        <v>0.61909999999999998</v>
      </c>
      <c r="K273" s="929">
        <v>0.61909999999999998</v>
      </c>
      <c r="L273" s="929">
        <v>0.61909999999999998</v>
      </c>
      <c r="M273" s="929">
        <v>0.61909999999999998</v>
      </c>
    </row>
    <row r="274" spans="1:13">
      <c r="A274" s="920">
        <v>9.6999999999999993</v>
      </c>
      <c r="B274" s="929">
        <v>0.83340000000000003</v>
      </c>
      <c r="C274" s="929">
        <v>0.83340000000000003</v>
      </c>
      <c r="D274" s="929">
        <v>0.79649999999999999</v>
      </c>
      <c r="E274" s="929">
        <v>0.79649999999999999</v>
      </c>
      <c r="F274" s="929">
        <v>0.79649999999999999</v>
      </c>
      <c r="G274" s="929">
        <v>0.79649999999999999</v>
      </c>
      <c r="H274" s="929">
        <v>0.79649999999999999</v>
      </c>
      <c r="I274" s="929">
        <v>0.61719999999999997</v>
      </c>
      <c r="J274" s="929">
        <v>0.61719999999999997</v>
      </c>
      <c r="K274" s="929">
        <v>0.61719999999999997</v>
      </c>
      <c r="L274" s="929">
        <v>0.61719999999999997</v>
      </c>
      <c r="M274" s="929">
        <v>0.61719999999999997</v>
      </c>
    </row>
    <row r="275" spans="1:13">
      <c r="A275" s="920">
        <v>9.8000000000000007</v>
      </c>
      <c r="B275" s="929">
        <v>0.83220000000000005</v>
      </c>
      <c r="C275" s="929">
        <v>0.83220000000000005</v>
      </c>
      <c r="D275" s="929">
        <v>0.79500000000000004</v>
      </c>
      <c r="E275" s="929">
        <v>0.79500000000000004</v>
      </c>
      <c r="F275" s="929">
        <v>0.79500000000000004</v>
      </c>
      <c r="G275" s="929">
        <v>0.79500000000000004</v>
      </c>
      <c r="H275" s="929">
        <v>0.79500000000000004</v>
      </c>
      <c r="I275" s="929">
        <v>0.61529999999999996</v>
      </c>
      <c r="J275" s="929">
        <v>0.61529999999999996</v>
      </c>
      <c r="K275" s="929">
        <v>0.61529999999999996</v>
      </c>
      <c r="L275" s="929">
        <v>0.61529999999999996</v>
      </c>
      <c r="M275" s="929">
        <v>0.61529999999999996</v>
      </c>
    </row>
    <row r="276" spans="1:13">
      <c r="A276" s="920">
        <v>9.9</v>
      </c>
      <c r="B276" s="929">
        <v>0.83099999999999996</v>
      </c>
      <c r="C276" s="929">
        <v>0.83099999999999996</v>
      </c>
      <c r="D276" s="929">
        <v>0.79349999999999998</v>
      </c>
      <c r="E276" s="929">
        <v>0.79349999999999998</v>
      </c>
      <c r="F276" s="929">
        <v>0.79349999999999998</v>
      </c>
      <c r="G276" s="929">
        <v>0.79349999999999998</v>
      </c>
      <c r="H276" s="929">
        <v>0.79349999999999998</v>
      </c>
      <c r="I276" s="929">
        <v>0.61339999999999995</v>
      </c>
      <c r="J276" s="929">
        <v>0.61339999999999995</v>
      </c>
      <c r="K276" s="929">
        <v>0.61339999999999995</v>
      </c>
      <c r="L276" s="929">
        <v>0.61339999999999995</v>
      </c>
      <c r="M276" s="929">
        <v>0.61339999999999995</v>
      </c>
    </row>
    <row r="277" spans="1:13" ht="14.25">
      <c r="A277" s="3083" t="s">
        <v>2766</v>
      </c>
      <c r="B277" s="929"/>
      <c r="C277" s="929"/>
      <c r="D277" s="929"/>
      <c r="E277" s="929"/>
      <c r="F277" s="929"/>
      <c r="G277" s="929"/>
      <c r="H277" s="929"/>
      <c r="I277" s="929"/>
      <c r="J277" s="929"/>
      <c r="K277" s="929"/>
      <c r="L277" s="929"/>
      <c r="M277" s="929"/>
    </row>
    <row r="278" spans="1:13">
      <c r="A278" s="920" t="s">
        <v>1548</v>
      </c>
      <c r="B278" s="929" t="s">
        <v>988</v>
      </c>
      <c r="C278" s="929" t="s">
        <v>1029</v>
      </c>
      <c r="D278" s="929" t="s">
        <v>1143</v>
      </c>
      <c r="E278" s="929" t="s">
        <v>851</v>
      </c>
      <c r="F278" s="929" t="s">
        <v>1150</v>
      </c>
      <c r="G278" s="929" t="s">
        <v>1151</v>
      </c>
      <c r="H278" s="929" t="s">
        <v>1152</v>
      </c>
      <c r="I278" s="929" t="s">
        <v>1153</v>
      </c>
      <c r="J278" s="929" t="s">
        <v>1154</v>
      </c>
      <c r="K278" s="929" t="s">
        <v>1155</v>
      </c>
      <c r="L278" s="929" t="s">
        <v>2750</v>
      </c>
      <c r="M278" s="929" t="s">
        <v>2751</v>
      </c>
    </row>
    <row r="279" spans="1:13">
      <c r="A279" s="920">
        <v>1</v>
      </c>
      <c r="B279" s="929">
        <v>1.1055999999999999</v>
      </c>
      <c r="C279" s="929">
        <v>1.1055999999999999</v>
      </c>
      <c r="D279" s="929">
        <v>1.1220000000000001</v>
      </c>
      <c r="E279" s="929">
        <v>1.1220000000000001</v>
      </c>
      <c r="F279" s="929">
        <v>1.1220000000000001</v>
      </c>
      <c r="G279" s="929">
        <v>1.0583</v>
      </c>
      <c r="H279" s="929">
        <v>1.0583</v>
      </c>
      <c r="I279" s="929">
        <v>1</v>
      </c>
      <c r="J279" s="929">
        <v>1</v>
      </c>
      <c r="K279" s="929">
        <v>1</v>
      </c>
      <c r="L279" s="929">
        <v>1</v>
      </c>
      <c r="M279" s="929">
        <v>1</v>
      </c>
    </row>
    <row r="280" spans="1:13">
      <c r="A280" s="920">
        <v>1.1000000000000001</v>
      </c>
      <c r="B280" s="929">
        <v>1.0820000000000001</v>
      </c>
      <c r="C280" s="929">
        <v>1.0820000000000001</v>
      </c>
      <c r="D280" s="929">
        <v>1.0948</v>
      </c>
      <c r="E280" s="929">
        <v>1.0948</v>
      </c>
      <c r="F280" s="929">
        <v>1.0948</v>
      </c>
      <c r="G280" s="929">
        <v>1.0284</v>
      </c>
      <c r="H280" s="929">
        <v>1.0284</v>
      </c>
      <c r="I280" s="929">
        <v>0.96860000000000002</v>
      </c>
      <c r="J280" s="929">
        <v>0.96860000000000002</v>
      </c>
      <c r="K280" s="929">
        <v>0.96860000000000002</v>
      </c>
      <c r="L280" s="929">
        <v>0.96860000000000002</v>
      </c>
      <c r="M280" s="929">
        <v>0.96860000000000002</v>
      </c>
    </row>
    <row r="281" spans="1:13">
      <c r="A281" s="920">
        <v>1.2</v>
      </c>
      <c r="B281" s="929">
        <v>1.0598000000000001</v>
      </c>
      <c r="C281" s="929">
        <v>1.0598000000000001</v>
      </c>
      <c r="D281" s="929">
        <v>1.0690999999999999</v>
      </c>
      <c r="E281" s="929">
        <v>1.0690999999999999</v>
      </c>
      <c r="F281" s="929">
        <v>1.0690999999999999</v>
      </c>
      <c r="G281" s="929">
        <v>1</v>
      </c>
      <c r="H281" s="929">
        <v>1</v>
      </c>
      <c r="I281" s="929">
        <v>0.93879999999999997</v>
      </c>
      <c r="J281" s="929">
        <v>0.93879999999999997</v>
      </c>
      <c r="K281" s="929">
        <v>0.93879999999999997</v>
      </c>
      <c r="L281" s="929">
        <v>0.93879999999999997</v>
      </c>
      <c r="M281" s="929">
        <v>0.93879999999999997</v>
      </c>
    </row>
    <row r="282" spans="1:13">
      <c r="A282" s="920">
        <v>1.3</v>
      </c>
      <c r="B282" s="929">
        <v>1.0387</v>
      </c>
      <c r="C282" s="929">
        <v>1.0387</v>
      </c>
      <c r="D282" s="929">
        <v>1.0447</v>
      </c>
      <c r="E282" s="929">
        <v>1.0447</v>
      </c>
      <c r="F282" s="929">
        <v>1.0447</v>
      </c>
      <c r="G282" s="929">
        <v>0.97319999999999995</v>
      </c>
      <c r="H282" s="929">
        <v>0.97319999999999995</v>
      </c>
      <c r="I282" s="929">
        <v>0.91069999999999995</v>
      </c>
      <c r="J282" s="929">
        <v>0.91069999999999995</v>
      </c>
      <c r="K282" s="929">
        <v>0.91069999999999995</v>
      </c>
      <c r="L282" s="929">
        <v>0.91069999999999995</v>
      </c>
      <c r="M282" s="929">
        <v>0.91069999999999995</v>
      </c>
    </row>
    <row r="283" spans="1:13">
      <c r="A283" s="920">
        <v>1.4</v>
      </c>
      <c r="B283" s="929">
        <v>1.0187999999999999</v>
      </c>
      <c r="C283" s="929">
        <v>1.0187999999999999</v>
      </c>
      <c r="D283" s="929">
        <v>1.0217000000000001</v>
      </c>
      <c r="E283" s="929">
        <v>1.0217000000000001</v>
      </c>
      <c r="F283" s="929">
        <v>1.0217000000000001</v>
      </c>
      <c r="G283" s="929">
        <v>0.94779999999999998</v>
      </c>
      <c r="H283" s="929">
        <v>0.94779999999999998</v>
      </c>
      <c r="I283" s="929">
        <v>0.8841</v>
      </c>
      <c r="J283" s="929">
        <v>0.8841</v>
      </c>
      <c r="K283" s="929">
        <v>0.8841</v>
      </c>
      <c r="L283" s="929">
        <v>0.8841</v>
      </c>
      <c r="M283" s="929">
        <v>0.8841</v>
      </c>
    </row>
    <row r="284" spans="1:13">
      <c r="A284" s="920">
        <v>1.5</v>
      </c>
      <c r="B284" s="929">
        <v>1</v>
      </c>
      <c r="C284" s="929">
        <v>1</v>
      </c>
      <c r="D284" s="929">
        <v>1</v>
      </c>
      <c r="E284" s="929">
        <v>1</v>
      </c>
      <c r="F284" s="929">
        <v>1</v>
      </c>
      <c r="G284" s="929">
        <v>0.92379999999999995</v>
      </c>
      <c r="H284" s="929">
        <v>0.92379999999999995</v>
      </c>
      <c r="I284" s="929">
        <v>0.8589</v>
      </c>
      <c r="J284" s="929">
        <v>0.8589</v>
      </c>
      <c r="K284" s="929">
        <v>0.8589</v>
      </c>
      <c r="L284" s="929">
        <v>0.8589</v>
      </c>
      <c r="M284" s="929">
        <v>0.8589</v>
      </c>
    </row>
    <row r="285" spans="1:13">
      <c r="A285" s="920">
        <v>1.6</v>
      </c>
      <c r="B285" s="929">
        <v>0.98229999999999995</v>
      </c>
      <c r="C285" s="929">
        <v>0.98229999999999995</v>
      </c>
      <c r="D285" s="929">
        <v>0.97950000000000004</v>
      </c>
      <c r="E285" s="929">
        <v>0.97950000000000004</v>
      </c>
      <c r="F285" s="929">
        <v>0.97950000000000004</v>
      </c>
      <c r="G285" s="929">
        <v>0.9012</v>
      </c>
      <c r="H285" s="929">
        <v>0.9012</v>
      </c>
      <c r="I285" s="929">
        <v>0.83509999999999995</v>
      </c>
      <c r="J285" s="929">
        <v>0.83509999999999995</v>
      </c>
      <c r="K285" s="929">
        <v>0.83509999999999995</v>
      </c>
      <c r="L285" s="929">
        <v>0.83509999999999995</v>
      </c>
      <c r="M285" s="929">
        <v>0.83509999999999995</v>
      </c>
    </row>
    <row r="286" spans="1:13">
      <c r="A286" s="920">
        <v>1.7</v>
      </c>
      <c r="B286" s="929">
        <v>0.96550000000000002</v>
      </c>
      <c r="C286" s="929">
        <v>0.96550000000000002</v>
      </c>
      <c r="D286" s="929">
        <v>0.96009999999999995</v>
      </c>
      <c r="E286" s="929">
        <v>0.96009999999999995</v>
      </c>
      <c r="F286" s="929">
        <v>0.96009999999999995</v>
      </c>
      <c r="G286" s="929">
        <v>0.87980000000000003</v>
      </c>
      <c r="H286" s="929">
        <v>0.87980000000000003</v>
      </c>
      <c r="I286" s="929">
        <v>0.81269999999999998</v>
      </c>
      <c r="J286" s="929">
        <v>0.81269999999999998</v>
      </c>
      <c r="K286" s="929">
        <v>0.81269999999999998</v>
      </c>
      <c r="L286" s="929">
        <v>0.81269999999999998</v>
      </c>
      <c r="M286" s="929">
        <v>0.81269999999999998</v>
      </c>
    </row>
    <row r="287" spans="1:13">
      <c r="A287" s="920">
        <v>1.8</v>
      </c>
      <c r="B287" s="929">
        <v>0.94969999999999999</v>
      </c>
      <c r="C287" s="929">
        <v>0.94969999999999999</v>
      </c>
      <c r="D287" s="929">
        <v>0.94189999999999996</v>
      </c>
      <c r="E287" s="929">
        <v>0.94189999999999996</v>
      </c>
      <c r="F287" s="929">
        <v>0.94189999999999996</v>
      </c>
      <c r="G287" s="929">
        <v>0.85960000000000003</v>
      </c>
      <c r="H287" s="929">
        <v>0.85960000000000003</v>
      </c>
      <c r="I287" s="929">
        <v>0.79149999999999998</v>
      </c>
      <c r="J287" s="929">
        <v>0.79149999999999998</v>
      </c>
      <c r="K287" s="929">
        <v>0.79149999999999998</v>
      </c>
      <c r="L287" s="929">
        <v>0.79149999999999998</v>
      </c>
      <c r="M287" s="929">
        <v>0.79149999999999998</v>
      </c>
    </row>
    <row r="288" spans="1:13">
      <c r="A288" s="920">
        <v>1.9</v>
      </c>
      <c r="B288" s="929">
        <v>0.93479999999999996</v>
      </c>
      <c r="C288" s="929">
        <v>0.93479999999999996</v>
      </c>
      <c r="D288" s="929">
        <v>0.92459999999999998</v>
      </c>
      <c r="E288" s="929">
        <v>0.92459999999999998</v>
      </c>
      <c r="F288" s="929">
        <v>0.92459999999999998</v>
      </c>
      <c r="G288" s="929">
        <v>0.84060000000000001</v>
      </c>
      <c r="H288" s="929">
        <v>0.84060000000000001</v>
      </c>
      <c r="I288" s="929">
        <v>0.77149999999999996</v>
      </c>
      <c r="J288" s="929">
        <v>0.77149999999999996</v>
      </c>
      <c r="K288" s="929">
        <v>0.77149999999999996</v>
      </c>
      <c r="L288" s="929">
        <v>0.77149999999999996</v>
      </c>
      <c r="M288" s="929">
        <v>0.77149999999999996</v>
      </c>
    </row>
    <row r="289" spans="1:13">
      <c r="A289" s="920">
        <v>2</v>
      </c>
      <c r="B289" s="929">
        <v>0.92079999999999995</v>
      </c>
      <c r="C289" s="929">
        <v>0.92079999999999995</v>
      </c>
      <c r="D289" s="929">
        <v>0.90839999999999999</v>
      </c>
      <c r="E289" s="929">
        <v>0.90839999999999999</v>
      </c>
      <c r="F289" s="929">
        <v>0.90839999999999999</v>
      </c>
      <c r="G289" s="929">
        <v>0.82269999999999999</v>
      </c>
      <c r="H289" s="929">
        <v>0.82269999999999999</v>
      </c>
      <c r="I289" s="929">
        <v>0.75270000000000004</v>
      </c>
      <c r="J289" s="929">
        <v>0.75270000000000004</v>
      </c>
      <c r="K289" s="929">
        <v>0.75270000000000004</v>
      </c>
      <c r="L289" s="929">
        <v>0.75270000000000004</v>
      </c>
      <c r="M289" s="929">
        <v>0.75270000000000004</v>
      </c>
    </row>
    <row r="290" spans="1:13">
      <c r="A290" s="920">
        <v>2.1</v>
      </c>
      <c r="B290" s="929">
        <v>0.90759999999999996</v>
      </c>
      <c r="C290" s="929">
        <v>0.90759999999999996</v>
      </c>
      <c r="D290" s="929">
        <v>0.89319999999999999</v>
      </c>
      <c r="E290" s="929">
        <v>0.89319999999999999</v>
      </c>
      <c r="F290" s="929">
        <v>0.89319999999999999</v>
      </c>
      <c r="G290" s="929">
        <v>0.80589999999999995</v>
      </c>
      <c r="H290" s="929">
        <v>0.80589999999999995</v>
      </c>
      <c r="I290" s="929">
        <v>0.73499999999999999</v>
      </c>
      <c r="J290" s="929">
        <v>0.73499999999999999</v>
      </c>
      <c r="K290" s="929">
        <v>0.73499999999999999</v>
      </c>
      <c r="L290" s="929">
        <v>0.73499999999999999</v>
      </c>
      <c r="M290" s="929">
        <v>0.73499999999999999</v>
      </c>
    </row>
    <row r="291" spans="1:13">
      <c r="A291" s="920">
        <v>2.2000000000000002</v>
      </c>
      <c r="B291" s="929">
        <v>0.8952</v>
      </c>
      <c r="C291" s="929">
        <v>0.8952</v>
      </c>
      <c r="D291" s="929">
        <v>0.87880000000000003</v>
      </c>
      <c r="E291" s="929">
        <v>0.87880000000000003</v>
      </c>
      <c r="F291" s="929">
        <v>0.87880000000000003</v>
      </c>
      <c r="G291" s="929">
        <v>0.79</v>
      </c>
      <c r="H291" s="929">
        <v>0.79</v>
      </c>
      <c r="I291" s="929">
        <v>0.71840000000000004</v>
      </c>
      <c r="J291" s="929">
        <v>0.71840000000000004</v>
      </c>
      <c r="K291" s="929">
        <v>0.71840000000000004</v>
      </c>
      <c r="L291" s="929">
        <v>0.71840000000000004</v>
      </c>
      <c r="M291" s="929">
        <v>0.71840000000000004</v>
      </c>
    </row>
    <row r="292" spans="1:13">
      <c r="A292" s="920">
        <v>2.2999999999999998</v>
      </c>
      <c r="B292" s="929">
        <v>0.88360000000000005</v>
      </c>
      <c r="C292" s="929">
        <v>0.88360000000000005</v>
      </c>
      <c r="D292" s="929">
        <v>0.86529999999999996</v>
      </c>
      <c r="E292" s="929">
        <v>0.86529999999999996</v>
      </c>
      <c r="F292" s="929">
        <v>0.86529999999999996</v>
      </c>
      <c r="G292" s="929">
        <v>0.77510000000000001</v>
      </c>
      <c r="H292" s="929">
        <v>0.77510000000000001</v>
      </c>
      <c r="I292" s="929">
        <v>0.70269999999999999</v>
      </c>
      <c r="J292" s="929">
        <v>0.70269999999999999</v>
      </c>
      <c r="K292" s="929">
        <v>0.70269999999999999</v>
      </c>
      <c r="L292" s="929">
        <v>0.70269999999999999</v>
      </c>
      <c r="M292" s="929">
        <v>0.70269999999999999</v>
      </c>
    </row>
    <row r="293" spans="1:13">
      <c r="A293" s="920">
        <v>2.4</v>
      </c>
      <c r="B293" s="929">
        <v>0.87260000000000004</v>
      </c>
      <c r="C293" s="929">
        <v>0.87260000000000004</v>
      </c>
      <c r="D293" s="929">
        <v>0.85260000000000002</v>
      </c>
      <c r="E293" s="929">
        <v>0.85260000000000002</v>
      </c>
      <c r="F293" s="929">
        <v>0.85260000000000002</v>
      </c>
      <c r="G293" s="929">
        <v>0.76100000000000001</v>
      </c>
      <c r="H293" s="929">
        <v>0.76100000000000001</v>
      </c>
      <c r="I293" s="929">
        <v>0.68799999999999994</v>
      </c>
      <c r="J293" s="929">
        <v>0.68799999999999994</v>
      </c>
      <c r="K293" s="929">
        <v>0.68799999999999994</v>
      </c>
      <c r="L293" s="929">
        <v>0.68799999999999994</v>
      </c>
      <c r="M293" s="929">
        <v>0.68799999999999994</v>
      </c>
    </row>
    <row r="294" spans="1:13">
      <c r="A294" s="920">
        <v>2.5</v>
      </c>
      <c r="B294" s="929">
        <v>0.86229999999999996</v>
      </c>
      <c r="C294" s="929">
        <v>0.86229999999999996</v>
      </c>
      <c r="D294" s="929">
        <v>0.8407</v>
      </c>
      <c r="E294" s="929">
        <v>0.8407</v>
      </c>
      <c r="F294" s="929">
        <v>0.8407</v>
      </c>
      <c r="G294" s="929">
        <v>0.74780000000000002</v>
      </c>
      <c r="H294" s="929">
        <v>0.74780000000000002</v>
      </c>
      <c r="I294" s="929">
        <v>0.67410000000000003</v>
      </c>
      <c r="J294" s="929">
        <v>0.67410000000000003</v>
      </c>
      <c r="K294" s="929">
        <v>0.67410000000000003</v>
      </c>
      <c r="L294" s="929">
        <v>0.67410000000000003</v>
      </c>
      <c r="M294" s="929">
        <v>0.67410000000000003</v>
      </c>
    </row>
    <row r="295" spans="1:13">
      <c r="A295" s="920">
        <v>2.6</v>
      </c>
      <c r="B295" s="929">
        <v>0.85270000000000001</v>
      </c>
      <c r="C295" s="929">
        <v>0.85270000000000001</v>
      </c>
      <c r="D295" s="929">
        <v>0.82950000000000002</v>
      </c>
      <c r="E295" s="929">
        <v>0.82950000000000002</v>
      </c>
      <c r="F295" s="929">
        <v>0.82950000000000002</v>
      </c>
      <c r="G295" s="929">
        <v>0.73540000000000005</v>
      </c>
      <c r="H295" s="929">
        <v>0.73540000000000005</v>
      </c>
      <c r="I295" s="929">
        <v>0.66110000000000002</v>
      </c>
      <c r="J295" s="929">
        <v>0.66110000000000002</v>
      </c>
      <c r="K295" s="929">
        <v>0.66110000000000002</v>
      </c>
      <c r="L295" s="929">
        <v>0.66110000000000002</v>
      </c>
      <c r="M295" s="929">
        <v>0.66110000000000002</v>
      </c>
    </row>
    <row r="296" spans="1:13">
      <c r="A296" s="936">
        <v>2.7</v>
      </c>
      <c r="B296" s="929">
        <v>0.84360000000000002</v>
      </c>
      <c r="C296" s="929">
        <v>0.84360000000000002</v>
      </c>
      <c r="D296" s="929">
        <v>0.81899999999999995</v>
      </c>
      <c r="E296" s="929">
        <v>0.81899999999999995</v>
      </c>
      <c r="F296" s="929">
        <v>0.81899999999999995</v>
      </c>
      <c r="G296" s="929">
        <v>0.7238</v>
      </c>
      <c r="H296" s="929">
        <v>0.7238</v>
      </c>
      <c r="I296" s="929">
        <v>0.64880000000000004</v>
      </c>
      <c r="J296" s="929">
        <v>0.64880000000000004</v>
      </c>
      <c r="K296" s="929">
        <v>0.64880000000000004</v>
      </c>
      <c r="L296" s="929">
        <v>0.64880000000000004</v>
      </c>
      <c r="M296" s="929">
        <v>0.64880000000000004</v>
      </c>
    </row>
    <row r="297" spans="1:13">
      <c r="A297" s="936">
        <v>2.8</v>
      </c>
      <c r="B297" s="929">
        <v>0.83509999999999995</v>
      </c>
      <c r="C297" s="929">
        <v>0.83509999999999995</v>
      </c>
      <c r="D297" s="929">
        <v>0.80910000000000004</v>
      </c>
      <c r="E297" s="929">
        <v>0.80910000000000004</v>
      </c>
      <c r="F297" s="929">
        <v>0.80910000000000004</v>
      </c>
      <c r="G297" s="929">
        <v>0.71289999999999998</v>
      </c>
      <c r="H297" s="929">
        <v>0.71289999999999998</v>
      </c>
      <c r="I297" s="929">
        <v>0.63739999999999997</v>
      </c>
      <c r="J297" s="929">
        <v>0.63739999999999997</v>
      </c>
      <c r="K297" s="929">
        <v>0.63739999999999997</v>
      </c>
      <c r="L297" s="929">
        <v>0.63739999999999997</v>
      </c>
      <c r="M297" s="929">
        <v>0.63739999999999997</v>
      </c>
    </row>
    <row r="298" spans="1:13">
      <c r="A298" s="936">
        <v>2.9</v>
      </c>
      <c r="B298" s="929">
        <v>0.82720000000000005</v>
      </c>
      <c r="C298" s="929">
        <v>0.82720000000000005</v>
      </c>
      <c r="D298" s="929">
        <v>0.79990000000000006</v>
      </c>
      <c r="E298" s="929">
        <v>0.79990000000000006</v>
      </c>
      <c r="F298" s="929">
        <v>0.79990000000000006</v>
      </c>
      <c r="G298" s="929">
        <v>0.7026</v>
      </c>
      <c r="H298" s="929">
        <v>0.7026</v>
      </c>
      <c r="I298" s="929">
        <v>0.62660000000000005</v>
      </c>
      <c r="J298" s="929">
        <v>0.62660000000000005</v>
      </c>
      <c r="K298" s="929">
        <v>0.62660000000000005</v>
      </c>
      <c r="L298" s="929">
        <v>0.62660000000000005</v>
      </c>
      <c r="M298" s="929">
        <v>0.62660000000000005</v>
      </c>
    </row>
    <row r="299" spans="1:13">
      <c r="A299" s="936">
        <v>3</v>
      </c>
      <c r="B299" s="929">
        <v>0.81969999999999998</v>
      </c>
      <c r="C299" s="929">
        <v>0.81969999999999998</v>
      </c>
      <c r="D299" s="929">
        <v>0.79120000000000001</v>
      </c>
      <c r="E299" s="929">
        <v>0.79120000000000001</v>
      </c>
      <c r="F299" s="929">
        <v>0.79120000000000001</v>
      </c>
      <c r="G299" s="929">
        <v>0.69299999999999995</v>
      </c>
      <c r="H299" s="929">
        <v>0.69299999999999995</v>
      </c>
      <c r="I299" s="929">
        <v>0.61650000000000005</v>
      </c>
      <c r="J299" s="929">
        <v>0.61650000000000005</v>
      </c>
      <c r="K299" s="929">
        <v>0.61650000000000005</v>
      </c>
      <c r="L299" s="929">
        <v>0.61650000000000005</v>
      </c>
      <c r="M299" s="929">
        <v>0.61650000000000005</v>
      </c>
    </row>
    <row r="300" spans="1:13">
      <c r="A300" s="936">
        <v>3.1</v>
      </c>
      <c r="B300" s="929">
        <v>0.81279999999999997</v>
      </c>
      <c r="C300" s="929">
        <v>0.81279999999999997</v>
      </c>
      <c r="D300" s="929">
        <v>0.78310000000000002</v>
      </c>
      <c r="E300" s="929">
        <v>0.78310000000000002</v>
      </c>
      <c r="F300" s="929">
        <v>0.78310000000000002</v>
      </c>
      <c r="G300" s="929">
        <v>0.68400000000000005</v>
      </c>
      <c r="H300" s="929">
        <v>0.68400000000000005</v>
      </c>
      <c r="I300" s="929">
        <v>0.60709999999999997</v>
      </c>
      <c r="J300" s="929">
        <v>0.60709999999999997</v>
      </c>
      <c r="K300" s="929">
        <v>0.60709999999999997</v>
      </c>
      <c r="L300" s="929">
        <v>0.60709999999999997</v>
      </c>
      <c r="M300" s="929">
        <v>0.60709999999999997</v>
      </c>
    </row>
    <row r="301" spans="1:13">
      <c r="A301" s="936">
        <v>3.2</v>
      </c>
      <c r="B301" s="929">
        <v>0.80620000000000003</v>
      </c>
      <c r="C301" s="929">
        <v>0.80620000000000003</v>
      </c>
      <c r="D301" s="929">
        <v>0.77549999999999997</v>
      </c>
      <c r="E301" s="929">
        <v>0.77549999999999997</v>
      </c>
      <c r="F301" s="929">
        <v>0.77549999999999997</v>
      </c>
      <c r="G301" s="929">
        <v>0.67559999999999998</v>
      </c>
      <c r="H301" s="929">
        <v>0.67559999999999998</v>
      </c>
      <c r="I301" s="929">
        <v>0.59809999999999997</v>
      </c>
      <c r="J301" s="929">
        <v>0.59809999999999997</v>
      </c>
      <c r="K301" s="929">
        <v>0.59809999999999997</v>
      </c>
      <c r="L301" s="929">
        <v>0.59809999999999997</v>
      </c>
      <c r="M301" s="929">
        <v>0.59809999999999997</v>
      </c>
    </row>
    <row r="302" spans="1:13">
      <c r="A302" s="936">
        <v>3.3</v>
      </c>
      <c r="B302" s="929">
        <v>0.80010000000000003</v>
      </c>
      <c r="C302" s="929">
        <v>0.80010000000000003</v>
      </c>
      <c r="D302" s="929">
        <v>0.76839999999999997</v>
      </c>
      <c r="E302" s="929">
        <v>0.76839999999999997</v>
      </c>
      <c r="F302" s="929">
        <v>0.76839999999999997</v>
      </c>
      <c r="G302" s="929">
        <v>0.66769999999999996</v>
      </c>
      <c r="H302" s="929">
        <v>0.66769999999999996</v>
      </c>
      <c r="I302" s="929">
        <v>0.58979999999999999</v>
      </c>
      <c r="J302" s="929">
        <v>0.58979999999999999</v>
      </c>
      <c r="K302" s="929">
        <v>0.58979999999999999</v>
      </c>
      <c r="L302" s="929">
        <v>0.58979999999999999</v>
      </c>
      <c r="M302" s="929">
        <v>0.58979999999999999</v>
      </c>
    </row>
    <row r="303" spans="1:13">
      <c r="A303" s="936">
        <v>3.4</v>
      </c>
      <c r="B303" s="929">
        <v>0.7944</v>
      </c>
      <c r="C303" s="929">
        <v>0.7944</v>
      </c>
      <c r="D303" s="929">
        <v>0.76170000000000004</v>
      </c>
      <c r="E303" s="929">
        <v>0.76170000000000004</v>
      </c>
      <c r="F303" s="929">
        <v>0.76170000000000004</v>
      </c>
      <c r="G303" s="929">
        <v>0.66020000000000001</v>
      </c>
      <c r="H303" s="929">
        <v>0.66020000000000001</v>
      </c>
      <c r="I303" s="929">
        <v>0.58209999999999995</v>
      </c>
      <c r="J303" s="929">
        <v>0.58209999999999995</v>
      </c>
      <c r="K303" s="929">
        <v>0.58209999999999995</v>
      </c>
      <c r="L303" s="929">
        <v>0.58209999999999995</v>
      </c>
      <c r="M303" s="929">
        <v>0.58209999999999995</v>
      </c>
    </row>
    <row r="304" spans="1:13">
      <c r="A304" s="936">
        <v>3.5</v>
      </c>
      <c r="B304" s="929">
        <v>0.78910000000000002</v>
      </c>
      <c r="C304" s="929">
        <v>0.78910000000000002</v>
      </c>
      <c r="D304" s="929">
        <v>0.75549999999999995</v>
      </c>
      <c r="E304" s="929">
        <v>0.75549999999999995</v>
      </c>
      <c r="F304" s="929">
        <v>0.75549999999999995</v>
      </c>
      <c r="G304" s="929">
        <v>0.65329999999999999</v>
      </c>
      <c r="H304" s="929">
        <v>0.65329999999999999</v>
      </c>
      <c r="I304" s="929">
        <v>0.57479999999999998</v>
      </c>
      <c r="J304" s="929">
        <v>0.57479999999999998</v>
      </c>
      <c r="K304" s="929">
        <v>0.57479999999999998</v>
      </c>
      <c r="L304" s="929">
        <v>0.57479999999999998</v>
      </c>
      <c r="M304" s="929">
        <v>0.57479999999999998</v>
      </c>
    </row>
    <row r="305" spans="1:13">
      <c r="A305" s="936">
        <v>3.6</v>
      </c>
      <c r="B305" s="929">
        <v>0.78410000000000002</v>
      </c>
      <c r="C305" s="929">
        <v>0.78410000000000002</v>
      </c>
      <c r="D305" s="929">
        <v>0.74960000000000004</v>
      </c>
      <c r="E305" s="929">
        <v>0.74960000000000004</v>
      </c>
      <c r="F305" s="929">
        <v>0.74960000000000004</v>
      </c>
      <c r="G305" s="929">
        <v>0.64680000000000004</v>
      </c>
      <c r="H305" s="929">
        <v>0.64680000000000004</v>
      </c>
      <c r="I305" s="929">
        <v>0.56789999999999996</v>
      </c>
      <c r="J305" s="929">
        <v>0.56789999999999996</v>
      </c>
      <c r="K305" s="929">
        <v>0.56789999999999996</v>
      </c>
      <c r="L305" s="929">
        <v>0.56789999999999996</v>
      </c>
      <c r="M305" s="929">
        <v>0.56789999999999996</v>
      </c>
    </row>
    <row r="306" spans="1:13">
      <c r="A306" s="936">
        <v>3.7</v>
      </c>
      <c r="B306" s="929">
        <v>0.77939999999999998</v>
      </c>
      <c r="C306" s="929">
        <v>0.77939999999999998</v>
      </c>
      <c r="D306" s="929">
        <v>0.74409999999999998</v>
      </c>
      <c r="E306" s="929">
        <v>0.74409999999999998</v>
      </c>
      <c r="F306" s="929">
        <v>0.74409999999999998</v>
      </c>
      <c r="G306" s="929">
        <v>0.64070000000000005</v>
      </c>
      <c r="H306" s="929">
        <v>0.64070000000000005</v>
      </c>
      <c r="I306" s="929">
        <v>0.5615</v>
      </c>
      <c r="J306" s="929">
        <v>0.5615</v>
      </c>
      <c r="K306" s="929">
        <v>0.5615</v>
      </c>
      <c r="L306" s="929">
        <v>0.5615</v>
      </c>
      <c r="M306" s="929">
        <v>0.5615</v>
      </c>
    </row>
    <row r="307" spans="1:13">
      <c r="A307" s="936">
        <v>3.8</v>
      </c>
      <c r="B307" s="929">
        <v>0.77500000000000002</v>
      </c>
      <c r="C307" s="929">
        <v>0.77500000000000002</v>
      </c>
      <c r="D307" s="929">
        <v>0.73899999999999999</v>
      </c>
      <c r="E307" s="929">
        <v>0.73899999999999999</v>
      </c>
      <c r="F307" s="929">
        <v>0.73899999999999999</v>
      </c>
      <c r="G307" s="929">
        <v>0.63490000000000002</v>
      </c>
      <c r="H307" s="929">
        <v>0.63490000000000002</v>
      </c>
      <c r="I307" s="929">
        <v>0.55549999999999999</v>
      </c>
      <c r="J307" s="929">
        <v>0.55549999999999999</v>
      </c>
      <c r="K307" s="929">
        <v>0.55549999999999999</v>
      </c>
      <c r="L307" s="929">
        <v>0.55549999999999999</v>
      </c>
      <c r="M307" s="929">
        <v>0.55549999999999999</v>
      </c>
    </row>
    <row r="308" spans="1:13">
      <c r="A308" s="920">
        <v>3.9</v>
      </c>
      <c r="B308" s="921">
        <v>0.77090000000000003</v>
      </c>
      <c r="C308" s="921">
        <v>0.77090000000000003</v>
      </c>
      <c r="D308" s="921">
        <v>0.73419999999999996</v>
      </c>
      <c r="E308" s="921">
        <v>0.73419999999999996</v>
      </c>
      <c r="F308" s="921">
        <v>0.73419999999999996</v>
      </c>
      <c r="G308" s="921">
        <v>0.62949999999999995</v>
      </c>
      <c r="H308" s="922">
        <v>0.62949999999999995</v>
      </c>
      <c r="I308" s="922">
        <v>0.54990000000000006</v>
      </c>
      <c r="J308" s="923">
        <v>0.54990000000000006</v>
      </c>
      <c r="K308" s="923">
        <v>0.54990000000000006</v>
      </c>
      <c r="L308" s="923">
        <v>0.54990000000000006</v>
      </c>
      <c r="M308" s="923">
        <v>0.54990000000000006</v>
      </c>
    </row>
    <row r="309" spans="1:13">
      <c r="A309" s="920">
        <v>4</v>
      </c>
      <c r="B309" s="929">
        <v>0.7671</v>
      </c>
      <c r="C309" s="929">
        <v>0.7671</v>
      </c>
      <c r="D309" s="929">
        <v>0.72970000000000002</v>
      </c>
      <c r="E309" s="929">
        <v>0.72970000000000002</v>
      </c>
      <c r="F309" s="929">
        <v>0.72970000000000002</v>
      </c>
      <c r="G309" s="929">
        <v>0.62450000000000006</v>
      </c>
      <c r="H309" s="929">
        <v>0.62450000000000006</v>
      </c>
      <c r="I309" s="929">
        <v>0.54449999999999998</v>
      </c>
      <c r="J309" s="929">
        <v>0.54449999999999998</v>
      </c>
      <c r="K309" s="929">
        <v>0.54449999999999998</v>
      </c>
      <c r="L309" s="929">
        <v>0.54449999999999998</v>
      </c>
      <c r="M309" s="929">
        <v>0.54449999999999998</v>
      </c>
    </row>
    <row r="310" spans="1:13">
      <c r="A310" s="920">
        <v>4.0999999999999996</v>
      </c>
      <c r="B310" s="929">
        <v>0.76349999999999996</v>
      </c>
      <c r="C310" s="929">
        <v>0.76349999999999996</v>
      </c>
      <c r="D310" s="929">
        <v>0.72540000000000004</v>
      </c>
      <c r="E310" s="929">
        <v>0.72540000000000004</v>
      </c>
      <c r="F310" s="929">
        <v>0.72540000000000004</v>
      </c>
      <c r="G310" s="929">
        <v>0.61970000000000003</v>
      </c>
      <c r="H310" s="929">
        <v>0.61970000000000003</v>
      </c>
      <c r="I310" s="929">
        <v>0.53959999999999997</v>
      </c>
      <c r="J310" s="929">
        <v>0.53959999999999997</v>
      </c>
      <c r="K310" s="929">
        <v>0.53959999999999997</v>
      </c>
      <c r="L310" s="929">
        <v>0.53959999999999997</v>
      </c>
      <c r="M310" s="929">
        <v>0.53959999999999997</v>
      </c>
    </row>
    <row r="311" spans="1:13">
      <c r="A311" s="920">
        <v>4.2</v>
      </c>
      <c r="B311" s="929">
        <v>0.7601</v>
      </c>
      <c r="C311" s="929">
        <v>0.7601</v>
      </c>
      <c r="D311" s="929">
        <v>0.72140000000000004</v>
      </c>
      <c r="E311" s="929">
        <v>0.72140000000000004</v>
      </c>
      <c r="F311" s="929">
        <v>0.72140000000000004</v>
      </c>
      <c r="G311" s="929">
        <v>0.61529999999999996</v>
      </c>
      <c r="H311" s="929">
        <v>0.61529999999999996</v>
      </c>
      <c r="I311" s="929">
        <v>0.53490000000000004</v>
      </c>
      <c r="J311" s="929">
        <v>0.53490000000000004</v>
      </c>
      <c r="K311" s="929">
        <v>0.53490000000000004</v>
      </c>
      <c r="L311" s="929">
        <v>0.53490000000000004</v>
      </c>
      <c r="M311" s="929">
        <v>0.53490000000000004</v>
      </c>
    </row>
    <row r="312" spans="1:13">
      <c r="A312" s="920">
        <v>4.3</v>
      </c>
      <c r="B312" s="929">
        <v>0.75700000000000001</v>
      </c>
      <c r="C312" s="929">
        <v>0.75700000000000001</v>
      </c>
      <c r="D312" s="929">
        <v>0.7177</v>
      </c>
      <c r="E312" s="929">
        <v>0.7177</v>
      </c>
      <c r="F312" s="929">
        <v>0.7177</v>
      </c>
      <c r="G312" s="929">
        <v>0.61109999999999998</v>
      </c>
      <c r="H312" s="929">
        <v>0.61109999999999998</v>
      </c>
      <c r="I312" s="929">
        <v>0.53049999999999997</v>
      </c>
      <c r="J312" s="929">
        <v>0.53049999999999997</v>
      </c>
      <c r="K312" s="929">
        <v>0.53049999999999997</v>
      </c>
      <c r="L312" s="929">
        <v>0.53049999999999997</v>
      </c>
      <c r="M312" s="929">
        <v>0.53049999999999997</v>
      </c>
    </row>
    <row r="313" spans="1:13">
      <c r="A313" s="920">
        <v>4.4000000000000004</v>
      </c>
      <c r="B313" s="929">
        <v>0.754</v>
      </c>
      <c r="C313" s="929">
        <v>0.754</v>
      </c>
      <c r="D313" s="929">
        <v>0.71409999999999996</v>
      </c>
      <c r="E313" s="929">
        <v>0.71409999999999996</v>
      </c>
      <c r="F313" s="929">
        <v>0.71409999999999996</v>
      </c>
      <c r="G313" s="929">
        <v>0.60709999999999997</v>
      </c>
      <c r="H313" s="929">
        <v>0.60709999999999997</v>
      </c>
      <c r="I313" s="929">
        <v>0.52639999999999998</v>
      </c>
      <c r="J313" s="929">
        <v>0.52639999999999998</v>
      </c>
      <c r="K313" s="929">
        <v>0.52639999999999998</v>
      </c>
      <c r="L313" s="929">
        <v>0.52639999999999998</v>
      </c>
      <c r="M313" s="929">
        <v>0.52639999999999998</v>
      </c>
    </row>
    <row r="314" spans="1:13">
      <c r="A314" s="920">
        <v>4.5</v>
      </c>
      <c r="B314" s="929">
        <v>0.75119999999999998</v>
      </c>
      <c r="C314" s="929">
        <v>0.75119999999999998</v>
      </c>
      <c r="D314" s="929">
        <v>0.71079999999999999</v>
      </c>
      <c r="E314" s="929">
        <v>0.71079999999999999</v>
      </c>
      <c r="F314" s="929">
        <v>0.71079999999999999</v>
      </c>
      <c r="G314" s="929">
        <v>0.60329999999999995</v>
      </c>
      <c r="H314" s="929">
        <v>0.60329999999999995</v>
      </c>
      <c r="I314" s="929">
        <v>0.52249999999999996</v>
      </c>
      <c r="J314" s="929">
        <v>0.52249999999999996</v>
      </c>
      <c r="K314" s="929">
        <v>0.52249999999999996</v>
      </c>
      <c r="L314" s="929">
        <v>0.52249999999999996</v>
      </c>
      <c r="M314" s="929">
        <v>0.52249999999999996</v>
      </c>
    </row>
    <row r="315" spans="1:13">
      <c r="A315" s="920">
        <v>4.5999999999999996</v>
      </c>
      <c r="B315" s="929">
        <v>0.74860000000000004</v>
      </c>
      <c r="C315" s="929">
        <v>0.74860000000000004</v>
      </c>
      <c r="D315" s="929">
        <v>0.70760000000000001</v>
      </c>
      <c r="E315" s="929">
        <v>0.70760000000000001</v>
      </c>
      <c r="F315" s="929">
        <v>0.70760000000000001</v>
      </c>
      <c r="G315" s="929">
        <v>0.59970000000000001</v>
      </c>
      <c r="H315" s="929">
        <v>0.59970000000000001</v>
      </c>
      <c r="I315" s="929">
        <v>0.51890000000000003</v>
      </c>
      <c r="J315" s="929">
        <v>0.51890000000000003</v>
      </c>
      <c r="K315" s="929">
        <v>0.51890000000000003</v>
      </c>
      <c r="L315" s="929">
        <v>0.51890000000000003</v>
      </c>
      <c r="M315" s="929">
        <v>0.51890000000000003</v>
      </c>
    </row>
    <row r="316" spans="1:13">
      <c r="A316" s="920">
        <v>4.7</v>
      </c>
      <c r="B316" s="929">
        <v>0.74609999999999999</v>
      </c>
      <c r="C316" s="929">
        <v>0.74609999999999999</v>
      </c>
      <c r="D316" s="929">
        <v>0.7046</v>
      </c>
      <c r="E316" s="929">
        <v>0.7046</v>
      </c>
      <c r="F316" s="929">
        <v>0.7046</v>
      </c>
      <c r="G316" s="929">
        <v>0.59630000000000005</v>
      </c>
      <c r="H316" s="929">
        <v>0.59630000000000005</v>
      </c>
      <c r="I316" s="929">
        <v>0.51529999999999998</v>
      </c>
      <c r="J316" s="929">
        <v>0.51529999999999998</v>
      </c>
      <c r="K316" s="929">
        <v>0.51529999999999998</v>
      </c>
      <c r="L316" s="929">
        <v>0.51529999999999998</v>
      </c>
      <c r="M316" s="929">
        <v>0.51529999999999998</v>
      </c>
    </row>
    <row r="317" spans="1:13">
      <c r="A317" s="920">
        <v>4.8</v>
      </c>
      <c r="B317" s="929">
        <v>0.74380000000000002</v>
      </c>
      <c r="C317" s="929">
        <v>0.74380000000000002</v>
      </c>
      <c r="D317" s="929">
        <v>0.70169999999999999</v>
      </c>
      <c r="E317" s="929">
        <v>0.70169999999999999</v>
      </c>
      <c r="F317" s="929">
        <v>0.70169999999999999</v>
      </c>
      <c r="G317" s="929">
        <v>0.59309999999999996</v>
      </c>
      <c r="H317" s="929">
        <v>0.59309999999999996</v>
      </c>
      <c r="I317" s="929">
        <v>0.5121</v>
      </c>
      <c r="J317" s="929">
        <v>0.5121</v>
      </c>
      <c r="K317" s="929">
        <v>0.5121</v>
      </c>
      <c r="L317" s="929">
        <v>0.5121</v>
      </c>
      <c r="M317" s="929">
        <v>0.5121</v>
      </c>
    </row>
    <row r="318" spans="1:13">
      <c r="A318" s="920">
        <v>4.9000000000000004</v>
      </c>
      <c r="B318" s="929">
        <v>0.74160000000000004</v>
      </c>
      <c r="C318" s="929">
        <v>0.74160000000000004</v>
      </c>
      <c r="D318" s="929">
        <v>0.69889999999999997</v>
      </c>
      <c r="E318" s="929">
        <v>0.69889999999999997</v>
      </c>
      <c r="F318" s="929">
        <v>0.69889999999999997</v>
      </c>
      <c r="G318" s="929">
        <v>0.59009999999999996</v>
      </c>
      <c r="H318" s="929">
        <v>0.59009999999999996</v>
      </c>
      <c r="I318" s="929">
        <v>0.50900000000000001</v>
      </c>
      <c r="J318" s="929">
        <v>0.50900000000000001</v>
      </c>
      <c r="K318" s="929">
        <v>0.50900000000000001</v>
      </c>
      <c r="L318" s="929">
        <v>0.50900000000000001</v>
      </c>
      <c r="M318" s="929">
        <v>0.50900000000000001</v>
      </c>
    </row>
    <row r="319" spans="1:13">
      <c r="A319" s="920">
        <v>5</v>
      </c>
      <c r="B319" s="929">
        <v>0.73950000000000005</v>
      </c>
      <c r="C319" s="929">
        <v>0.73950000000000005</v>
      </c>
      <c r="D319" s="929">
        <v>0.69620000000000004</v>
      </c>
      <c r="E319" s="929">
        <v>0.69620000000000004</v>
      </c>
      <c r="F319" s="929">
        <v>0.69620000000000004</v>
      </c>
      <c r="G319" s="929">
        <v>0.58720000000000006</v>
      </c>
      <c r="H319" s="929">
        <v>0.58720000000000006</v>
      </c>
      <c r="I319" s="929">
        <v>0.50609999999999999</v>
      </c>
      <c r="J319" s="929">
        <v>0.50609999999999999</v>
      </c>
      <c r="K319" s="929">
        <v>0.50609999999999999</v>
      </c>
      <c r="L319" s="929">
        <v>0.50609999999999999</v>
      </c>
      <c r="M319" s="929">
        <v>0.50609999999999999</v>
      </c>
    </row>
    <row r="320" spans="1:13">
      <c r="A320" s="920">
        <v>5.0999999999999996</v>
      </c>
      <c r="B320" s="929">
        <v>0.73750000000000004</v>
      </c>
      <c r="C320" s="929">
        <v>0.73750000000000004</v>
      </c>
      <c r="D320" s="929">
        <v>0.69359999999999999</v>
      </c>
      <c r="E320" s="929">
        <v>0.69359999999999999</v>
      </c>
      <c r="F320" s="929">
        <v>0.69359999999999999</v>
      </c>
      <c r="G320" s="929">
        <v>0.58440000000000003</v>
      </c>
      <c r="H320" s="929">
        <v>0.58440000000000003</v>
      </c>
      <c r="I320" s="929">
        <v>0.50329999999999997</v>
      </c>
      <c r="J320" s="929">
        <v>0.50329999999999997</v>
      </c>
      <c r="K320" s="929">
        <v>0.50329999999999997</v>
      </c>
      <c r="L320" s="929">
        <v>0.50329999999999997</v>
      </c>
      <c r="M320" s="929">
        <v>0.50329999999999997</v>
      </c>
    </row>
    <row r="321" spans="1:13">
      <c r="A321" s="920">
        <v>5.2</v>
      </c>
      <c r="B321" s="929">
        <v>0.73560000000000003</v>
      </c>
      <c r="C321" s="929">
        <v>0.73560000000000003</v>
      </c>
      <c r="D321" s="929">
        <v>0.69110000000000005</v>
      </c>
      <c r="E321" s="929">
        <v>0.69110000000000005</v>
      </c>
      <c r="F321" s="929">
        <v>0.69110000000000005</v>
      </c>
      <c r="G321" s="929">
        <v>0.58169999999999999</v>
      </c>
      <c r="H321" s="929">
        <v>0.58169999999999999</v>
      </c>
      <c r="I321" s="929">
        <v>0.50060000000000004</v>
      </c>
      <c r="J321" s="929">
        <v>0.50060000000000004</v>
      </c>
      <c r="K321" s="929">
        <v>0.50060000000000004</v>
      </c>
      <c r="L321" s="929">
        <v>0.50060000000000004</v>
      </c>
      <c r="M321" s="929">
        <v>0.50060000000000004</v>
      </c>
    </row>
    <row r="322" spans="1:13">
      <c r="A322" s="920">
        <v>5.3</v>
      </c>
      <c r="B322" s="929">
        <v>0.73380000000000001</v>
      </c>
      <c r="C322" s="929">
        <v>0.73380000000000001</v>
      </c>
      <c r="D322" s="929">
        <v>0.68869999999999998</v>
      </c>
      <c r="E322" s="929">
        <v>0.68869999999999998</v>
      </c>
      <c r="F322" s="929">
        <v>0.68869999999999998</v>
      </c>
      <c r="G322" s="929">
        <v>0.57909999999999995</v>
      </c>
      <c r="H322" s="929">
        <v>0.57909999999999995</v>
      </c>
      <c r="I322" s="929">
        <v>0.49809999999999999</v>
      </c>
      <c r="J322" s="929">
        <v>0.49809999999999999</v>
      </c>
      <c r="K322" s="929">
        <v>0.49809999999999999</v>
      </c>
      <c r="L322" s="929">
        <v>0.49809999999999999</v>
      </c>
      <c r="M322" s="929">
        <v>0.49809999999999999</v>
      </c>
    </row>
    <row r="323" spans="1:13">
      <c r="A323" s="920">
        <v>5.4</v>
      </c>
      <c r="B323" s="929">
        <v>0.73199999999999998</v>
      </c>
      <c r="C323" s="929">
        <v>0.73199999999999998</v>
      </c>
      <c r="D323" s="929">
        <v>0.68640000000000001</v>
      </c>
      <c r="E323" s="929">
        <v>0.68640000000000001</v>
      </c>
      <c r="F323" s="929">
        <v>0.68640000000000001</v>
      </c>
      <c r="G323" s="929">
        <v>0.57650000000000001</v>
      </c>
      <c r="H323" s="929">
        <v>0.57650000000000001</v>
      </c>
      <c r="I323" s="929">
        <v>0.49559999999999998</v>
      </c>
      <c r="J323" s="929">
        <v>0.49559999999999998</v>
      </c>
      <c r="K323" s="929">
        <v>0.49559999999999998</v>
      </c>
      <c r="L323" s="929">
        <v>0.49559999999999998</v>
      </c>
      <c r="M323" s="929">
        <v>0.49559999999999998</v>
      </c>
    </row>
    <row r="324" spans="1:13">
      <c r="A324" s="920">
        <v>5.5</v>
      </c>
      <c r="B324" s="929">
        <v>0.73009999999999997</v>
      </c>
      <c r="C324" s="929">
        <v>0.73009999999999997</v>
      </c>
      <c r="D324" s="929">
        <v>0.68420000000000003</v>
      </c>
      <c r="E324" s="929">
        <v>0.68420000000000003</v>
      </c>
      <c r="F324" s="929">
        <v>0.68420000000000003</v>
      </c>
      <c r="G324" s="929">
        <v>0.57399999999999995</v>
      </c>
      <c r="H324" s="929">
        <v>0.57399999999999995</v>
      </c>
      <c r="I324" s="929">
        <v>0.49320000000000003</v>
      </c>
      <c r="J324" s="929">
        <v>0.49320000000000003</v>
      </c>
      <c r="K324" s="929">
        <v>0.49320000000000003</v>
      </c>
      <c r="L324" s="929">
        <v>0.49320000000000003</v>
      </c>
      <c r="M324" s="929">
        <v>0.49320000000000003</v>
      </c>
    </row>
    <row r="325" spans="1:13">
      <c r="A325" s="920">
        <v>5.6</v>
      </c>
      <c r="B325" s="929">
        <v>0.72819999999999996</v>
      </c>
      <c r="C325" s="929">
        <v>0.72819999999999996</v>
      </c>
      <c r="D325" s="929">
        <v>0.68200000000000005</v>
      </c>
      <c r="E325" s="929">
        <v>0.68200000000000005</v>
      </c>
      <c r="F325" s="929">
        <v>0.68200000000000005</v>
      </c>
      <c r="G325" s="929">
        <v>0.57150000000000001</v>
      </c>
      <c r="H325" s="929">
        <v>0.57150000000000001</v>
      </c>
      <c r="I325" s="929">
        <v>0.49080000000000001</v>
      </c>
      <c r="J325" s="929">
        <v>0.49080000000000001</v>
      </c>
      <c r="K325" s="929">
        <v>0.49080000000000001</v>
      </c>
      <c r="L325" s="929">
        <v>0.49080000000000001</v>
      </c>
      <c r="M325" s="929">
        <v>0.49080000000000001</v>
      </c>
    </row>
    <row r="326" spans="1:13">
      <c r="A326" s="920">
        <v>5.7</v>
      </c>
      <c r="B326" s="929">
        <v>0.72640000000000005</v>
      </c>
      <c r="C326" s="929">
        <v>0.72640000000000005</v>
      </c>
      <c r="D326" s="929">
        <v>0.67989999999999995</v>
      </c>
      <c r="E326" s="929">
        <v>0.67989999999999995</v>
      </c>
      <c r="F326" s="929">
        <v>0.67989999999999995</v>
      </c>
      <c r="G326" s="929">
        <v>0.56899999999999995</v>
      </c>
      <c r="H326" s="929">
        <v>0.56899999999999995</v>
      </c>
      <c r="I326" s="929">
        <v>0.4884</v>
      </c>
      <c r="J326" s="929">
        <v>0.4884</v>
      </c>
      <c r="K326" s="929">
        <v>0.4884</v>
      </c>
      <c r="L326" s="929">
        <v>0.4884</v>
      </c>
      <c r="M326" s="929">
        <v>0.4884</v>
      </c>
    </row>
    <row r="327" spans="1:13">
      <c r="A327" s="920">
        <v>5.8</v>
      </c>
      <c r="B327" s="929">
        <v>0.72460000000000002</v>
      </c>
      <c r="C327" s="929">
        <v>0.72460000000000002</v>
      </c>
      <c r="D327" s="929">
        <v>0.67779999999999996</v>
      </c>
      <c r="E327" s="929">
        <v>0.67779999999999996</v>
      </c>
      <c r="F327" s="929">
        <v>0.67779999999999996</v>
      </c>
      <c r="G327" s="929">
        <v>0.56659999999999999</v>
      </c>
      <c r="H327" s="929">
        <v>0.56659999999999999</v>
      </c>
      <c r="I327" s="929">
        <v>0.48609999999999998</v>
      </c>
      <c r="J327" s="929">
        <v>0.48609999999999998</v>
      </c>
      <c r="K327" s="929">
        <v>0.48609999999999998</v>
      </c>
      <c r="L327" s="929">
        <v>0.48609999999999998</v>
      </c>
      <c r="M327" s="929">
        <v>0.48609999999999998</v>
      </c>
    </row>
    <row r="328" spans="1:13">
      <c r="A328" s="920">
        <v>5.9</v>
      </c>
      <c r="B328" s="929">
        <v>0.7228</v>
      </c>
      <c r="C328" s="929">
        <v>0.7228</v>
      </c>
      <c r="D328" s="929">
        <v>0.67569999999999997</v>
      </c>
      <c r="E328" s="929">
        <v>0.67569999999999997</v>
      </c>
      <c r="F328" s="929">
        <v>0.67569999999999997</v>
      </c>
      <c r="G328" s="929">
        <v>0.56420000000000003</v>
      </c>
      <c r="H328" s="929">
        <v>0.56420000000000003</v>
      </c>
      <c r="I328" s="929">
        <v>0.48380000000000001</v>
      </c>
      <c r="J328" s="929">
        <v>0.48380000000000001</v>
      </c>
      <c r="K328" s="929">
        <v>0.48380000000000001</v>
      </c>
      <c r="L328" s="929">
        <v>0.48380000000000001</v>
      </c>
      <c r="M328" s="929">
        <v>0.48380000000000001</v>
      </c>
    </row>
    <row r="329" spans="1:13">
      <c r="A329" s="936">
        <v>6</v>
      </c>
      <c r="B329" s="929">
        <v>0.72099999999999997</v>
      </c>
      <c r="C329" s="929">
        <v>0.72099999999999997</v>
      </c>
      <c r="D329" s="929">
        <v>0.67359999999999998</v>
      </c>
      <c r="E329" s="929">
        <v>0.67359999999999998</v>
      </c>
      <c r="F329" s="929">
        <v>0.67359999999999998</v>
      </c>
      <c r="G329" s="929">
        <v>0.56179999999999997</v>
      </c>
      <c r="H329" s="929">
        <v>0.56179999999999997</v>
      </c>
      <c r="I329" s="929">
        <v>0.48159999999999997</v>
      </c>
      <c r="J329" s="929">
        <v>0.48159999999999997</v>
      </c>
      <c r="K329" s="929">
        <v>0.48159999999999997</v>
      </c>
      <c r="L329" s="929">
        <v>0.48159999999999997</v>
      </c>
      <c r="M329" s="929">
        <v>0.48159999999999997</v>
      </c>
    </row>
    <row r="330" spans="1:13">
      <c r="A330" s="936">
        <v>6.1</v>
      </c>
      <c r="B330" s="929">
        <v>0.71930000000000005</v>
      </c>
      <c r="C330" s="929">
        <v>0.71930000000000005</v>
      </c>
      <c r="D330" s="929">
        <v>0.67159999999999997</v>
      </c>
      <c r="E330" s="929">
        <v>0.67159999999999997</v>
      </c>
      <c r="F330" s="929">
        <v>0.67159999999999997</v>
      </c>
      <c r="G330" s="929">
        <v>0.55940000000000001</v>
      </c>
      <c r="H330" s="929">
        <v>0.55940000000000001</v>
      </c>
      <c r="I330" s="929">
        <v>0.4793</v>
      </c>
      <c r="J330" s="929">
        <v>0.4793</v>
      </c>
      <c r="K330" s="929">
        <v>0.4793</v>
      </c>
      <c r="L330" s="929">
        <v>0.4793</v>
      </c>
      <c r="M330" s="929">
        <v>0.4793</v>
      </c>
    </row>
    <row r="331" spans="1:13">
      <c r="A331" s="936">
        <v>6.2</v>
      </c>
      <c r="B331" s="929">
        <v>0.71760000000000002</v>
      </c>
      <c r="C331" s="929">
        <v>0.71760000000000002</v>
      </c>
      <c r="D331" s="929">
        <v>0.66959999999999997</v>
      </c>
      <c r="E331" s="929">
        <v>0.66959999999999997</v>
      </c>
      <c r="F331" s="929">
        <v>0.66959999999999997</v>
      </c>
      <c r="G331" s="929">
        <v>0.55710000000000004</v>
      </c>
      <c r="H331" s="929">
        <v>0.55710000000000004</v>
      </c>
      <c r="I331" s="929">
        <v>0.47710000000000002</v>
      </c>
      <c r="J331" s="929">
        <v>0.47710000000000002</v>
      </c>
      <c r="K331" s="929">
        <v>0.47710000000000002</v>
      </c>
      <c r="L331" s="929">
        <v>0.47710000000000002</v>
      </c>
      <c r="M331" s="929">
        <v>0.47710000000000002</v>
      </c>
    </row>
    <row r="332" spans="1:13">
      <c r="A332" s="936">
        <v>6.3</v>
      </c>
      <c r="B332" s="929">
        <v>0.71589999999999998</v>
      </c>
      <c r="C332" s="929">
        <v>0.71589999999999998</v>
      </c>
      <c r="D332" s="929">
        <v>0.66759999999999997</v>
      </c>
      <c r="E332" s="929">
        <v>0.66759999999999997</v>
      </c>
      <c r="F332" s="929">
        <v>0.66759999999999997</v>
      </c>
      <c r="G332" s="929">
        <v>0.55479999999999996</v>
      </c>
      <c r="H332" s="929">
        <v>0.55479999999999996</v>
      </c>
      <c r="I332" s="929">
        <v>0.47489999999999999</v>
      </c>
      <c r="J332" s="929">
        <v>0.47489999999999999</v>
      </c>
      <c r="K332" s="929">
        <v>0.47489999999999999</v>
      </c>
      <c r="L332" s="929">
        <v>0.47489999999999999</v>
      </c>
      <c r="M332" s="929">
        <v>0.47489999999999999</v>
      </c>
    </row>
    <row r="333" spans="1:13">
      <c r="A333" s="936">
        <v>6.4</v>
      </c>
      <c r="B333" s="929">
        <v>0.71419999999999995</v>
      </c>
      <c r="C333" s="929">
        <v>0.71419999999999995</v>
      </c>
      <c r="D333" s="929">
        <v>0.66559999999999997</v>
      </c>
      <c r="E333" s="929">
        <v>0.66559999999999997</v>
      </c>
      <c r="F333" s="929">
        <v>0.66559999999999997</v>
      </c>
      <c r="G333" s="929">
        <v>0.55249999999999999</v>
      </c>
      <c r="H333" s="929">
        <v>0.55249999999999999</v>
      </c>
      <c r="I333" s="929">
        <v>0.47270000000000001</v>
      </c>
      <c r="J333" s="929">
        <v>0.47270000000000001</v>
      </c>
      <c r="K333" s="929">
        <v>0.47270000000000001</v>
      </c>
      <c r="L333" s="929">
        <v>0.47270000000000001</v>
      </c>
      <c r="M333" s="929">
        <v>0.47270000000000001</v>
      </c>
    </row>
    <row r="334" spans="1:13">
      <c r="A334" s="936">
        <v>6.5</v>
      </c>
      <c r="B334" s="929">
        <v>0.71250000000000002</v>
      </c>
      <c r="C334" s="929">
        <v>0.71250000000000002</v>
      </c>
      <c r="D334" s="929">
        <v>0.66359999999999997</v>
      </c>
      <c r="E334" s="929">
        <v>0.66359999999999997</v>
      </c>
      <c r="F334" s="929">
        <v>0.66359999999999997</v>
      </c>
      <c r="G334" s="929">
        <v>0.55020000000000002</v>
      </c>
      <c r="H334" s="929">
        <v>0.55020000000000002</v>
      </c>
      <c r="I334" s="929">
        <v>0.47060000000000002</v>
      </c>
      <c r="J334" s="929">
        <v>0.47060000000000002</v>
      </c>
      <c r="K334" s="929">
        <v>0.47060000000000002</v>
      </c>
      <c r="L334" s="929">
        <v>0.47060000000000002</v>
      </c>
      <c r="M334" s="929">
        <v>0.47060000000000002</v>
      </c>
    </row>
    <row r="335" spans="1:13">
      <c r="A335" s="936">
        <v>6.6</v>
      </c>
      <c r="B335" s="929">
        <v>0.71089999999999998</v>
      </c>
      <c r="C335" s="929">
        <v>0.71089999999999998</v>
      </c>
      <c r="D335" s="929">
        <v>0.66159999999999997</v>
      </c>
      <c r="E335" s="929">
        <v>0.66159999999999997</v>
      </c>
      <c r="F335" s="929">
        <v>0.66159999999999997</v>
      </c>
      <c r="G335" s="929">
        <v>0.54800000000000004</v>
      </c>
      <c r="H335" s="929">
        <v>0.54800000000000004</v>
      </c>
      <c r="I335" s="929">
        <v>0.46839999999999998</v>
      </c>
      <c r="J335" s="929">
        <v>0.46839999999999998</v>
      </c>
      <c r="K335" s="929">
        <v>0.46839999999999998</v>
      </c>
      <c r="L335" s="929">
        <v>0.46839999999999998</v>
      </c>
      <c r="M335" s="929">
        <v>0.46839999999999998</v>
      </c>
    </row>
    <row r="336" spans="1:13">
      <c r="A336" s="936">
        <v>6.7</v>
      </c>
      <c r="B336" s="929">
        <v>0.70930000000000004</v>
      </c>
      <c r="C336" s="929">
        <v>0.70930000000000004</v>
      </c>
      <c r="D336" s="929">
        <v>0.65969999999999995</v>
      </c>
      <c r="E336" s="929">
        <v>0.65969999999999995</v>
      </c>
      <c r="F336" s="929">
        <v>0.65969999999999995</v>
      </c>
      <c r="G336" s="929">
        <v>0.54579999999999995</v>
      </c>
      <c r="H336" s="929">
        <v>0.54579999999999995</v>
      </c>
      <c r="I336" s="929">
        <v>0.46629999999999999</v>
      </c>
      <c r="J336" s="929">
        <v>0.46629999999999999</v>
      </c>
      <c r="K336" s="929">
        <v>0.46629999999999999</v>
      </c>
      <c r="L336" s="929">
        <v>0.46629999999999999</v>
      </c>
      <c r="M336" s="929">
        <v>0.46629999999999999</v>
      </c>
    </row>
    <row r="337" spans="1:13">
      <c r="A337" s="936">
        <v>6.8</v>
      </c>
      <c r="B337" s="929">
        <v>0.7077</v>
      </c>
      <c r="C337" s="929">
        <v>0.7077</v>
      </c>
      <c r="D337" s="929">
        <v>0.65780000000000005</v>
      </c>
      <c r="E337" s="929">
        <v>0.65780000000000005</v>
      </c>
      <c r="F337" s="929">
        <v>0.65780000000000005</v>
      </c>
      <c r="G337" s="929">
        <v>0.54359999999999997</v>
      </c>
      <c r="H337" s="929">
        <v>0.54359999999999997</v>
      </c>
      <c r="I337" s="929">
        <v>0.46410000000000001</v>
      </c>
      <c r="J337" s="929">
        <v>0.46410000000000001</v>
      </c>
      <c r="K337" s="929">
        <v>0.46410000000000001</v>
      </c>
      <c r="L337" s="929">
        <v>0.46410000000000001</v>
      </c>
      <c r="M337" s="929">
        <v>0.46410000000000001</v>
      </c>
    </row>
    <row r="338" spans="1:13">
      <c r="A338" s="936">
        <v>6.9</v>
      </c>
      <c r="B338" s="929">
        <v>0.70609999999999995</v>
      </c>
      <c r="C338" s="929">
        <v>0.70609999999999995</v>
      </c>
      <c r="D338" s="929">
        <v>0.65590000000000004</v>
      </c>
      <c r="E338" s="929">
        <v>0.65590000000000004</v>
      </c>
      <c r="F338" s="929">
        <v>0.65590000000000004</v>
      </c>
      <c r="G338" s="929">
        <v>0.54139999999999999</v>
      </c>
      <c r="H338" s="929">
        <v>0.54139999999999999</v>
      </c>
      <c r="I338" s="929">
        <v>0.46200000000000002</v>
      </c>
      <c r="J338" s="929">
        <v>0.46200000000000002</v>
      </c>
      <c r="K338" s="929">
        <v>0.46200000000000002</v>
      </c>
      <c r="L338" s="929">
        <v>0.46200000000000002</v>
      </c>
      <c r="M338" s="929">
        <v>0.46200000000000002</v>
      </c>
    </row>
    <row r="339" spans="1:13">
      <c r="A339" s="936">
        <v>7</v>
      </c>
      <c r="B339" s="929">
        <v>0.70450000000000002</v>
      </c>
      <c r="C339" s="929">
        <v>0.70450000000000002</v>
      </c>
      <c r="D339" s="929">
        <v>0.65400000000000003</v>
      </c>
      <c r="E339" s="929">
        <v>0.65400000000000003</v>
      </c>
      <c r="F339" s="929">
        <v>0.65400000000000003</v>
      </c>
      <c r="G339" s="929">
        <v>0.53920000000000001</v>
      </c>
      <c r="H339" s="929">
        <v>0.53920000000000001</v>
      </c>
      <c r="I339" s="929">
        <v>0.45979999999999999</v>
      </c>
      <c r="J339" s="929">
        <v>0.45979999999999999</v>
      </c>
      <c r="K339" s="929">
        <v>0.45979999999999999</v>
      </c>
      <c r="L339" s="929">
        <v>0.45979999999999999</v>
      </c>
      <c r="M339" s="929">
        <v>0.45979999999999999</v>
      </c>
    </row>
    <row r="340" spans="1:13">
      <c r="A340" s="936">
        <v>7.1</v>
      </c>
      <c r="B340" s="929">
        <v>0.70289999999999997</v>
      </c>
      <c r="C340" s="929">
        <v>0.70289999999999997</v>
      </c>
      <c r="D340" s="929">
        <v>0.65210000000000001</v>
      </c>
      <c r="E340" s="929">
        <v>0.65210000000000001</v>
      </c>
      <c r="F340" s="929">
        <v>0.65210000000000001</v>
      </c>
      <c r="G340" s="929">
        <v>0.53710000000000002</v>
      </c>
      <c r="H340" s="929">
        <v>0.53710000000000002</v>
      </c>
      <c r="I340" s="929">
        <v>0.45779999999999998</v>
      </c>
      <c r="J340" s="929">
        <v>0.45779999999999998</v>
      </c>
      <c r="K340" s="929">
        <v>0.45779999999999998</v>
      </c>
      <c r="L340" s="929">
        <v>0.45779999999999998</v>
      </c>
      <c r="M340" s="929">
        <v>0.45779999999999998</v>
      </c>
    </row>
    <row r="341" spans="1:13">
      <c r="A341" s="936">
        <v>7.2</v>
      </c>
      <c r="B341" s="929">
        <v>0.70140000000000002</v>
      </c>
      <c r="C341" s="929">
        <v>0.70140000000000002</v>
      </c>
      <c r="D341" s="929">
        <v>0.6502</v>
      </c>
      <c r="E341" s="929">
        <v>0.6502</v>
      </c>
      <c r="F341" s="929">
        <v>0.6502</v>
      </c>
      <c r="G341" s="929">
        <v>0.53500000000000003</v>
      </c>
      <c r="H341" s="929">
        <v>0.53500000000000003</v>
      </c>
      <c r="I341" s="929">
        <v>0.45569999999999999</v>
      </c>
      <c r="J341" s="929">
        <v>0.45569999999999999</v>
      </c>
      <c r="K341" s="929">
        <v>0.45569999999999999</v>
      </c>
      <c r="L341" s="929">
        <v>0.45569999999999999</v>
      </c>
      <c r="M341" s="929">
        <v>0.45569999999999999</v>
      </c>
    </row>
    <row r="342" spans="1:13">
      <c r="A342" s="936">
        <v>7.3</v>
      </c>
      <c r="B342" s="929">
        <v>0.69989999999999997</v>
      </c>
      <c r="C342" s="929">
        <v>0.69989999999999997</v>
      </c>
      <c r="D342" s="929">
        <v>0.64829999999999999</v>
      </c>
      <c r="E342" s="929">
        <v>0.64829999999999999</v>
      </c>
      <c r="F342" s="929">
        <v>0.64829999999999999</v>
      </c>
      <c r="G342" s="929">
        <v>0.53290000000000004</v>
      </c>
      <c r="H342" s="929">
        <v>0.53290000000000004</v>
      </c>
      <c r="I342" s="929">
        <v>0.45369999999999999</v>
      </c>
      <c r="J342" s="929">
        <v>0.45369999999999999</v>
      </c>
      <c r="K342" s="929">
        <v>0.45369999999999999</v>
      </c>
      <c r="L342" s="929">
        <v>0.45369999999999999</v>
      </c>
      <c r="M342" s="929">
        <v>0.45369999999999999</v>
      </c>
    </row>
    <row r="343" spans="1:13">
      <c r="A343" s="936">
        <v>7.4</v>
      </c>
      <c r="B343" s="929">
        <v>0.69840000000000002</v>
      </c>
      <c r="C343" s="929">
        <v>0.69840000000000002</v>
      </c>
      <c r="D343" s="929">
        <v>0.64649999999999996</v>
      </c>
      <c r="E343" s="929">
        <v>0.64649999999999996</v>
      </c>
      <c r="F343" s="929">
        <v>0.64649999999999996</v>
      </c>
      <c r="G343" s="929">
        <v>0.53080000000000005</v>
      </c>
      <c r="H343" s="929">
        <v>0.53080000000000005</v>
      </c>
      <c r="I343" s="929">
        <v>0.4516</v>
      </c>
      <c r="J343" s="929">
        <v>0.4516</v>
      </c>
      <c r="K343" s="929">
        <v>0.4516</v>
      </c>
      <c r="L343" s="929">
        <v>0.4516</v>
      </c>
      <c r="M343" s="929">
        <v>0.4516</v>
      </c>
    </row>
    <row r="344" spans="1:13">
      <c r="A344" s="936">
        <v>7.5</v>
      </c>
      <c r="B344" s="929">
        <v>0.69689999999999996</v>
      </c>
      <c r="C344" s="929">
        <v>0.69689999999999996</v>
      </c>
      <c r="D344" s="929">
        <v>0.64470000000000005</v>
      </c>
      <c r="E344" s="929">
        <v>0.64470000000000005</v>
      </c>
      <c r="F344" s="929">
        <v>0.64470000000000005</v>
      </c>
      <c r="G344" s="929">
        <v>0.52869999999999995</v>
      </c>
      <c r="H344" s="929">
        <v>0.52869999999999995</v>
      </c>
      <c r="I344" s="929">
        <v>0.44950000000000001</v>
      </c>
      <c r="J344" s="929">
        <v>0.44950000000000001</v>
      </c>
      <c r="K344" s="929">
        <v>0.44950000000000001</v>
      </c>
      <c r="L344" s="929">
        <v>0.44950000000000001</v>
      </c>
      <c r="M344" s="929">
        <v>0.44950000000000001</v>
      </c>
    </row>
    <row r="345" spans="1:13">
      <c r="A345" s="936">
        <v>7.6</v>
      </c>
      <c r="B345" s="929">
        <v>0.69540000000000002</v>
      </c>
      <c r="C345" s="929">
        <v>0.69540000000000002</v>
      </c>
      <c r="D345" s="929">
        <v>0.64290000000000003</v>
      </c>
      <c r="E345" s="929">
        <v>0.64290000000000003</v>
      </c>
      <c r="F345" s="929">
        <v>0.64290000000000003</v>
      </c>
      <c r="G345" s="929">
        <v>0.52659999999999996</v>
      </c>
      <c r="H345" s="929">
        <v>0.52659999999999996</v>
      </c>
      <c r="I345" s="929">
        <v>0.44750000000000001</v>
      </c>
      <c r="J345" s="929">
        <v>0.44750000000000001</v>
      </c>
      <c r="K345" s="929">
        <v>0.44750000000000001</v>
      </c>
      <c r="L345" s="929">
        <v>0.44750000000000001</v>
      </c>
      <c r="M345" s="929">
        <v>0.44750000000000001</v>
      </c>
    </row>
    <row r="346" spans="1:13">
      <c r="A346" s="936">
        <v>7.7</v>
      </c>
      <c r="B346" s="929">
        <v>0.69389999999999996</v>
      </c>
      <c r="C346" s="929">
        <v>0.69389999999999996</v>
      </c>
      <c r="D346" s="929">
        <v>0.6411</v>
      </c>
      <c r="E346" s="929">
        <v>0.6411</v>
      </c>
      <c r="F346" s="929">
        <v>0.6411</v>
      </c>
      <c r="G346" s="929">
        <v>0.52459999999999996</v>
      </c>
      <c r="H346" s="929">
        <v>0.52459999999999996</v>
      </c>
      <c r="I346" s="929">
        <v>0.44540000000000002</v>
      </c>
      <c r="J346" s="929">
        <v>0.44540000000000002</v>
      </c>
      <c r="K346" s="929">
        <v>0.44540000000000002</v>
      </c>
      <c r="L346" s="929">
        <v>0.44540000000000002</v>
      </c>
      <c r="M346" s="929">
        <v>0.44540000000000002</v>
      </c>
    </row>
    <row r="347" spans="1:13">
      <c r="A347" s="936">
        <v>7.8</v>
      </c>
      <c r="B347" s="929">
        <v>0.69240000000000002</v>
      </c>
      <c r="C347" s="929">
        <v>0.69240000000000002</v>
      </c>
      <c r="D347" s="929">
        <v>0.63929999999999998</v>
      </c>
      <c r="E347" s="929">
        <v>0.63929999999999998</v>
      </c>
      <c r="F347" s="929">
        <v>0.63929999999999998</v>
      </c>
      <c r="G347" s="929">
        <v>0.52259999999999995</v>
      </c>
      <c r="H347" s="929">
        <v>0.52259999999999995</v>
      </c>
      <c r="I347" s="929">
        <v>0.44340000000000002</v>
      </c>
      <c r="J347" s="929">
        <v>0.44340000000000002</v>
      </c>
      <c r="K347" s="929">
        <v>0.44340000000000002</v>
      </c>
      <c r="L347" s="929">
        <v>0.44340000000000002</v>
      </c>
      <c r="M347" s="929">
        <v>0.44340000000000002</v>
      </c>
    </row>
    <row r="348" spans="1:13">
      <c r="A348" s="936">
        <v>7.9</v>
      </c>
      <c r="B348" s="929">
        <v>0.69099999999999995</v>
      </c>
      <c r="C348" s="929">
        <v>0.69099999999999995</v>
      </c>
      <c r="D348" s="929">
        <v>0.63749999999999996</v>
      </c>
      <c r="E348" s="929">
        <v>0.63749999999999996</v>
      </c>
      <c r="F348" s="929">
        <v>0.63749999999999996</v>
      </c>
      <c r="G348" s="929">
        <v>0.52059999999999995</v>
      </c>
      <c r="H348" s="929">
        <v>0.52059999999999995</v>
      </c>
      <c r="I348" s="929">
        <v>0.44130000000000003</v>
      </c>
      <c r="J348" s="929">
        <v>0.44130000000000003</v>
      </c>
      <c r="K348" s="929">
        <v>0.44130000000000003</v>
      </c>
      <c r="L348" s="929">
        <v>0.44130000000000003</v>
      </c>
      <c r="M348" s="929">
        <v>0.44130000000000003</v>
      </c>
    </row>
    <row r="349" spans="1:13">
      <c r="A349" s="936">
        <v>8</v>
      </c>
      <c r="B349" s="929">
        <v>0.68959999999999999</v>
      </c>
      <c r="C349" s="929">
        <v>0.68959999999999999</v>
      </c>
      <c r="D349" s="929">
        <v>0.63570000000000004</v>
      </c>
      <c r="E349" s="929">
        <v>0.63570000000000004</v>
      </c>
      <c r="F349" s="929">
        <v>0.63570000000000004</v>
      </c>
      <c r="G349" s="929">
        <v>0.51859999999999995</v>
      </c>
      <c r="H349" s="929">
        <v>0.51859999999999995</v>
      </c>
      <c r="I349" s="929">
        <v>0.43919999999999998</v>
      </c>
      <c r="J349" s="929">
        <v>0.43919999999999998</v>
      </c>
      <c r="K349" s="929">
        <v>0.43919999999999998</v>
      </c>
      <c r="L349" s="929">
        <v>0.43919999999999998</v>
      </c>
      <c r="M349" s="929">
        <v>0.43919999999999998</v>
      </c>
    </row>
    <row r="350" spans="1:13">
      <c r="A350" s="936">
        <v>8.1</v>
      </c>
      <c r="B350" s="929">
        <v>0.68820000000000003</v>
      </c>
      <c r="C350" s="929">
        <v>0.68820000000000003</v>
      </c>
      <c r="D350" s="929">
        <v>0.63390000000000002</v>
      </c>
      <c r="E350" s="929">
        <v>0.63390000000000002</v>
      </c>
      <c r="F350" s="929">
        <v>0.63390000000000002</v>
      </c>
      <c r="G350" s="929">
        <v>0.51659999999999995</v>
      </c>
      <c r="H350" s="929">
        <v>0.51659999999999995</v>
      </c>
      <c r="I350" s="929">
        <v>0.43730000000000002</v>
      </c>
      <c r="J350" s="929">
        <v>0.43730000000000002</v>
      </c>
      <c r="K350" s="929">
        <v>0.43730000000000002</v>
      </c>
      <c r="L350" s="929">
        <v>0.43730000000000002</v>
      </c>
      <c r="M350" s="929">
        <v>0.43730000000000002</v>
      </c>
    </row>
    <row r="351" spans="1:13">
      <c r="A351" s="936">
        <v>8.1999999999999993</v>
      </c>
      <c r="B351" s="929">
        <v>0.68679999999999997</v>
      </c>
      <c r="C351" s="929">
        <v>0.68679999999999997</v>
      </c>
      <c r="D351" s="929">
        <v>0.63219999999999998</v>
      </c>
      <c r="E351" s="929">
        <v>0.63219999999999998</v>
      </c>
      <c r="F351" s="929">
        <v>0.63219999999999998</v>
      </c>
      <c r="G351" s="929">
        <v>0.51459999999999995</v>
      </c>
      <c r="H351" s="929">
        <v>0.51459999999999995</v>
      </c>
      <c r="I351" s="929">
        <v>0.43530000000000002</v>
      </c>
      <c r="J351" s="929">
        <v>0.43530000000000002</v>
      </c>
      <c r="K351" s="929">
        <v>0.43530000000000002</v>
      </c>
      <c r="L351" s="929">
        <v>0.43530000000000002</v>
      </c>
      <c r="M351" s="929">
        <v>0.43530000000000002</v>
      </c>
    </row>
    <row r="352" spans="1:13">
      <c r="A352" s="936">
        <v>8.3000000000000007</v>
      </c>
      <c r="B352" s="929">
        <v>0.68540000000000001</v>
      </c>
      <c r="C352" s="929">
        <v>0.68540000000000001</v>
      </c>
      <c r="D352" s="929">
        <v>0.63049999999999995</v>
      </c>
      <c r="E352" s="929">
        <v>0.63049999999999995</v>
      </c>
      <c r="F352" s="929">
        <v>0.63049999999999995</v>
      </c>
      <c r="G352" s="929">
        <v>0.51259999999999994</v>
      </c>
      <c r="H352" s="929">
        <v>0.51259999999999994</v>
      </c>
      <c r="I352" s="929">
        <v>0.43330000000000002</v>
      </c>
      <c r="J352" s="929">
        <v>0.43330000000000002</v>
      </c>
      <c r="K352" s="929">
        <v>0.43330000000000002</v>
      </c>
      <c r="L352" s="929">
        <v>0.43330000000000002</v>
      </c>
      <c r="M352" s="929">
        <v>0.43330000000000002</v>
      </c>
    </row>
    <row r="353" spans="1:13">
      <c r="A353" s="936">
        <v>8.4</v>
      </c>
      <c r="B353" s="929">
        <v>0.68400000000000005</v>
      </c>
      <c r="C353" s="929">
        <v>0.68400000000000005</v>
      </c>
      <c r="D353" s="929">
        <v>0.62880000000000003</v>
      </c>
      <c r="E353" s="929">
        <v>0.62880000000000003</v>
      </c>
      <c r="F353" s="929">
        <v>0.62880000000000003</v>
      </c>
      <c r="G353" s="929">
        <v>0.51070000000000004</v>
      </c>
      <c r="H353" s="929">
        <v>0.51070000000000004</v>
      </c>
      <c r="I353" s="929">
        <v>0.43130000000000002</v>
      </c>
      <c r="J353" s="929">
        <v>0.43130000000000002</v>
      </c>
      <c r="K353" s="929">
        <v>0.43130000000000002</v>
      </c>
      <c r="L353" s="929">
        <v>0.43130000000000002</v>
      </c>
      <c r="M353" s="929">
        <v>0.43130000000000002</v>
      </c>
    </row>
    <row r="354" spans="1:13">
      <c r="A354" s="936">
        <v>8.5</v>
      </c>
      <c r="B354" s="929">
        <v>0.68259999999999998</v>
      </c>
      <c r="C354" s="929">
        <v>0.68259999999999998</v>
      </c>
      <c r="D354" s="929">
        <v>0.62709999999999999</v>
      </c>
      <c r="E354" s="929">
        <v>0.62709999999999999</v>
      </c>
      <c r="F354" s="929">
        <v>0.62709999999999999</v>
      </c>
      <c r="G354" s="929">
        <v>0.50880000000000003</v>
      </c>
      <c r="H354" s="929">
        <v>0.50880000000000003</v>
      </c>
      <c r="I354" s="929">
        <v>0.4294</v>
      </c>
      <c r="J354" s="929">
        <v>0.4294</v>
      </c>
      <c r="K354" s="929">
        <v>0.4294</v>
      </c>
      <c r="L354" s="929">
        <v>0.4294</v>
      </c>
      <c r="M354" s="929">
        <v>0.4294</v>
      </c>
    </row>
    <row r="355" spans="1:13">
      <c r="A355" s="936">
        <v>8.6</v>
      </c>
      <c r="B355" s="929">
        <v>0.68120000000000003</v>
      </c>
      <c r="C355" s="929">
        <v>0.68120000000000003</v>
      </c>
      <c r="D355" s="929">
        <v>0.62539999999999996</v>
      </c>
      <c r="E355" s="929">
        <v>0.62539999999999996</v>
      </c>
      <c r="F355" s="929">
        <v>0.62539999999999996</v>
      </c>
      <c r="G355" s="929">
        <v>0.50690000000000002</v>
      </c>
      <c r="H355" s="929">
        <v>0.50690000000000002</v>
      </c>
      <c r="I355" s="929">
        <v>0.4274</v>
      </c>
      <c r="J355" s="929">
        <v>0.4274</v>
      </c>
      <c r="K355" s="929">
        <v>0.4274</v>
      </c>
      <c r="L355" s="929">
        <v>0.4274</v>
      </c>
      <c r="M355" s="929">
        <v>0.4274</v>
      </c>
    </row>
    <row r="356" spans="1:13">
      <c r="A356" s="936">
        <v>8.6999999999999993</v>
      </c>
      <c r="B356" s="929">
        <v>0.67989999999999995</v>
      </c>
      <c r="C356" s="929">
        <v>0.67989999999999995</v>
      </c>
      <c r="D356" s="929">
        <v>0.62370000000000003</v>
      </c>
      <c r="E356" s="929">
        <v>0.62370000000000003</v>
      </c>
      <c r="F356" s="929">
        <v>0.62370000000000003</v>
      </c>
      <c r="G356" s="929">
        <v>0.505</v>
      </c>
      <c r="H356" s="929">
        <v>0.505</v>
      </c>
      <c r="I356" s="929">
        <v>0.4254</v>
      </c>
      <c r="J356" s="929">
        <v>0.4254</v>
      </c>
      <c r="K356" s="929">
        <v>0.4254</v>
      </c>
      <c r="L356" s="929">
        <v>0.4254</v>
      </c>
      <c r="M356" s="929">
        <v>0.4254</v>
      </c>
    </row>
    <row r="357" spans="1:13">
      <c r="A357" s="936">
        <v>8.8000000000000007</v>
      </c>
      <c r="B357" s="929">
        <v>0.67859999999999998</v>
      </c>
      <c r="C357" s="929">
        <v>0.67859999999999998</v>
      </c>
      <c r="D357" s="929">
        <v>0.622</v>
      </c>
      <c r="E357" s="929">
        <v>0.622</v>
      </c>
      <c r="F357" s="929">
        <v>0.622</v>
      </c>
      <c r="G357" s="929">
        <v>0.50309999999999999</v>
      </c>
      <c r="H357" s="929">
        <v>0.50309999999999999</v>
      </c>
      <c r="I357" s="929">
        <v>0.4234</v>
      </c>
      <c r="J357" s="929">
        <v>0.4234</v>
      </c>
      <c r="K357" s="929">
        <v>0.4234</v>
      </c>
      <c r="L357" s="929">
        <v>0.4234</v>
      </c>
      <c r="M357" s="929">
        <v>0.4234</v>
      </c>
    </row>
    <row r="358" spans="1:13">
      <c r="A358" s="936">
        <v>8.9</v>
      </c>
      <c r="B358" s="929">
        <v>0.67730000000000001</v>
      </c>
      <c r="C358" s="929">
        <v>0.67730000000000001</v>
      </c>
      <c r="D358" s="929">
        <v>0.62029999999999996</v>
      </c>
      <c r="E358" s="929">
        <v>0.62029999999999996</v>
      </c>
      <c r="F358" s="929">
        <v>0.62029999999999996</v>
      </c>
      <c r="G358" s="929">
        <v>0.50119999999999998</v>
      </c>
      <c r="H358" s="929">
        <v>0.50119999999999998</v>
      </c>
      <c r="I358" s="929">
        <v>0.42149999999999999</v>
      </c>
      <c r="J358" s="929">
        <v>0.42149999999999999</v>
      </c>
      <c r="K358" s="929">
        <v>0.42149999999999999</v>
      </c>
      <c r="L358" s="929">
        <v>0.42149999999999999</v>
      </c>
      <c r="M358" s="929">
        <v>0.42149999999999999</v>
      </c>
    </row>
    <row r="359" spans="1:13">
      <c r="A359" s="920">
        <v>9</v>
      </c>
      <c r="B359" s="929">
        <v>0.67600000000000005</v>
      </c>
      <c r="C359" s="929">
        <v>0.67600000000000005</v>
      </c>
      <c r="D359" s="929">
        <v>0.61870000000000003</v>
      </c>
      <c r="E359" s="929">
        <v>0.61870000000000003</v>
      </c>
      <c r="F359" s="929">
        <v>0.61870000000000003</v>
      </c>
      <c r="G359" s="929">
        <v>0.49930000000000002</v>
      </c>
      <c r="H359" s="929">
        <v>0.49930000000000002</v>
      </c>
      <c r="I359" s="929">
        <v>0.41949999999999998</v>
      </c>
      <c r="J359" s="929">
        <v>0.41949999999999998</v>
      </c>
      <c r="K359" s="929">
        <v>0.41949999999999998</v>
      </c>
      <c r="L359" s="929">
        <v>0.41949999999999998</v>
      </c>
      <c r="M359" s="929">
        <v>0.41949999999999998</v>
      </c>
    </row>
    <row r="360" spans="1:13">
      <c r="A360" s="920">
        <v>9.1</v>
      </c>
      <c r="B360" s="929">
        <v>0.67469999999999997</v>
      </c>
      <c r="C360" s="929">
        <v>0.67469999999999997</v>
      </c>
      <c r="D360" s="929">
        <v>0.61709999999999998</v>
      </c>
      <c r="E360" s="929">
        <v>0.61709999999999998</v>
      </c>
      <c r="F360" s="929">
        <v>0.61709999999999998</v>
      </c>
      <c r="G360" s="929">
        <v>0.49740000000000001</v>
      </c>
      <c r="H360" s="929">
        <v>0.49740000000000001</v>
      </c>
      <c r="I360" s="929">
        <v>0.41760000000000003</v>
      </c>
      <c r="J360" s="929">
        <v>0.41760000000000003</v>
      </c>
      <c r="K360" s="929">
        <v>0.41760000000000003</v>
      </c>
      <c r="L360" s="929">
        <v>0.41760000000000003</v>
      </c>
      <c r="M360" s="929">
        <v>0.41760000000000003</v>
      </c>
    </row>
    <row r="361" spans="1:13">
      <c r="A361" s="920">
        <v>9.1999999999999993</v>
      </c>
      <c r="B361" s="929">
        <v>0.6734</v>
      </c>
      <c r="C361" s="929">
        <v>0.6734</v>
      </c>
      <c r="D361" s="929">
        <v>0.61550000000000005</v>
      </c>
      <c r="E361" s="929">
        <v>0.61550000000000005</v>
      </c>
      <c r="F361" s="929">
        <v>0.61550000000000005</v>
      </c>
      <c r="G361" s="929">
        <v>0.49559999999999998</v>
      </c>
      <c r="H361" s="929">
        <v>0.49559999999999998</v>
      </c>
      <c r="I361" s="929">
        <v>0.41570000000000001</v>
      </c>
      <c r="J361" s="929">
        <v>0.41570000000000001</v>
      </c>
      <c r="K361" s="929">
        <v>0.41570000000000001</v>
      </c>
      <c r="L361" s="929">
        <v>0.41570000000000001</v>
      </c>
      <c r="M361" s="929">
        <v>0.41570000000000001</v>
      </c>
    </row>
    <row r="362" spans="1:13">
      <c r="A362" s="920">
        <v>9.3000000000000007</v>
      </c>
      <c r="B362" s="929">
        <v>0.67210000000000003</v>
      </c>
      <c r="C362" s="929">
        <v>0.67210000000000003</v>
      </c>
      <c r="D362" s="929">
        <v>0.6139</v>
      </c>
      <c r="E362" s="929">
        <v>0.6139</v>
      </c>
      <c r="F362" s="929">
        <v>0.6139</v>
      </c>
      <c r="G362" s="929">
        <v>0.49380000000000002</v>
      </c>
      <c r="H362" s="929">
        <v>0.49380000000000002</v>
      </c>
      <c r="I362" s="929">
        <v>0.4138</v>
      </c>
      <c r="J362" s="929">
        <v>0.4138</v>
      </c>
      <c r="K362" s="929">
        <v>0.4138</v>
      </c>
      <c r="L362" s="929">
        <v>0.4138</v>
      </c>
      <c r="M362" s="929">
        <v>0.4138</v>
      </c>
    </row>
    <row r="363" spans="1:13">
      <c r="A363" s="920">
        <v>9.4</v>
      </c>
      <c r="B363" s="929">
        <v>0.67079999999999995</v>
      </c>
      <c r="C363" s="929">
        <v>0.67079999999999995</v>
      </c>
      <c r="D363" s="929">
        <v>0.61229999999999996</v>
      </c>
      <c r="E363" s="929">
        <v>0.61229999999999996</v>
      </c>
      <c r="F363" s="929">
        <v>0.61229999999999996</v>
      </c>
      <c r="G363" s="929">
        <v>0.49199999999999999</v>
      </c>
      <c r="H363" s="929">
        <v>0.49199999999999999</v>
      </c>
      <c r="I363" s="929">
        <v>0.41189999999999999</v>
      </c>
      <c r="J363" s="929">
        <v>0.41189999999999999</v>
      </c>
      <c r="K363" s="929">
        <v>0.41189999999999999</v>
      </c>
      <c r="L363" s="929">
        <v>0.41189999999999999</v>
      </c>
      <c r="M363" s="929">
        <v>0.41189999999999999</v>
      </c>
    </row>
    <row r="364" spans="1:13">
      <c r="A364" s="920">
        <v>9.5</v>
      </c>
      <c r="B364" s="929">
        <v>0.66959999999999997</v>
      </c>
      <c r="C364" s="929">
        <v>0.66959999999999997</v>
      </c>
      <c r="D364" s="929">
        <v>0.61070000000000002</v>
      </c>
      <c r="E364" s="929">
        <v>0.61070000000000002</v>
      </c>
      <c r="F364" s="929">
        <v>0.61070000000000002</v>
      </c>
      <c r="G364" s="929">
        <v>0.49020000000000002</v>
      </c>
      <c r="H364" s="929">
        <v>0.49020000000000002</v>
      </c>
      <c r="I364" s="929">
        <v>0.41</v>
      </c>
      <c r="J364" s="929">
        <v>0.41</v>
      </c>
      <c r="K364" s="929">
        <v>0.41</v>
      </c>
      <c r="L364" s="929">
        <v>0.41</v>
      </c>
      <c r="M364" s="929">
        <v>0.41</v>
      </c>
    </row>
    <row r="365" spans="1:13">
      <c r="A365" s="936">
        <v>9.6</v>
      </c>
      <c r="B365" s="929">
        <v>0.66839999999999999</v>
      </c>
      <c r="C365" s="929">
        <v>0.66839999999999999</v>
      </c>
      <c r="D365" s="929">
        <v>0.60909999999999997</v>
      </c>
      <c r="E365" s="929">
        <v>0.60909999999999997</v>
      </c>
      <c r="F365" s="929">
        <v>0.60909999999999997</v>
      </c>
      <c r="G365" s="929">
        <v>0.4884</v>
      </c>
      <c r="H365" s="929">
        <v>0.4884</v>
      </c>
      <c r="I365" s="929">
        <v>0.40810000000000002</v>
      </c>
      <c r="J365" s="929">
        <v>0.40810000000000002</v>
      </c>
      <c r="K365" s="929">
        <v>0.40810000000000002</v>
      </c>
      <c r="L365" s="929">
        <v>0.40810000000000002</v>
      </c>
      <c r="M365" s="929">
        <v>0.40810000000000002</v>
      </c>
    </row>
    <row r="366" spans="1:13">
      <c r="A366" s="920">
        <v>9.6999999999999993</v>
      </c>
      <c r="B366" s="929">
        <v>0.66720000000000002</v>
      </c>
      <c r="C366" s="929">
        <v>0.66720000000000002</v>
      </c>
      <c r="D366" s="929">
        <v>0.60750000000000004</v>
      </c>
      <c r="E366" s="929">
        <v>0.60750000000000004</v>
      </c>
      <c r="F366" s="929">
        <v>0.60750000000000004</v>
      </c>
      <c r="G366" s="929">
        <v>0.48659999999999998</v>
      </c>
      <c r="H366" s="929">
        <v>0.48659999999999998</v>
      </c>
      <c r="I366" s="929">
        <v>0.40620000000000001</v>
      </c>
      <c r="J366" s="929">
        <v>0.40620000000000001</v>
      </c>
      <c r="K366" s="929">
        <v>0.40620000000000001</v>
      </c>
      <c r="L366" s="929">
        <v>0.40620000000000001</v>
      </c>
      <c r="M366" s="929">
        <v>0.40620000000000001</v>
      </c>
    </row>
    <row r="367" spans="1:13">
      <c r="A367" s="920">
        <v>9.8000000000000007</v>
      </c>
      <c r="B367" s="929">
        <v>0.66600000000000004</v>
      </c>
      <c r="C367" s="929">
        <v>0.66600000000000004</v>
      </c>
      <c r="D367" s="929">
        <v>0.60599999999999998</v>
      </c>
      <c r="E367" s="929">
        <v>0.60599999999999998</v>
      </c>
      <c r="F367" s="929">
        <v>0.60599999999999998</v>
      </c>
      <c r="G367" s="929">
        <v>0.48480000000000001</v>
      </c>
      <c r="H367" s="929">
        <v>0.48480000000000001</v>
      </c>
      <c r="I367" s="929">
        <v>0.40429999999999999</v>
      </c>
      <c r="J367" s="929">
        <v>0.40429999999999999</v>
      </c>
      <c r="K367" s="929">
        <v>0.40429999999999999</v>
      </c>
      <c r="L367" s="929">
        <v>0.40429999999999999</v>
      </c>
      <c r="M367" s="929">
        <v>0.40429999999999999</v>
      </c>
    </row>
    <row r="368" spans="1:13">
      <c r="A368" s="920">
        <v>9.9</v>
      </c>
      <c r="B368" s="929">
        <v>0.66479999999999995</v>
      </c>
      <c r="C368" s="929">
        <v>0.66479999999999995</v>
      </c>
      <c r="D368" s="929">
        <v>0.60450000000000004</v>
      </c>
      <c r="E368" s="929">
        <v>0.60450000000000004</v>
      </c>
      <c r="F368" s="929">
        <v>0.60450000000000004</v>
      </c>
      <c r="G368" s="929">
        <v>0.48299999999999998</v>
      </c>
      <c r="H368" s="929">
        <v>0.48299999999999998</v>
      </c>
      <c r="I368" s="929">
        <v>0.40239999999999998</v>
      </c>
      <c r="J368" s="929">
        <v>0.40239999999999998</v>
      </c>
      <c r="K368" s="929">
        <v>0.40239999999999998</v>
      </c>
      <c r="L368" s="929">
        <v>0.40239999999999998</v>
      </c>
      <c r="M368" s="929">
        <v>0.40239999999999998</v>
      </c>
    </row>
    <row r="369" spans="1:14" ht="14.25">
      <c r="A369" s="3083" t="s">
        <v>2767</v>
      </c>
      <c r="B369" s="929"/>
      <c r="C369" s="929"/>
      <c r="D369" s="929"/>
      <c r="E369" s="929"/>
      <c r="F369" s="929"/>
      <c r="G369" s="929"/>
      <c r="H369" s="929"/>
      <c r="I369" s="929"/>
      <c r="J369" s="929"/>
      <c r="K369" s="929"/>
      <c r="L369" s="929"/>
      <c r="M369" s="929"/>
    </row>
    <row r="370" spans="1:14">
      <c r="A370" s="920" t="s">
        <v>1548</v>
      </c>
      <c r="B370" s="929" t="s">
        <v>988</v>
      </c>
      <c r="C370" s="929" t="s">
        <v>1029</v>
      </c>
      <c r="D370" s="929" t="s">
        <v>1143</v>
      </c>
      <c r="E370" s="929" t="s">
        <v>851</v>
      </c>
      <c r="F370" s="929" t="s">
        <v>1150</v>
      </c>
      <c r="G370" s="929" t="s">
        <v>1151</v>
      </c>
      <c r="H370" s="929" t="s">
        <v>1152</v>
      </c>
      <c r="I370" s="929" t="s">
        <v>1153</v>
      </c>
      <c r="J370" s="929" t="s">
        <v>1154</v>
      </c>
      <c r="K370" s="929" t="s">
        <v>1155</v>
      </c>
      <c r="L370" s="929" t="s">
        <v>2750</v>
      </c>
      <c r="M370" s="929" t="s">
        <v>2751</v>
      </c>
      <c r="N370" s="919" t="e">
        <f>SUMPRODUCT((A371:A460=ROUNDDOWN([2]基准地价修正!G3,1))*(B370:M370=[2]基准地价修正!G2)*(B371:M460))</f>
        <v>#REF!</v>
      </c>
    </row>
    <row r="371" spans="1:14">
      <c r="A371" s="920">
        <v>1</v>
      </c>
      <c r="B371" s="929">
        <v>1.1839999999999999</v>
      </c>
      <c r="C371" s="929">
        <v>1.1839999999999999</v>
      </c>
      <c r="D371" s="929">
        <v>1.1565000000000001</v>
      </c>
      <c r="E371" s="929">
        <v>1.1565000000000001</v>
      </c>
      <c r="F371" s="929">
        <v>1.1565000000000001</v>
      </c>
      <c r="G371" s="929">
        <v>1.1565000000000001</v>
      </c>
      <c r="H371" s="929">
        <v>1.1565000000000001</v>
      </c>
      <c r="I371" s="929">
        <v>1.1198999999999999</v>
      </c>
      <c r="J371" s="929">
        <v>1.1198999999999999</v>
      </c>
      <c r="K371" s="929">
        <v>1.1198999999999999</v>
      </c>
      <c r="L371" s="929">
        <v>1.1198999999999999</v>
      </c>
      <c r="M371" s="929">
        <v>1.1198999999999999</v>
      </c>
    </row>
    <row r="372" spans="1:14">
      <c r="A372" s="920">
        <v>1.1000000000000001</v>
      </c>
      <c r="B372" s="929">
        <v>1.1658999999999999</v>
      </c>
      <c r="C372" s="929">
        <v>1.1658999999999999</v>
      </c>
      <c r="D372" s="929">
        <v>1.1364000000000001</v>
      </c>
      <c r="E372" s="929">
        <v>1.1364000000000001</v>
      </c>
      <c r="F372" s="929">
        <v>1.1364000000000001</v>
      </c>
      <c r="G372" s="929">
        <v>1.1364000000000001</v>
      </c>
      <c r="H372" s="929">
        <v>1.1364000000000001</v>
      </c>
      <c r="I372" s="929">
        <v>1.0931</v>
      </c>
      <c r="J372" s="929">
        <v>1.0931</v>
      </c>
      <c r="K372" s="929">
        <v>1.0931</v>
      </c>
      <c r="L372" s="929">
        <v>1.0931</v>
      </c>
      <c r="M372" s="929">
        <v>1.0931</v>
      </c>
    </row>
    <row r="373" spans="1:14">
      <c r="A373" s="920">
        <v>1.2</v>
      </c>
      <c r="B373" s="929">
        <v>1.1489</v>
      </c>
      <c r="C373" s="929">
        <v>1.1489</v>
      </c>
      <c r="D373" s="929">
        <v>1.1174999999999999</v>
      </c>
      <c r="E373" s="929">
        <v>1.1174999999999999</v>
      </c>
      <c r="F373" s="929">
        <v>1.1174999999999999</v>
      </c>
      <c r="G373" s="929">
        <v>1.1174999999999999</v>
      </c>
      <c r="H373" s="929">
        <v>1.1174999999999999</v>
      </c>
      <c r="I373" s="929">
        <v>1.0678000000000001</v>
      </c>
      <c r="J373" s="929">
        <v>1.0678000000000001</v>
      </c>
      <c r="K373" s="929">
        <v>1.0678000000000001</v>
      </c>
      <c r="L373" s="929">
        <v>1.0678000000000001</v>
      </c>
      <c r="M373" s="929">
        <v>1.0678000000000001</v>
      </c>
    </row>
    <row r="374" spans="1:14">
      <c r="A374" s="920">
        <v>1.3</v>
      </c>
      <c r="B374" s="929">
        <v>1.1328</v>
      </c>
      <c r="C374" s="929">
        <v>1.1328</v>
      </c>
      <c r="D374" s="929">
        <v>1.0995999999999999</v>
      </c>
      <c r="E374" s="929">
        <v>1.0995999999999999</v>
      </c>
      <c r="F374" s="929">
        <v>1.0995999999999999</v>
      </c>
      <c r="G374" s="929">
        <v>1.0995999999999999</v>
      </c>
      <c r="H374" s="929">
        <v>1.0995999999999999</v>
      </c>
      <c r="I374" s="929">
        <v>1.044</v>
      </c>
      <c r="J374" s="929">
        <v>1.044</v>
      </c>
      <c r="K374" s="929">
        <v>1.044</v>
      </c>
      <c r="L374" s="929">
        <v>1.044</v>
      </c>
      <c r="M374" s="929">
        <v>1.044</v>
      </c>
    </row>
    <row r="375" spans="1:14">
      <c r="A375" s="920">
        <v>1.4</v>
      </c>
      <c r="B375" s="929">
        <v>1.1175999999999999</v>
      </c>
      <c r="C375" s="929">
        <v>1.1175999999999999</v>
      </c>
      <c r="D375" s="929">
        <v>1.0827</v>
      </c>
      <c r="E375" s="929">
        <v>1.0827</v>
      </c>
      <c r="F375" s="929">
        <v>1.0827</v>
      </c>
      <c r="G375" s="929">
        <v>1.0827</v>
      </c>
      <c r="H375" s="929">
        <v>1.0827</v>
      </c>
      <c r="I375" s="929">
        <v>1.0214000000000001</v>
      </c>
      <c r="J375" s="929">
        <v>1.0214000000000001</v>
      </c>
      <c r="K375" s="929">
        <v>1.0214000000000001</v>
      </c>
      <c r="L375" s="929">
        <v>1.0214000000000001</v>
      </c>
      <c r="M375" s="929">
        <v>1.0214000000000001</v>
      </c>
    </row>
    <row r="376" spans="1:14">
      <c r="A376" s="920">
        <v>1.5</v>
      </c>
      <c r="B376" s="929">
        <v>1.1032999999999999</v>
      </c>
      <c r="C376" s="929">
        <v>1.1032999999999999</v>
      </c>
      <c r="D376" s="929">
        <v>1.0668</v>
      </c>
      <c r="E376" s="929">
        <v>1.0668</v>
      </c>
      <c r="F376" s="929">
        <v>1.0668</v>
      </c>
      <c r="G376" s="929">
        <v>1.0668</v>
      </c>
      <c r="H376" s="929">
        <v>1.0668</v>
      </c>
      <c r="I376" s="929">
        <v>1</v>
      </c>
      <c r="J376" s="929">
        <v>1</v>
      </c>
      <c r="K376" s="929">
        <v>1</v>
      </c>
      <c r="L376" s="929">
        <v>1</v>
      </c>
      <c r="M376" s="929">
        <v>1</v>
      </c>
    </row>
    <row r="377" spans="1:14">
      <c r="A377" s="920">
        <v>1.6</v>
      </c>
      <c r="B377" s="929">
        <v>1.0899000000000001</v>
      </c>
      <c r="C377" s="929">
        <v>1.0899000000000001</v>
      </c>
      <c r="D377" s="929">
        <v>1.0517000000000001</v>
      </c>
      <c r="E377" s="929">
        <v>1.0517000000000001</v>
      </c>
      <c r="F377" s="929">
        <v>1.0517000000000001</v>
      </c>
      <c r="G377" s="929">
        <v>1.0517000000000001</v>
      </c>
      <c r="H377" s="929">
        <v>1.0517000000000001</v>
      </c>
      <c r="I377" s="929">
        <v>0.97989999999999999</v>
      </c>
      <c r="J377" s="929">
        <v>0.97989999999999999</v>
      </c>
      <c r="K377" s="929">
        <v>0.97989999999999999</v>
      </c>
      <c r="L377" s="929">
        <v>0.97989999999999999</v>
      </c>
      <c r="M377" s="929">
        <v>0.97989999999999999</v>
      </c>
    </row>
    <row r="378" spans="1:14">
      <c r="A378" s="920">
        <v>1.7</v>
      </c>
      <c r="B378" s="929">
        <v>1.0771999999999999</v>
      </c>
      <c r="C378" s="929">
        <v>1.0771999999999999</v>
      </c>
      <c r="D378" s="929">
        <v>1.0376000000000001</v>
      </c>
      <c r="E378" s="929">
        <v>1.0376000000000001</v>
      </c>
      <c r="F378" s="929">
        <v>1.0376000000000001</v>
      </c>
      <c r="G378" s="929">
        <v>1.0376000000000001</v>
      </c>
      <c r="H378" s="929">
        <v>1.0376000000000001</v>
      </c>
      <c r="I378" s="929">
        <v>0.96089999999999998</v>
      </c>
      <c r="J378" s="929">
        <v>0.96089999999999998</v>
      </c>
      <c r="K378" s="929">
        <v>0.96089999999999998</v>
      </c>
      <c r="L378" s="929">
        <v>0.96089999999999998</v>
      </c>
      <c r="M378" s="929">
        <v>0.96089999999999998</v>
      </c>
    </row>
    <row r="379" spans="1:14">
      <c r="A379" s="920">
        <v>1.8</v>
      </c>
      <c r="B379" s="929">
        <v>1.0652999999999999</v>
      </c>
      <c r="C379" s="929">
        <v>1.0652999999999999</v>
      </c>
      <c r="D379" s="929">
        <v>1.0243</v>
      </c>
      <c r="E379" s="929">
        <v>1.0243</v>
      </c>
      <c r="F379" s="929">
        <v>1.0243</v>
      </c>
      <c r="G379" s="929">
        <v>1.0243</v>
      </c>
      <c r="H379" s="929">
        <v>1.0243</v>
      </c>
      <c r="I379" s="929">
        <v>0.94299999999999995</v>
      </c>
      <c r="J379" s="929">
        <v>0.94299999999999995</v>
      </c>
      <c r="K379" s="929">
        <v>0.94299999999999995</v>
      </c>
      <c r="L379" s="929">
        <v>0.94299999999999995</v>
      </c>
      <c r="M379" s="929">
        <v>0.94299999999999995</v>
      </c>
    </row>
    <row r="380" spans="1:14">
      <c r="A380" s="920">
        <v>1.9</v>
      </c>
      <c r="B380" s="929">
        <v>1.054</v>
      </c>
      <c r="C380" s="929">
        <v>1.054</v>
      </c>
      <c r="D380" s="929">
        <v>1.0118</v>
      </c>
      <c r="E380" s="929">
        <v>1.0118</v>
      </c>
      <c r="F380" s="929">
        <v>1.0118</v>
      </c>
      <c r="G380" s="929">
        <v>1.0118</v>
      </c>
      <c r="H380" s="929">
        <v>1.0118</v>
      </c>
      <c r="I380" s="929">
        <v>0.92620000000000002</v>
      </c>
      <c r="J380" s="929">
        <v>0.92620000000000002</v>
      </c>
      <c r="K380" s="929">
        <v>0.92620000000000002</v>
      </c>
      <c r="L380" s="929">
        <v>0.92620000000000002</v>
      </c>
      <c r="M380" s="929">
        <v>0.92620000000000002</v>
      </c>
    </row>
    <row r="381" spans="1:14">
      <c r="A381" s="920">
        <v>2</v>
      </c>
      <c r="B381" s="929">
        <v>1.0435000000000001</v>
      </c>
      <c r="C381" s="929">
        <v>1.0435000000000001</v>
      </c>
      <c r="D381" s="929">
        <v>1</v>
      </c>
      <c r="E381" s="929">
        <v>1</v>
      </c>
      <c r="F381" s="929">
        <v>1</v>
      </c>
      <c r="G381" s="929">
        <v>1</v>
      </c>
      <c r="H381" s="929">
        <v>1</v>
      </c>
      <c r="I381" s="929">
        <v>0.9103</v>
      </c>
      <c r="J381" s="929">
        <v>0.9103</v>
      </c>
      <c r="K381" s="929">
        <v>0.9103</v>
      </c>
      <c r="L381" s="929">
        <v>0.9103</v>
      </c>
      <c r="M381" s="929">
        <v>0.9103</v>
      </c>
    </row>
    <row r="382" spans="1:14">
      <c r="A382" s="920">
        <v>2.1</v>
      </c>
      <c r="B382" s="929">
        <v>1.0336000000000001</v>
      </c>
      <c r="C382" s="929">
        <v>1.0336000000000001</v>
      </c>
      <c r="D382" s="929">
        <v>0.98899999999999999</v>
      </c>
      <c r="E382" s="929">
        <v>0.98899999999999999</v>
      </c>
      <c r="F382" s="929">
        <v>0.98899999999999999</v>
      </c>
      <c r="G382" s="929">
        <v>0.98899999999999999</v>
      </c>
      <c r="H382" s="929">
        <v>0.98899999999999999</v>
      </c>
      <c r="I382" s="929">
        <v>0.89539999999999997</v>
      </c>
      <c r="J382" s="929">
        <v>0.89539999999999997</v>
      </c>
      <c r="K382" s="929">
        <v>0.89539999999999997</v>
      </c>
      <c r="L382" s="929">
        <v>0.89539999999999997</v>
      </c>
      <c r="M382" s="929">
        <v>0.89539999999999997</v>
      </c>
    </row>
    <row r="383" spans="1:14">
      <c r="A383" s="920">
        <v>2.2000000000000002</v>
      </c>
      <c r="B383" s="929">
        <v>1.0243</v>
      </c>
      <c r="C383" s="929">
        <v>1.0243</v>
      </c>
      <c r="D383" s="929">
        <v>0.97860000000000003</v>
      </c>
      <c r="E383" s="929">
        <v>0.97860000000000003</v>
      </c>
      <c r="F383" s="929">
        <v>0.97860000000000003</v>
      </c>
      <c r="G383" s="929">
        <v>0.97860000000000003</v>
      </c>
      <c r="H383" s="929">
        <v>0.97860000000000003</v>
      </c>
      <c r="I383" s="929">
        <v>0.88139999999999996</v>
      </c>
      <c r="J383" s="929">
        <v>0.88139999999999996</v>
      </c>
      <c r="K383" s="929">
        <v>0.88139999999999996</v>
      </c>
      <c r="L383" s="929">
        <v>0.88139999999999996</v>
      </c>
      <c r="M383" s="929">
        <v>0.88139999999999996</v>
      </c>
    </row>
    <row r="384" spans="1:14">
      <c r="A384" s="920">
        <v>2.2999999999999998</v>
      </c>
      <c r="B384" s="929">
        <v>1.0157</v>
      </c>
      <c r="C384" s="929">
        <v>1.0157</v>
      </c>
      <c r="D384" s="929">
        <v>0.96889999999999998</v>
      </c>
      <c r="E384" s="929">
        <v>0.96889999999999998</v>
      </c>
      <c r="F384" s="929">
        <v>0.96889999999999998</v>
      </c>
      <c r="G384" s="929">
        <v>0.96889999999999998</v>
      </c>
      <c r="H384" s="929">
        <v>0.96889999999999998</v>
      </c>
      <c r="I384" s="929">
        <v>0.86819999999999997</v>
      </c>
      <c r="J384" s="929">
        <v>0.86819999999999997</v>
      </c>
      <c r="K384" s="929">
        <v>0.86819999999999997</v>
      </c>
      <c r="L384" s="929">
        <v>0.86819999999999997</v>
      </c>
      <c r="M384" s="929">
        <v>0.86819999999999997</v>
      </c>
    </row>
    <row r="385" spans="1:13">
      <c r="A385" s="920">
        <v>2.4</v>
      </c>
      <c r="B385" s="929">
        <v>1.0076000000000001</v>
      </c>
      <c r="C385" s="929">
        <v>1.0076000000000001</v>
      </c>
      <c r="D385" s="929">
        <v>0.95979999999999999</v>
      </c>
      <c r="E385" s="929">
        <v>0.95979999999999999</v>
      </c>
      <c r="F385" s="929">
        <v>0.95979999999999999</v>
      </c>
      <c r="G385" s="929">
        <v>0.95979999999999999</v>
      </c>
      <c r="H385" s="929">
        <v>0.95979999999999999</v>
      </c>
      <c r="I385" s="929">
        <v>0.85580000000000001</v>
      </c>
      <c r="J385" s="929">
        <v>0.85580000000000001</v>
      </c>
      <c r="K385" s="929">
        <v>0.85580000000000001</v>
      </c>
      <c r="L385" s="929">
        <v>0.85580000000000001</v>
      </c>
      <c r="M385" s="929">
        <v>0.85580000000000001</v>
      </c>
    </row>
    <row r="386" spans="1:13">
      <c r="A386" s="920">
        <v>2.5</v>
      </c>
      <c r="B386" s="929">
        <v>1</v>
      </c>
      <c r="C386" s="929">
        <v>1</v>
      </c>
      <c r="D386" s="929">
        <v>0.95120000000000005</v>
      </c>
      <c r="E386" s="929">
        <v>0.95120000000000005</v>
      </c>
      <c r="F386" s="929">
        <v>0.95120000000000005</v>
      </c>
      <c r="G386" s="929">
        <v>0.95120000000000005</v>
      </c>
      <c r="H386" s="929">
        <v>0.95120000000000005</v>
      </c>
      <c r="I386" s="929">
        <v>0.84419999999999995</v>
      </c>
      <c r="J386" s="929">
        <v>0.84419999999999995</v>
      </c>
      <c r="K386" s="929">
        <v>0.84419999999999995</v>
      </c>
      <c r="L386" s="929">
        <v>0.84419999999999995</v>
      </c>
      <c r="M386" s="929">
        <v>0.84419999999999995</v>
      </c>
    </row>
    <row r="387" spans="1:13">
      <c r="A387" s="920">
        <v>2.6</v>
      </c>
      <c r="B387" s="929">
        <v>0.9929</v>
      </c>
      <c r="C387" s="929">
        <v>0.9929</v>
      </c>
      <c r="D387" s="929">
        <v>0.94320000000000004</v>
      </c>
      <c r="E387" s="929">
        <v>0.94320000000000004</v>
      </c>
      <c r="F387" s="929">
        <v>0.94320000000000004</v>
      </c>
      <c r="G387" s="929">
        <v>0.94320000000000004</v>
      </c>
      <c r="H387" s="929">
        <v>0.94320000000000004</v>
      </c>
      <c r="I387" s="929">
        <v>0.83330000000000004</v>
      </c>
      <c r="J387" s="929">
        <v>0.83330000000000004</v>
      </c>
      <c r="K387" s="929">
        <v>0.83330000000000004</v>
      </c>
      <c r="L387" s="929">
        <v>0.83330000000000004</v>
      </c>
      <c r="M387" s="929">
        <v>0.83330000000000004</v>
      </c>
    </row>
    <row r="388" spans="1:13">
      <c r="A388" s="920">
        <v>2.7</v>
      </c>
      <c r="B388" s="929">
        <v>0.98629999999999995</v>
      </c>
      <c r="C388" s="929">
        <v>0.98629999999999995</v>
      </c>
      <c r="D388" s="929">
        <v>0.93569999999999998</v>
      </c>
      <c r="E388" s="929">
        <v>0.93569999999999998</v>
      </c>
      <c r="F388" s="929">
        <v>0.93569999999999998</v>
      </c>
      <c r="G388" s="929">
        <v>0.93569999999999998</v>
      </c>
      <c r="H388" s="929">
        <v>0.93569999999999998</v>
      </c>
      <c r="I388" s="929">
        <v>0.82320000000000004</v>
      </c>
      <c r="J388" s="929">
        <v>0.82320000000000004</v>
      </c>
      <c r="K388" s="929">
        <v>0.82320000000000004</v>
      </c>
      <c r="L388" s="929">
        <v>0.82320000000000004</v>
      </c>
      <c r="M388" s="929">
        <v>0.82320000000000004</v>
      </c>
    </row>
    <row r="389" spans="1:13">
      <c r="A389" s="920">
        <v>2.8</v>
      </c>
      <c r="B389" s="929">
        <v>0.98009999999999997</v>
      </c>
      <c r="C389" s="929">
        <v>0.98009999999999997</v>
      </c>
      <c r="D389" s="929">
        <v>0.92879999999999996</v>
      </c>
      <c r="E389" s="929">
        <v>0.92879999999999996</v>
      </c>
      <c r="F389" s="929">
        <v>0.92879999999999996</v>
      </c>
      <c r="G389" s="929">
        <v>0.92879999999999996</v>
      </c>
      <c r="H389" s="929">
        <v>0.92879999999999996</v>
      </c>
      <c r="I389" s="929">
        <v>0.81359999999999999</v>
      </c>
      <c r="J389" s="929">
        <v>0.81359999999999999</v>
      </c>
      <c r="K389" s="929">
        <v>0.81359999999999999</v>
      </c>
      <c r="L389" s="929">
        <v>0.81359999999999999</v>
      </c>
      <c r="M389" s="929">
        <v>0.81359999999999999</v>
      </c>
    </row>
    <row r="390" spans="1:13">
      <c r="A390" s="920">
        <v>2.9</v>
      </c>
      <c r="B390" s="929">
        <v>0.97430000000000005</v>
      </c>
      <c r="C390" s="929">
        <v>0.97430000000000005</v>
      </c>
      <c r="D390" s="929">
        <v>0.92220000000000002</v>
      </c>
      <c r="E390" s="929">
        <v>0.92220000000000002</v>
      </c>
      <c r="F390" s="929">
        <v>0.92220000000000002</v>
      </c>
      <c r="G390" s="929">
        <v>0.92220000000000002</v>
      </c>
      <c r="H390" s="929">
        <v>0.92220000000000002</v>
      </c>
      <c r="I390" s="929">
        <v>0.80459999999999998</v>
      </c>
      <c r="J390" s="929">
        <v>0.80459999999999998</v>
      </c>
      <c r="K390" s="929">
        <v>0.80459999999999998</v>
      </c>
      <c r="L390" s="929">
        <v>0.80459999999999998</v>
      </c>
      <c r="M390" s="929">
        <v>0.80459999999999998</v>
      </c>
    </row>
    <row r="391" spans="1:13">
      <c r="A391" s="920">
        <v>3</v>
      </c>
      <c r="B391" s="929">
        <v>0.96889999999999998</v>
      </c>
      <c r="C391" s="929">
        <v>0.96889999999999998</v>
      </c>
      <c r="D391" s="929">
        <v>0.91610000000000003</v>
      </c>
      <c r="E391" s="929">
        <v>0.91610000000000003</v>
      </c>
      <c r="F391" s="929">
        <v>0.91610000000000003</v>
      </c>
      <c r="G391" s="929">
        <v>0.91610000000000003</v>
      </c>
      <c r="H391" s="929">
        <v>0.91610000000000003</v>
      </c>
      <c r="I391" s="929">
        <v>0.79620000000000002</v>
      </c>
      <c r="J391" s="929">
        <v>0.79620000000000002</v>
      </c>
      <c r="K391" s="929">
        <v>0.79620000000000002</v>
      </c>
      <c r="L391" s="929">
        <v>0.79620000000000002</v>
      </c>
      <c r="M391" s="929">
        <v>0.79620000000000002</v>
      </c>
    </row>
    <row r="392" spans="1:13">
      <c r="A392" s="920">
        <v>3.1</v>
      </c>
      <c r="B392" s="929">
        <v>0.96389999999999998</v>
      </c>
      <c r="C392" s="929">
        <v>0.96389999999999998</v>
      </c>
      <c r="D392" s="929">
        <v>0.91039999999999999</v>
      </c>
      <c r="E392" s="929">
        <v>0.91039999999999999</v>
      </c>
      <c r="F392" s="929">
        <v>0.91039999999999999</v>
      </c>
      <c r="G392" s="929">
        <v>0.91039999999999999</v>
      </c>
      <c r="H392" s="929">
        <v>0.91039999999999999</v>
      </c>
      <c r="I392" s="929">
        <v>0.7883</v>
      </c>
      <c r="J392" s="929">
        <v>0.7883</v>
      </c>
      <c r="K392" s="929">
        <v>0.7883</v>
      </c>
      <c r="L392" s="929">
        <v>0.7883</v>
      </c>
      <c r="M392" s="929">
        <v>0.7883</v>
      </c>
    </row>
    <row r="393" spans="1:13">
      <c r="A393" s="920">
        <v>3.2</v>
      </c>
      <c r="B393" s="929">
        <v>0.95930000000000004</v>
      </c>
      <c r="C393" s="929">
        <v>0.95930000000000004</v>
      </c>
      <c r="D393" s="929">
        <v>0.9052</v>
      </c>
      <c r="E393" s="929">
        <v>0.9052</v>
      </c>
      <c r="F393" s="929">
        <v>0.9052</v>
      </c>
      <c r="G393" s="929">
        <v>0.9052</v>
      </c>
      <c r="H393" s="929">
        <v>0.9052</v>
      </c>
      <c r="I393" s="929">
        <v>0.78090000000000004</v>
      </c>
      <c r="J393" s="929">
        <v>0.78090000000000004</v>
      </c>
      <c r="K393" s="929">
        <v>0.78090000000000004</v>
      </c>
      <c r="L393" s="929">
        <v>0.78090000000000004</v>
      </c>
      <c r="M393" s="929">
        <v>0.78090000000000004</v>
      </c>
    </row>
    <row r="394" spans="1:13">
      <c r="A394" s="920">
        <v>3.3</v>
      </c>
      <c r="B394" s="929">
        <v>0.95489999999999997</v>
      </c>
      <c r="C394" s="929">
        <v>0.95489999999999997</v>
      </c>
      <c r="D394" s="929">
        <v>0.9002</v>
      </c>
      <c r="E394" s="929">
        <v>0.9002</v>
      </c>
      <c r="F394" s="929">
        <v>0.9002</v>
      </c>
      <c r="G394" s="929">
        <v>0.9002</v>
      </c>
      <c r="H394" s="929">
        <v>0.9002</v>
      </c>
      <c r="I394" s="929">
        <v>0.77410000000000001</v>
      </c>
      <c r="J394" s="929">
        <v>0.77410000000000001</v>
      </c>
      <c r="K394" s="929">
        <v>0.77410000000000001</v>
      </c>
      <c r="L394" s="929">
        <v>0.77410000000000001</v>
      </c>
      <c r="M394" s="929">
        <v>0.77410000000000001</v>
      </c>
    </row>
    <row r="395" spans="1:13">
      <c r="A395" s="920">
        <v>3.4</v>
      </c>
      <c r="B395" s="929">
        <v>0.95089999999999997</v>
      </c>
      <c r="C395" s="929">
        <v>0.95089999999999997</v>
      </c>
      <c r="D395" s="929">
        <v>0.89559999999999995</v>
      </c>
      <c r="E395" s="929">
        <v>0.89559999999999995</v>
      </c>
      <c r="F395" s="929">
        <v>0.89559999999999995</v>
      </c>
      <c r="G395" s="929">
        <v>0.89559999999999995</v>
      </c>
      <c r="H395" s="929">
        <v>0.89559999999999995</v>
      </c>
      <c r="I395" s="929">
        <v>0.76759999999999995</v>
      </c>
      <c r="J395" s="929">
        <v>0.76759999999999995</v>
      </c>
      <c r="K395" s="929">
        <v>0.76759999999999995</v>
      </c>
      <c r="L395" s="929">
        <v>0.76759999999999995</v>
      </c>
      <c r="M395" s="929">
        <v>0.76759999999999995</v>
      </c>
    </row>
    <row r="396" spans="1:13">
      <c r="A396" s="920">
        <v>3.5</v>
      </c>
      <c r="B396" s="929">
        <v>0.94710000000000005</v>
      </c>
      <c r="C396" s="929">
        <v>0.94710000000000005</v>
      </c>
      <c r="D396" s="929">
        <v>0.89129999999999998</v>
      </c>
      <c r="E396" s="929">
        <v>0.89129999999999998</v>
      </c>
      <c r="F396" s="929">
        <v>0.89129999999999998</v>
      </c>
      <c r="G396" s="929">
        <v>0.89129999999999998</v>
      </c>
      <c r="H396" s="929">
        <v>0.89129999999999998</v>
      </c>
      <c r="I396" s="929">
        <v>0.76160000000000005</v>
      </c>
      <c r="J396" s="929">
        <v>0.76160000000000005</v>
      </c>
      <c r="K396" s="929">
        <v>0.76160000000000005</v>
      </c>
      <c r="L396" s="929">
        <v>0.76160000000000005</v>
      </c>
      <c r="M396" s="929">
        <v>0.76160000000000005</v>
      </c>
    </row>
    <row r="397" spans="1:13">
      <c r="A397" s="920">
        <v>3.6</v>
      </c>
      <c r="B397" s="929">
        <v>0.94359999999999999</v>
      </c>
      <c r="C397" s="929">
        <v>0.94359999999999999</v>
      </c>
      <c r="D397" s="929">
        <v>0.88729999999999998</v>
      </c>
      <c r="E397" s="929">
        <v>0.88729999999999998</v>
      </c>
      <c r="F397" s="929">
        <v>0.88729999999999998</v>
      </c>
      <c r="G397" s="929">
        <v>0.88729999999999998</v>
      </c>
      <c r="H397" s="929">
        <v>0.88729999999999998</v>
      </c>
      <c r="I397" s="929">
        <v>0.75590000000000002</v>
      </c>
      <c r="J397" s="929">
        <v>0.75590000000000002</v>
      </c>
      <c r="K397" s="929">
        <v>0.75590000000000002</v>
      </c>
      <c r="L397" s="929">
        <v>0.75590000000000002</v>
      </c>
      <c r="M397" s="929">
        <v>0.75590000000000002</v>
      </c>
    </row>
    <row r="398" spans="1:13">
      <c r="A398" s="936">
        <v>3.7</v>
      </c>
      <c r="B398" s="929">
        <v>0.94040000000000001</v>
      </c>
      <c r="C398" s="929">
        <v>0.94040000000000001</v>
      </c>
      <c r="D398" s="929">
        <v>0.88349999999999995</v>
      </c>
      <c r="E398" s="929">
        <v>0.88349999999999995</v>
      </c>
      <c r="F398" s="929">
        <v>0.88349999999999995</v>
      </c>
      <c r="G398" s="929">
        <v>0.88349999999999995</v>
      </c>
      <c r="H398" s="929">
        <v>0.88349999999999995</v>
      </c>
      <c r="I398" s="929">
        <v>0.75070000000000003</v>
      </c>
      <c r="J398" s="929">
        <v>0.75070000000000003</v>
      </c>
      <c r="K398" s="929">
        <v>0.75070000000000003</v>
      </c>
      <c r="L398" s="929">
        <v>0.75070000000000003</v>
      </c>
      <c r="M398" s="929">
        <v>0.75070000000000003</v>
      </c>
    </row>
    <row r="399" spans="1:13">
      <c r="A399" s="936">
        <v>3.8</v>
      </c>
      <c r="B399" s="929">
        <v>0.93740000000000001</v>
      </c>
      <c r="C399" s="929">
        <v>0.93740000000000001</v>
      </c>
      <c r="D399" s="929">
        <v>0.88009999999999999</v>
      </c>
      <c r="E399" s="929">
        <v>0.88009999999999999</v>
      </c>
      <c r="F399" s="929">
        <v>0.88009999999999999</v>
      </c>
      <c r="G399" s="929">
        <v>0.88009999999999999</v>
      </c>
      <c r="H399" s="929">
        <v>0.88009999999999999</v>
      </c>
      <c r="I399" s="929">
        <v>0.74570000000000003</v>
      </c>
      <c r="J399" s="929">
        <v>0.74570000000000003</v>
      </c>
      <c r="K399" s="929">
        <v>0.74570000000000003</v>
      </c>
      <c r="L399" s="929">
        <v>0.74570000000000003</v>
      </c>
      <c r="M399" s="929">
        <v>0.74570000000000003</v>
      </c>
    </row>
    <row r="400" spans="1:13">
      <c r="A400" s="936">
        <v>3.9</v>
      </c>
      <c r="B400" s="929">
        <v>0.93459999999999999</v>
      </c>
      <c r="C400" s="929">
        <v>0.93459999999999999</v>
      </c>
      <c r="D400" s="929">
        <v>0.87680000000000002</v>
      </c>
      <c r="E400" s="929">
        <v>0.87680000000000002</v>
      </c>
      <c r="F400" s="929">
        <v>0.87680000000000002</v>
      </c>
      <c r="G400" s="929">
        <v>0.87680000000000002</v>
      </c>
      <c r="H400" s="929">
        <v>0.87680000000000002</v>
      </c>
      <c r="I400" s="929">
        <v>0.74109999999999998</v>
      </c>
      <c r="J400" s="929">
        <v>0.74109999999999998</v>
      </c>
      <c r="K400" s="929">
        <v>0.74109999999999998</v>
      </c>
      <c r="L400" s="929">
        <v>0.74109999999999998</v>
      </c>
      <c r="M400" s="929">
        <v>0.74109999999999998</v>
      </c>
    </row>
    <row r="401" spans="1:13">
      <c r="A401" s="936">
        <v>4</v>
      </c>
      <c r="B401" s="929">
        <v>0.93179999999999996</v>
      </c>
      <c r="C401" s="929">
        <v>0.93179999999999996</v>
      </c>
      <c r="D401" s="929">
        <v>0.87380000000000002</v>
      </c>
      <c r="E401" s="929">
        <v>0.87380000000000002</v>
      </c>
      <c r="F401" s="929">
        <v>0.87380000000000002</v>
      </c>
      <c r="G401" s="929">
        <v>0.87380000000000002</v>
      </c>
      <c r="H401" s="929">
        <v>0.87380000000000002</v>
      </c>
      <c r="I401" s="929">
        <v>0.73680000000000001</v>
      </c>
      <c r="J401" s="929">
        <v>0.73680000000000001</v>
      </c>
      <c r="K401" s="929">
        <v>0.73680000000000001</v>
      </c>
      <c r="L401" s="929">
        <v>0.73680000000000001</v>
      </c>
      <c r="M401" s="929">
        <v>0.73680000000000001</v>
      </c>
    </row>
    <row r="402" spans="1:13">
      <c r="A402" s="936">
        <v>4.0999999999999996</v>
      </c>
      <c r="B402" s="929">
        <v>0.92920000000000003</v>
      </c>
      <c r="C402" s="929">
        <v>0.92920000000000003</v>
      </c>
      <c r="D402" s="929">
        <v>0.87090000000000001</v>
      </c>
      <c r="E402" s="929">
        <v>0.87090000000000001</v>
      </c>
      <c r="F402" s="929">
        <v>0.87090000000000001</v>
      </c>
      <c r="G402" s="929">
        <v>0.87090000000000001</v>
      </c>
      <c r="H402" s="929">
        <v>0.87090000000000001</v>
      </c>
      <c r="I402" s="929">
        <v>0.73270000000000002</v>
      </c>
      <c r="J402" s="929">
        <v>0.73270000000000002</v>
      </c>
      <c r="K402" s="929">
        <v>0.73270000000000002</v>
      </c>
      <c r="L402" s="929">
        <v>0.73270000000000002</v>
      </c>
      <c r="M402" s="929">
        <v>0.73270000000000002</v>
      </c>
    </row>
    <row r="403" spans="1:13">
      <c r="A403" s="936">
        <v>4.2</v>
      </c>
      <c r="B403" s="929">
        <v>0.92659999999999998</v>
      </c>
      <c r="C403" s="929">
        <v>0.92659999999999998</v>
      </c>
      <c r="D403" s="929">
        <v>0.86819999999999997</v>
      </c>
      <c r="E403" s="929">
        <v>0.86819999999999997</v>
      </c>
      <c r="F403" s="929">
        <v>0.86819999999999997</v>
      </c>
      <c r="G403" s="929">
        <v>0.86819999999999997</v>
      </c>
      <c r="H403" s="929">
        <v>0.86819999999999997</v>
      </c>
      <c r="I403" s="929">
        <v>0.7288</v>
      </c>
      <c r="J403" s="929">
        <v>0.7288</v>
      </c>
      <c r="K403" s="929">
        <v>0.7288</v>
      </c>
      <c r="L403" s="929">
        <v>0.7288</v>
      </c>
      <c r="M403" s="929">
        <v>0.7288</v>
      </c>
    </row>
    <row r="404" spans="1:13">
      <c r="A404" s="936">
        <v>4.3</v>
      </c>
      <c r="B404" s="929">
        <v>0.92410000000000003</v>
      </c>
      <c r="C404" s="929">
        <v>0.92410000000000003</v>
      </c>
      <c r="D404" s="929">
        <v>0.86550000000000005</v>
      </c>
      <c r="E404" s="929">
        <v>0.86550000000000005</v>
      </c>
      <c r="F404" s="929">
        <v>0.86550000000000005</v>
      </c>
      <c r="G404" s="929">
        <v>0.86550000000000005</v>
      </c>
      <c r="H404" s="929">
        <v>0.86550000000000005</v>
      </c>
      <c r="I404" s="929">
        <v>0.72509999999999997</v>
      </c>
      <c r="J404" s="929">
        <v>0.72509999999999997</v>
      </c>
      <c r="K404" s="929">
        <v>0.72509999999999997</v>
      </c>
      <c r="L404" s="929">
        <v>0.72509999999999997</v>
      </c>
      <c r="M404" s="929">
        <v>0.72509999999999997</v>
      </c>
    </row>
    <row r="405" spans="1:13">
      <c r="A405" s="936">
        <v>4.4000000000000004</v>
      </c>
      <c r="B405" s="929">
        <v>0.92179999999999995</v>
      </c>
      <c r="C405" s="929">
        <v>0.92179999999999995</v>
      </c>
      <c r="D405" s="929">
        <v>0.8629</v>
      </c>
      <c r="E405" s="929">
        <v>0.8629</v>
      </c>
      <c r="F405" s="929">
        <v>0.8629</v>
      </c>
      <c r="G405" s="929">
        <v>0.8629</v>
      </c>
      <c r="H405" s="929">
        <v>0.8629</v>
      </c>
      <c r="I405" s="929">
        <v>0.72150000000000003</v>
      </c>
      <c r="J405" s="929">
        <v>0.72150000000000003</v>
      </c>
      <c r="K405" s="929">
        <v>0.72150000000000003</v>
      </c>
      <c r="L405" s="929">
        <v>0.72150000000000003</v>
      </c>
      <c r="M405" s="929">
        <v>0.72150000000000003</v>
      </c>
    </row>
    <row r="406" spans="1:13">
      <c r="A406" s="936">
        <v>4.5</v>
      </c>
      <c r="B406" s="929">
        <v>0.91949999999999998</v>
      </c>
      <c r="C406" s="929">
        <v>0.91949999999999998</v>
      </c>
      <c r="D406" s="929">
        <v>0.86050000000000004</v>
      </c>
      <c r="E406" s="929">
        <v>0.86050000000000004</v>
      </c>
      <c r="F406" s="929">
        <v>0.86050000000000004</v>
      </c>
      <c r="G406" s="929">
        <v>0.86050000000000004</v>
      </c>
      <c r="H406" s="929">
        <v>0.86050000000000004</v>
      </c>
      <c r="I406" s="929">
        <v>0.71819999999999995</v>
      </c>
      <c r="J406" s="929">
        <v>0.71819999999999995</v>
      </c>
      <c r="K406" s="929">
        <v>0.71819999999999995</v>
      </c>
      <c r="L406" s="929">
        <v>0.71819999999999995</v>
      </c>
      <c r="M406" s="929">
        <v>0.71819999999999995</v>
      </c>
    </row>
    <row r="407" spans="1:13">
      <c r="A407" s="936">
        <v>4.5999999999999996</v>
      </c>
      <c r="B407" s="929">
        <v>0.9173</v>
      </c>
      <c r="C407" s="929">
        <v>0.9173</v>
      </c>
      <c r="D407" s="929">
        <v>0.85809999999999997</v>
      </c>
      <c r="E407" s="929">
        <v>0.85809999999999997</v>
      </c>
      <c r="F407" s="929">
        <v>0.85809999999999997</v>
      </c>
      <c r="G407" s="929">
        <v>0.85809999999999997</v>
      </c>
      <c r="H407" s="929">
        <v>0.85809999999999997</v>
      </c>
      <c r="I407" s="929">
        <v>0.71499999999999997</v>
      </c>
      <c r="J407" s="929">
        <v>0.71499999999999997</v>
      </c>
      <c r="K407" s="929">
        <v>0.71499999999999997</v>
      </c>
      <c r="L407" s="929">
        <v>0.71499999999999997</v>
      </c>
      <c r="M407" s="929">
        <v>0.71499999999999997</v>
      </c>
    </row>
    <row r="408" spans="1:13">
      <c r="A408" s="936">
        <v>4.7</v>
      </c>
      <c r="B408" s="929">
        <v>0.91520000000000001</v>
      </c>
      <c r="C408" s="929">
        <v>0.91520000000000001</v>
      </c>
      <c r="D408" s="929">
        <v>0.85570000000000002</v>
      </c>
      <c r="E408" s="929">
        <v>0.85570000000000002</v>
      </c>
      <c r="F408" s="929">
        <v>0.85570000000000002</v>
      </c>
      <c r="G408" s="929">
        <v>0.85570000000000002</v>
      </c>
      <c r="H408" s="929">
        <v>0.85570000000000002</v>
      </c>
      <c r="I408" s="929">
        <v>0.71199999999999997</v>
      </c>
      <c r="J408" s="929">
        <v>0.71199999999999997</v>
      </c>
      <c r="K408" s="929">
        <v>0.71199999999999997</v>
      </c>
      <c r="L408" s="929">
        <v>0.71199999999999997</v>
      </c>
      <c r="M408" s="929">
        <v>0.71199999999999997</v>
      </c>
    </row>
    <row r="409" spans="1:13">
      <c r="A409" s="936">
        <v>4.8</v>
      </c>
      <c r="B409" s="929">
        <v>0.91310000000000002</v>
      </c>
      <c r="C409" s="929">
        <v>0.91310000000000002</v>
      </c>
      <c r="D409" s="929">
        <v>0.85340000000000005</v>
      </c>
      <c r="E409" s="929">
        <v>0.85340000000000005</v>
      </c>
      <c r="F409" s="929">
        <v>0.85340000000000005</v>
      </c>
      <c r="G409" s="929">
        <v>0.85340000000000005</v>
      </c>
      <c r="H409" s="929">
        <v>0.85340000000000005</v>
      </c>
      <c r="I409" s="929">
        <v>0.70909999999999995</v>
      </c>
      <c r="J409" s="929">
        <v>0.70909999999999995</v>
      </c>
      <c r="K409" s="929">
        <v>0.70909999999999995</v>
      </c>
      <c r="L409" s="929">
        <v>0.70909999999999995</v>
      </c>
      <c r="M409" s="929">
        <v>0.70909999999999995</v>
      </c>
    </row>
    <row r="410" spans="1:13">
      <c r="A410" s="936">
        <v>4.9000000000000004</v>
      </c>
      <c r="B410" s="929">
        <v>0.91120000000000001</v>
      </c>
      <c r="C410" s="929">
        <v>0.91120000000000001</v>
      </c>
      <c r="D410" s="929">
        <v>0.85109999999999997</v>
      </c>
      <c r="E410" s="929">
        <v>0.85109999999999997</v>
      </c>
      <c r="F410" s="929">
        <v>0.85109999999999997</v>
      </c>
      <c r="G410" s="929">
        <v>0.85109999999999997</v>
      </c>
      <c r="H410" s="929">
        <v>0.85109999999999997</v>
      </c>
      <c r="I410" s="929">
        <v>0.70620000000000005</v>
      </c>
      <c r="J410" s="929">
        <v>0.70620000000000005</v>
      </c>
      <c r="K410" s="929">
        <v>0.70620000000000005</v>
      </c>
      <c r="L410" s="929">
        <v>0.70620000000000005</v>
      </c>
      <c r="M410" s="929">
        <v>0.70620000000000005</v>
      </c>
    </row>
    <row r="411" spans="1:13">
      <c r="A411" s="936">
        <v>5</v>
      </c>
      <c r="B411" s="929">
        <v>0.90920000000000001</v>
      </c>
      <c r="C411" s="929">
        <v>0.90920000000000001</v>
      </c>
      <c r="D411" s="929">
        <v>0.84889999999999999</v>
      </c>
      <c r="E411" s="929">
        <v>0.84889999999999999</v>
      </c>
      <c r="F411" s="929">
        <v>0.84889999999999999</v>
      </c>
      <c r="G411" s="929">
        <v>0.84889999999999999</v>
      </c>
      <c r="H411" s="929">
        <v>0.84889999999999999</v>
      </c>
      <c r="I411" s="929">
        <v>0.70350000000000001</v>
      </c>
      <c r="J411" s="929">
        <v>0.70350000000000001</v>
      </c>
      <c r="K411" s="929">
        <v>0.70350000000000001</v>
      </c>
      <c r="L411" s="929">
        <v>0.70350000000000001</v>
      </c>
      <c r="M411" s="929">
        <v>0.70350000000000001</v>
      </c>
    </row>
    <row r="412" spans="1:13">
      <c r="A412" s="936">
        <v>5.0999999999999996</v>
      </c>
      <c r="B412" s="929">
        <v>0.90720000000000001</v>
      </c>
      <c r="C412" s="929">
        <v>0.90720000000000001</v>
      </c>
      <c r="D412" s="929">
        <v>0.84670000000000001</v>
      </c>
      <c r="E412" s="929">
        <v>0.84670000000000001</v>
      </c>
      <c r="F412" s="929">
        <v>0.84670000000000001</v>
      </c>
      <c r="G412" s="929">
        <v>0.84670000000000001</v>
      </c>
      <c r="H412" s="929">
        <v>0.84670000000000001</v>
      </c>
      <c r="I412" s="929">
        <v>0.70089999999999997</v>
      </c>
      <c r="J412" s="929">
        <v>0.70089999999999997</v>
      </c>
      <c r="K412" s="929">
        <v>0.70089999999999997</v>
      </c>
      <c r="L412" s="929">
        <v>0.70089999999999997</v>
      </c>
      <c r="M412" s="929">
        <v>0.70089999999999997</v>
      </c>
    </row>
    <row r="413" spans="1:13">
      <c r="A413" s="936">
        <v>5.2</v>
      </c>
      <c r="B413" s="929">
        <v>0.90529999999999999</v>
      </c>
      <c r="C413" s="929">
        <v>0.90529999999999999</v>
      </c>
      <c r="D413" s="929">
        <v>0.84450000000000003</v>
      </c>
      <c r="E413" s="929">
        <v>0.84450000000000003</v>
      </c>
      <c r="F413" s="929">
        <v>0.84450000000000003</v>
      </c>
      <c r="G413" s="929">
        <v>0.84450000000000003</v>
      </c>
      <c r="H413" s="929">
        <v>0.84450000000000003</v>
      </c>
      <c r="I413" s="929">
        <v>0.69820000000000004</v>
      </c>
      <c r="J413" s="929">
        <v>0.69820000000000004</v>
      </c>
      <c r="K413" s="929">
        <v>0.69820000000000004</v>
      </c>
      <c r="L413" s="929">
        <v>0.69820000000000004</v>
      </c>
      <c r="M413" s="929">
        <v>0.69820000000000004</v>
      </c>
    </row>
    <row r="414" spans="1:13">
      <c r="A414" s="936">
        <v>5.3</v>
      </c>
      <c r="B414" s="929">
        <v>0.90339999999999998</v>
      </c>
      <c r="C414" s="929">
        <v>0.90339999999999998</v>
      </c>
      <c r="D414" s="929">
        <v>0.84230000000000005</v>
      </c>
      <c r="E414" s="929">
        <v>0.84230000000000005</v>
      </c>
      <c r="F414" s="929">
        <v>0.84230000000000005</v>
      </c>
      <c r="G414" s="929">
        <v>0.84230000000000005</v>
      </c>
      <c r="H414" s="929">
        <v>0.84230000000000005</v>
      </c>
      <c r="I414" s="929">
        <v>0.69569999999999999</v>
      </c>
      <c r="J414" s="929">
        <v>0.69569999999999999</v>
      </c>
      <c r="K414" s="929">
        <v>0.69569999999999999</v>
      </c>
      <c r="L414" s="929">
        <v>0.69569999999999999</v>
      </c>
      <c r="M414" s="929">
        <v>0.69569999999999999</v>
      </c>
    </row>
    <row r="415" spans="1:13">
      <c r="A415" s="936">
        <v>5.4</v>
      </c>
      <c r="B415" s="929">
        <v>0.90149999999999997</v>
      </c>
      <c r="C415" s="929">
        <v>0.90149999999999997</v>
      </c>
      <c r="D415" s="929">
        <v>0.84019999999999995</v>
      </c>
      <c r="E415" s="929">
        <v>0.84019999999999995</v>
      </c>
      <c r="F415" s="929">
        <v>0.84019999999999995</v>
      </c>
      <c r="G415" s="929">
        <v>0.84019999999999995</v>
      </c>
      <c r="H415" s="929">
        <v>0.84019999999999995</v>
      </c>
      <c r="I415" s="929">
        <v>0.69310000000000005</v>
      </c>
      <c r="J415" s="929">
        <v>0.69310000000000005</v>
      </c>
      <c r="K415" s="929">
        <v>0.69310000000000005</v>
      </c>
      <c r="L415" s="929">
        <v>0.69310000000000005</v>
      </c>
      <c r="M415" s="929">
        <v>0.69310000000000005</v>
      </c>
    </row>
    <row r="416" spans="1:13">
      <c r="A416" s="936">
        <v>5.5</v>
      </c>
      <c r="B416" s="929">
        <v>0.89959999999999996</v>
      </c>
      <c r="C416" s="929">
        <v>0.89959999999999996</v>
      </c>
      <c r="D416" s="929">
        <v>0.83809999999999996</v>
      </c>
      <c r="E416" s="929">
        <v>0.83809999999999996</v>
      </c>
      <c r="F416" s="929">
        <v>0.83809999999999996</v>
      </c>
      <c r="G416" s="929">
        <v>0.83809999999999996</v>
      </c>
      <c r="H416" s="929">
        <v>0.83809999999999996</v>
      </c>
      <c r="I416" s="929">
        <v>0.69059999999999999</v>
      </c>
      <c r="J416" s="929">
        <v>0.69059999999999999</v>
      </c>
      <c r="K416" s="929">
        <v>0.69059999999999999</v>
      </c>
      <c r="L416" s="929">
        <v>0.69059999999999999</v>
      </c>
      <c r="M416" s="929">
        <v>0.69059999999999999</v>
      </c>
    </row>
    <row r="417" spans="1:13">
      <c r="A417" s="936">
        <v>5.6</v>
      </c>
      <c r="B417" s="929">
        <v>0.89780000000000004</v>
      </c>
      <c r="C417" s="929">
        <v>0.89780000000000004</v>
      </c>
      <c r="D417" s="929">
        <v>0.83599999999999997</v>
      </c>
      <c r="E417" s="929">
        <v>0.83599999999999997</v>
      </c>
      <c r="F417" s="929">
        <v>0.83599999999999997</v>
      </c>
      <c r="G417" s="929">
        <v>0.83599999999999997</v>
      </c>
      <c r="H417" s="929">
        <v>0.83599999999999997</v>
      </c>
      <c r="I417" s="929">
        <v>0.68810000000000004</v>
      </c>
      <c r="J417" s="929">
        <v>0.68810000000000004</v>
      </c>
      <c r="K417" s="929">
        <v>0.68810000000000004</v>
      </c>
      <c r="L417" s="929">
        <v>0.68810000000000004</v>
      </c>
      <c r="M417" s="929">
        <v>0.68810000000000004</v>
      </c>
    </row>
    <row r="418" spans="1:13">
      <c r="A418" s="936">
        <v>5.7</v>
      </c>
      <c r="B418" s="929">
        <v>0.89600000000000002</v>
      </c>
      <c r="C418" s="929">
        <v>0.89600000000000002</v>
      </c>
      <c r="D418" s="929">
        <v>0.83389999999999997</v>
      </c>
      <c r="E418" s="929">
        <v>0.83389999999999997</v>
      </c>
      <c r="F418" s="929">
        <v>0.83389999999999997</v>
      </c>
      <c r="G418" s="929">
        <v>0.83389999999999997</v>
      </c>
      <c r="H418" s="929">
        <v>0.83389999999999997</v>
      </c>
      <c r="I418" s="929">
        <v>0.68569999999999998</v>
      </c>
      <c r="J418" s="929">
        <v>0.68569999999999998</v>
      </c>
      <c r="K418" s="929">
        <v>0.68569999999999998</v>
      </c>
      <c r="L418" s="929">
        <v>0.68569999999999998</v>
      </c>
      <c r="M418" s="929">
        <v>0.68569999999999998</v>
      </c>
    </row>
    <row r="419" spans="1:13">
      <c r="A419" s="936">
        <v>5.8</v>
      </c>
      <c r="B419" s="929">
        <v>0.89419999999999999</v>
      </c>
      <c r="C419" s="929">
        <v>0.89419999999999999</v>
      </c>
      <c r="D419" s="929">
        <v>0.83189999999999997</v>
      </c>
      <c r="E419" s="929">
        <v>0.83189999999999997</v>
      </c>
      <c r="F419" s="929">
        <v>0.83189999999999997</v>
      </c>
      <c r="G419" s="929">
        <v>0.83189999999999997</v>
      </c>
      <c r="H419" s="929">
        <v>0.83189999999999997</v>
      </c>
      <c r="I419" s="929">
        <v>0.68320000000000003</v>
      </c>
      <c r="J419" s="929">
        <v>0.68320000000000003</v>
      </c>
      <c r="K419" s="929">
        <v>0.68320000000000003</v>
      </c>
      <c r="L419" s="929">
        <v>0.68320000000000003</v>
      </c>
      <c r="M419" s="929">
        <v>0.68320000000000003</v>
      </c>
    </row>
    <row r="420" spans="1:13">
      <c r="A420" s="936">
        <v>5.9</v>
      </c>
      <c r="B420" s="929">
        <v>0.89239999999999997</v>
      </c>
      <c r="C420" s="929">
        <v>0.89239999999999997</v>
      </c>
      <c r="D420" s="929">
        <v>0.82989999999999997</v>
      </c>
      <c r="E420" s="929">
        <v>0.82989999999999997</v>
      </c>
      <c r="F420" s="929">
        <v>0.82989999999999997</v>
      </c>
      <c r="G420" s="929">
        <v>0.82989999999999997</v>
      </c>
      <c r="H420" s="929">
        <v>0.82989999999999997</v>
      </c>
      <c r="I420" s="929">
        <v>0.68069999999999997</v>
      </c>
      <c r="J420" s="929">
        <v>0.68069999999999997</v>
      </c>
      <c r="K420" s="929">
        <v>0.68069999999999997</v>
      </c>
      <c r="L420" s="929">
        <v>0.68069999999999997</v>
      </c>
      <c r="M420" s="929">
        <v>0.68069999999999997</v>
      </c>
    </row>
    <row r="421" spans="1:13">
      <c r="A421" s="936">
        <v>6</v>
      </c>
      <c r="B421" s="929">
        <v>0.89070000000000005</v>
      </c>
      <c r="C421" s="929">
        <v>0.89070000000000005</v>
      </c>
      <c r="D421" s="929">
        <v>0.82789999999999997</v>
      </c>
      <c r="E421" s="929">
        <v>0.82789999999999997</v>
      </c>
      <c r="F421" s="929">
        <v>0.82789999999999997</v>
      </c>
      <c r="G421" s="929">
        <v>0.82789999999999997</v>
      </c>
      <c r="H421" s="929">
        <v>0.82789999999999997</v>
      </c>
      <c r="I421" s="929">
        <v>0.6784</v>
      </c>
      <c r="J421" s="929">
        <v>0.6784</v>
      </c>
      <c r="K421" s="929">
        <v>0.6784</v>
      </c>
      <c r="L421" s="929">
        <v>0.6784</v>
      </c>
      <c r="M421" s="929">
        <v>0.6784</v>
      </c>
    </row>
    <row r="422" spans="1:13">
      <c r="A422" s="936">
        <v>6.1</v>
      </c>
      <c r="B422" s="929">
        <v>0.88900000000000001</v>
      </c>
      <c r="C422" s="929">
        <v>0.88900000000000001</v>
      </c>
      <c r="D422" s="929">
        <v>0.82589999999999997</v>
      </c>
      <c r="E422" s="929">
        <v>0.82589999999999997</v>
      </c>
      <c r="F422" s="929">
        <v>0.82589999999999997</v>
      </c>
      <c r="G422" s="929">
        <v>0.82589999999999997</v>
      </c>
      <c r="H422" s="929">
        <v>0.82589999999999997</v>
      </c>
      <c r="I422" s="929">
        <v>0.67600000000000005</v>
      </c>
      <c r="J422" s="929">
        <v>0.67600000000000005</v>
      </c>
      <c r="K422" s="929">
        <v>0.67600000000000005</v>
      </c>
      <c r="L422" s="929">
        <v>0.67600000000000005</v>
      </c>
      <c r="M422" s="929">
        <v>0.67600000000000005</v>
      </c>
    </row>
    <row r="423" spans="1:13">
      <c r="A423" s="936">
        <v>6.2</v>
      </c>
      <c r="B423" s="929">
        <v>0.88729999999999998</v>
      </c>
      <c r="C423" s="929">
        <v>0.88729999999999998</v>
      </c>
      <c r="D423" s="929">
        <v>0.82389999999999997</v>
      </c>
      <c r="E423" s="929">
        <v>0.82389999999999997</v>
      </c>
      <c r="F423" s="929">
        <v>0.82389999999999997</v>
      </c>
      <c r="G423" s="929">
        <v>0.82389999999999997</v>
      </c>
      <c r="H423" s="929">
        <v>0.82389999999999997</v>
      </c>
      <c r="I423" s="929">
        <v>0.67359999999999998</v>
      </c>
      <c r="J423" s="929">
        <v>0.67359999999999998</v>
      </c>
      <c r="K423" s="929">
        <v>0.67359999999999998</v>
      </c>
      <c r="L423" s="929">
        <v>0.67359999999999998</v>
      </c>
      <c r="M423" s="929">
        <v>0.67359999999999998</v>
      </c>
    </row>
    <row r="424" spans="1:13">
      <c r="A424" s="936">
        <v>6.3</v>
      </c>
      <c r="B424" s="929">
        <v>0.88560000000000005</v>
      </c>
      <c r="C424" s="929">
        <v>0.88560000000000005</v>
      </c>
      <c r="D424" s="929">
        <v>0.82189999999999996</v>
      </c>
      <c r="E424" s="929">
        <v>0.82189999999999996</v>
      </c>
      <c r="F424" s="929">
        <v>0.82189999999999996</v>
      </c>
      <c r="G424" s="929">
        <v>0.82189999999999996</v>
      </c>
      <c r="H424" s="929">
        <v>0.82189999999999996</v>
      </c>
      <c r="I424" s="929">
        <v>0.67130000000000001</v>
      </c>
      <c r="J424" s="929">
        <v>0.67130000000000001</v>
      </c>
      <c r="K424" s="929">
        <v>0.67130000000000001</v>
      </c>
      <c r="L424" s="929">
        <v>0.67130000000000001</v>
      </c>
      <c r="M424" s="929">
        <v>0.67130000000000001</v>
      </c>
    </row>
    <row r="425" spans="1:13">
      <c r="A425" s="936">
        <v>6.4</v>
      </c>
      <c r="B425" s="929">
        <v>0.88390000000000002</v>
      </c>
      <c r="C425" s="929">
        <v>0.88390000000000002</v>
      </c>
      <c r="D425" s="929">
        <v>0.82</v>
      </c>
      <c r="E425" s="929">
        <v>0.82</v>
      </c>
      <c r="F425" s="929">
        <v>0.82</v>
      </c>
      <c r="G425" s="929">
        <v>0.82</v>
      </c>
      <c r="H425" s="929">
        <v>0.82</v>
      </c>
      <c r="I425" s="929">
        <v>0.66890000000000005</v>
      </c>
      <c r="J425" s="929">
        <v>0.66890000000000005</v>
      </c>
      <c r="K425" s="929">
        <v>0.66890000000000005</v>
      </c>
      <c r="L425" s="929">
        <v>0.66890000000000005</v>
      </c>
      <c r="M425" s="929">
        <v>0.66890000000000005</v>
      </c>
    </row>
    <row r="426" spans="1:13">
      <c r="A426" s="936">
        <v>6.5</v>
      </c>
      <c r="B426" s="929">
        <v>0.88229999999999997</v>
      </c>
      <c r="C426" s="929">
        <v>0.88229999999999997</v>
      </c>
      <c r="D426" s="929">
        <v>0.81810000000000005</v>
      </c>
      <c r="E426" s="929">
        <v>0.81810000000000005</v>
      </c>
      <c r="F426" s="929">
        <v>0.81810000000000005</v>
      </c>
      <c r="G426" s="929">
        <v>0.81810000000000005</v>
      </c>
      <c r="H426" s="929">
        <v>0.81810000000000005</v>
      </c>
      <c r="I426" s="929">
        <v>0.66659999999999997</v>
      </c>
      <c r="J426" s="929">
        <v>0.66659999999999997</v>
      </c>
      <c r="K426" s="929">
        <v>0.66659999999999997</v>
      </c>
      <c r="L426" s="929">
        <v>0.66659999999999997</v>
      </c>
      <c r="M426" s="929">
        <v>0.66659999999999997</v>
      </c>
    </row>
    <row r="427" spans="1:13">
      <c r="A427" s="936">
        <v>6.6</v>
      </c>
      <c r="B427" s="929">
        <v>0.88070000000000004</v>
      </c>
      <c r="C427" s="929">
        <v>0.88070000000000004</v>
      </c>
      <c r="D427" s="929">
        <v>0.81620000000000004</v>
      </c>
      <c r="E427" s="929">
        <v>0.81620000000000004</v>
      </c>
      <c r="F427" s="929">
        <v>0.81620000000000004</v>
      </c>
      <c r="G427" s="929">
        <v>0.81620000000000004</v>
      </c>
      <c r="H427" s="929">
        <v>0.81620000000000004</v>
      </c>
      <c r="I427" s="929">
        <v>0.66439999999999999</v>
      </c>
      <c r="J427" s="929">
        <v>0.66439999999999999</v>
      </c>
      <c r="K427" s="929">
        <v>0.66439999999999999</v>
      </c>
      <c r="L427" s="929">
        <v>0.66439999999999999</v>
      </c>
      <c r="M427" s="929">
        <v>0.66439999999999999</v>
      </c>
    </row>
    <row r="428" spans="1:13">
      <c r="A428" s="936">
        <v>6.7</v>
      </c>
      <c r="B428" s="929">
        <v>0.879</v>
      </c>
      <c r="C428" s="929">
        <v>0.879</v>
      </c>
      <c r="D428" s="929">
        <v>0.81430000000000002</v>
      </c>
      <c r="E428" s="929">
        <v>0.81430000000000002</v>
      </c>
      <c r="F428" s="929">
        <v>0.81430000000000002</v>
      </c>
      <c r="G428" s="929">
        <v>0.81430000000000002</v>
      </c>
      <c r="H428" s="929">
        <v>0.81430000000000002</v>
      </c>
      <c r="I428" s="929">
        <v>0.66210000000000002</v>
      </c>
      <c r="J428" s="929">
        <v>0.66210000000000002</v>
      </c>
      <c r="K428" s="929">
        <v>0.66210000000000002</v>
      </c>
      <c r="L428" s="929">
        <v>0.66210000000000002</v>
      </c>
      <c r="M428" s="929">
        <v>0.66210000000000002</v>
      </c>
    </row>
    <row r="429" spans="1:13">
      <c r="A429" s="936">
        <v>6.8</v>
      </c>
      <c r="B429" s="929">
        <v>0.87739999999999996</v>
      </c>
      <c r="C429" s="929">
        <v>0.87739999999999996</v>
      </c>
      <c r="D429" s="929">
        <v>0.81240000000000001</v>
      </c>
      <c r="E429" s="929">
        <v>0.81240000000000001</v>
      </c>
      <c r="F429" s="929">
        <v>0.81240000000000001</v>
      </c>
      <c r="G429" s="929">
        <v>0.81240000000000001</v>
      </c>
      <c r="H429" s="929">
        <v>0.81240000000000001</v>
      </c>
      <c r="I429" s="929">
        <v>0.65980000000000005</v>
      </c>
      <c r="J429" s="929">
        <v>0.65980000000000005</v>
      </c>
      <c r="K429" s="929">
        <v>0.65980000000000005</v>
      </c>
      <c r="L429" s="929">
        <v>0.65980000000000005</v>
      </c>
      <c r="M429" s="929">
        <v>0.65980000000000005</v>
      </c>
    </row>
    <row r="430" spans="1:13">
      <c r="A430" s="936">
        <v>6.9</v>
      </c>
      <c r="B430" s="929">
        <v>0.87580000000000002</v>
      </c>
      <c r="C430" s="929">
        <v>0.87580000000000002</v>
      </c>
      <c r="D430" s="929">
        <v>0.8105</v>
      </c>
      <c r="E430" s="929">
        <v>0.8105</v>
      </c>
      <c r="F430" s="929">
        <v>0.8105</v>
      </c>
      <c r="G430" s="929">
        <v>0.8105</v>
      </c>
      <c r="H430" s="929">
        <v>0.8105</v>
      </c>
      <c r="I430" s="929">
        <v>0.65749999999999997</v>
      </c>
      <c r="J430" s="929">
        <v>0.65749999999999997</v>
      </c>
      <c r="K430" s="929">
        <v>0.65749999999999997</v>
      </c>
      <c r="L430" s="929">
        <v>0.65749999999999997</v>
      </c>
      <c r="M430" s="929">
        <v>0.65749999999999997</v>
      </c>
    </row>
    <row r="431" spans="1:13">
      <c r="A431" s="936">
        <v>7</v>
      </c>
      <c r="B431" s="929">
        <v>0.87419999999999998</v>
      </c>
      <c r="C431" s="929">
        <v>0.87419999999999998</v>
      </c>
      <c r="D431" s="929">
        <v>0.80869999999999997</v>
      </c>
      <c r="E431" s="929">
        <v>0.80869999999999997</v>
      </c>
      <c r="F431" s="929">
        <v>0.80869999999999997</v>
      </c>
      <c r="G431" s="929">
        <v>0.80869999999999997</v>
      </c>
      <c r="H431" s="929">
        <v>0.80869999999999997</v>
      </c>
      <c r="I431" s="929">
        <v>0.65529999999999999</v>
      </c>
      <c r="J431" s="929">
        <v>0.65529999999999999</v>
      </c>
      <c r="K431" s="929">
        <v>0.65529999999999999</v>
      </c>
      <c r="L431" s="929">
        <v>0.65529999999999999</v>
      </c>
      <c r="M431" s="929">
        <v>0.65529999999999999</v>
      </c>
    </row>
    <row r="432" spans="1:13">
      <c r="A432" s="936">
        <v>7.1</v>
      </c>
      <c r="B432" s="929">
        <v>0.87270000000000003</v>
      </c>
      <c r="C432" s="929">
        <v>0.87270000000000003</v>
      </c>
      <c r="D432" s="929">
        <v>0.80689999999999995</v>
      </c>
      <c r="E432" s="929">
        <v>0.80689999999999995</v>
      </c>
      <c r="F432" s="929">
        <v>0.80689999999999995</v>
      </c>
      <c r="G432" s="929">
        <v>0.80689999999999995</v>
      </c>
      <c r="H432" s="929">
        <v>0.80689999999999995</v>
      </c>
      <c r="I432" s="929">
        <v>0.6532</v>
      </c>
      <c r="J432" s="929">
        <v>0.6532</v>
      </c>
      <c r="K432" s="929">
        <v>0.6532</v>
      </c>
      <c r="L432" s="929">
        <v>0.6532</v>
      </c>
      <c r="M432" s="929">
        <v>0.6532</v>
      </c>
    </row>
    <row r="433" spans="1:13">
      <c r="A433" s="936">
        <v>7.2</v>
      </c>
      <c r="B433" s="929">
        <v>0.87119999999999997</v>
      </c>
      <c r="C433" s="929">
        <v>0.87119999999999997</v>
      </c>
      <c r="D433" s="929">
        <v>0.80510000000000004</v>
      </c>
      <c r="E433" s="929">
        <v>0.80510000000000004</v>
      </c>
      <c r="F433" s="929">
        <v>0.80510000000000004</v>
      </c>
      <c r="G433" s="929">
        <v>0.80510000000000004</v>
      </c>
      <c r="H433" s="929">
        <v>0.80510000000000004</v>
      </c>
      <c r="I433" s="929">
        <v>0.65100000000000002</v>
      </c>
      <c r="J433" s="929">
        <v>0.65100000000000002</v>
      </c>
      <c r="K433" s="929">
        <v>0.65100000000000002</v>
      </c>
      <c r="L433" s="929">
        <v>0.65100000000000002</v>
      </c>
      <c r="M433" s="929">
        <v>0.65100000000000002</v>
      </c>
    </row>
    <row r="434" spans="1:13">
      <c r="A434" s="936">
        <v>7.3</v>
      </c>
      <c r="B434" s="929">
        <v>0.86970000000000003</v>
      </c>
      <c r="C434" s="929">
        <v>0.86970000000000003</v>
      </c>
      <c r="D434" s="929">
        <v>0.80330000000000001</v>
      </c>
      <c r="E434" s="929">
        <v>0.80330000000000001</v>
      </c>
      <c r="F434" s="929">
        <v>0.80330000000000001</v>
      </c>
      <c r="G434" s="929">
        <v>0.80330000000000001</v>
      </c>
      <c r="H434" s="929">
        <v>0.80330000000000001</v>
      </c>
      <c r="I434" s="929">
        <v>0.64880000000000004</v>
      </c>
      <c r="J434" s="929">
        <v>0.64880000000000004</v>
      </c>
      <c r="K434" s="929">
        <v>0.64880000000000004</v>
      </c>
      <c r="L434" s="929">
        <v>0.64880000000000004</v>
      </c>
      <c r="M434" s="929">
        <v>0.64880000000000004</v>
      </c>
    </row>
    <row r="435" spans="1:13">
      <c r="A435" s="936">
        <v>7.4</v>
      </c>
      <c r="B435" s="929">
        <v>0.86819999999999997</v>
      </c>
      <c r="C435" s="929">
        <v>0.86819999999999997</v>
      </c>
      <c r="D435" s="929">
        <v>0.80149999999999999</v>
      </c>
      <c r="E435" s="929">
        <v>0.80149999999999999</v>
      </c>
      <c r="F435" s="929">
        <v>0.80149999999999999</v>
      </c>
      <c r="G435" s="929">
        <v>0.80149999999999999</v>
      </c>
      <c r="H435" s="929">
        <v>0.80149999999999999</v>
      </c>
      <c r="I435" s="929">
        <v>0.64659999999999995</v>
      </c>
      <c r="J435" s="929">
        <v>0.64659999999999995</v>
      </c>
      <c r="K435" s="929">
        <v>0.64659999999999995</v>
      </c>
      <c r="L435" s="929">
        <v>0.64659999999999995</v>
      </c>
      <c r="M435" s="929">
        <v>0.64659999999999995</v>
      </c>
    </row>
    <row r="436" spans="1:13">
      <c r="A436" s="936">
        <v>7.5</v>
      </c>
      <c r="B436" s="929">
        <v>0.86660000000000004</v>
      </c>
      <c r="C436" s="929">
        <v>0.86660000000000004</v>
      </c>
      <c r="D436" s="929">
        <v>0.79969999999999997</v>
      </c>
      <c r="E436" s="929">
        <v>0.79969999999999997</v>
      </c>
      <c r="F436" s="929">
        <v>0.79969999999999997</v>
      </c>
      <c r="G436" s="929">
        <v>0.79969999999999997</v>
      </c>
      <c r="H436" s="929">
        <v>0.79969999999999997</v>
      </c>
      <c r="I436" s="929">
        <v>0.64449999999999996</v>
      </c>
      <c r="J436" s="929">
        <v>0.64449999999999996</v>
      </c>
      <c r="K436" s="929">
        <v>0.64449999999999996</v>
      </c>
      <c r="L436" s="929">
        <v>0.64449999999999996</v>
      </c>
      <c r="M436" s="929">
        <v>0.64449999999999996</v>
      </c>
    </row>
    <row r="437" spans="1:13">
      <c r="A437" s="936">
        <v>7.6</v>
      </c>
      <c r="B437" s="929">
        <v>0.86509999999999998</v>
      </c>
      <c r="C437" s="929">
        <v>0.86509999999999998</v>
      </c>
      <c r="D437" s="929">
        <v>0.79800000000000004</v>
      </c>
      <c r="E437" s="929">
        <v>0.79800000000000004</v>
      </c>
      <c r="F437" s="929">
        <v>0.79800000000000004</v>
      </c>
      <c r="G437" s="929">
        <v>0.79800000000000004</v>
      </c>
      <c r="H437" s="929">
        <v>0.79800000000000004</v>
      </c>
      <c r="I437" s="929">
        <v>0.64239999999999997</v>
      </c>
      <c r="J437" s="929">
        <v>0.64239999999999997</v>
      </c>
      <c r="K437" s="929">
        <v>0.64239999999999997</v>
      </c>
      <c r="L437" s="929">
        <v>0.64239999999999997</v>
      </c>
      <c r="M437" s="929">
        <v>0.64239999999999997</v>
      </c>
    </row>
    <row r="438" spans="1:13">
      <c r="A438" s="936">
        <v>7.7</v>
      </c>
      <c r="B438" s="929">
        <v>0.86370000000000002</v>
      </c>
      <c r="C438" s="929">
        <v>0.86370000000000002</v>
      </c>
      <c r="D438" s="929">
        <v>0.79630000000000001</v>
      </c>
      <c r="E438" s="929">
        <v>0.79630000000000001</v>
      </c>
      <c r="F438" s="929">
        <v>0.79630000000000001</v>
      </c>
      <c r="G438" s="929">
        <v>0.79630000000000001</v>
      </c>
      <c r="H438" s="929">
        <v>0.79630000000000001</v>
      </c>
      <c r="I438" s="929">
        <v>0.64029999999999998</v>
      </c>
      <c r="J438" s="929">
        <v>0.64029999999999998</v>
      </c>
      <c r="K438" s="929">
        <v>0.64029999999999998</v>
      </c>
      <c r="L438" s="929">
        <v>0.64029999999999998</v>
      </c>
      <c r="M438" s="929">
        <v>0.64029999999999998</v>
      </c>
    </row>
    <row r="439" spans="1:13">
      <c r="A439" s="936">
        <v>7.8</v>
      </c>
      <c r="B439" s="929">
        <v>0.86229999999999996</v>
      </c>
      <c r="C439" s="929">
        <v>0.86229999999999996</v>
      </c>
      <c r="D439" s="929">
        <v>0.79449999999999998</v>
      </c>
      <c r="E439" s="929">
        <v>0.79449999999999998</v>
      </c>
      <c r="F439" s="929">
        <v>0.79449999999999998</v>
      </c>
      <c r="G439" s="929">
        <v>0.79449999999999998</v>
      </c>
      <c r="H439" s="929">
        <v>0.79449999999999998</v>
      </c>
      <c r="I439" s="929">
        <v>0.63819999999999999</v>
      </c>
      <c r="J439" s="929">
        <v>0.63819999999999999</v>
      </c>
      <c r="K439" s="929">
        <v>0.63819999999999999</v>
      </c>
      <c r="L439" s="929">
        <v>0.63819999999999999</v>
      </c>
      <c r="M439" s="929">
        <v>0.63819999999999999</v>
      </c>
    </row>
    <row r="440" spans="1:13">
      <c r="A440" s="936">
        <v>7.9</v>
      </c>
      <c r="B440" s="929">
        <v>0.8609</v>
      </c>
      <c r="C440" s="929">
        <v>0.8609</v>
      </c>
      <c r="D440" s="929">
        <v>0.79279999999999995</v>
      </c>
      <c r="E440" s="929">
        <v>0.79279999999999995</v>
      </c>
      <c r="F440" s="929">
        <v>0.79279999999999995</v>
      </c>
      <c r="G440" s="929">
        <v>0.79279999999999995</v>
      </c>
      <c r="H440" s="929">
        <v>0.79279999999999995</v>
      </c>
      <c r="I440" s="929">
        <v>0.6361</v>
      </c>
      <c r="J440" s="929">
        <v>0.6361</v>
      </c>
      <c r="K440" s="929">
        <v>0.6361</v>
      </c>
      <c r="L440" s="929">
        <v>0.6361</v>
      </c>
      <c r="M440" s="929">
        <v>0.6361</v>
      </c>
    </row>
    <row r="441" spans="1:13">
      <c r="A441" s="936">
        <v>8</v>
      </c>
      <c r="B441" s="929">
        <v>0.85940000000000005</v>
      </c>
      <c r="C441" s="929">
        <v>0.85940000000000005</v>
      </c>
      <c r="D441" s="929">
        <v>0.79110000000000003</v>
      </c>
      <c r="E441" s="929">
        <v>0.79110000000000003</v>
      </c>
      <c r="F441" s="929">
        <v>0.79110000000000003</v>
      </c>
      <c r="G441" s="929">
        <v>0.79110000000000003</v>
      </c>
      <c r="H441" s="929">
        <v>0.79110000000000003</v>
      </c>
      <c r="I441" s="929">
        <v>0.6341</v>
      </c>
      <c r="J441" s="929">
        <v>0.6341</v>
      </c>
      <c r="K441" s="929">
        <v>0.6341</v>
      </c>
      <c r="L441" s="929">
        <v>0.6341</v>
      </c>
      <c r="M441" s="929">
        <v>0.6341</v>
      </c>
    </row>
    <row r="442" spans="1:13">
      <c r="A442" s="936">
        <v>8.1</v>
      </c>
      <c r="B442" s="929">
        <v>0.85799999999999998</v>
      </c>
      <c r="C442" s="929">
        <v>0.85799999999999998</v>
      </c>
      <c r="D442" s="929">
        <v>0.78939999999999999</v>
      </c>
      <c r="E442" s="929">
        <v>0.78939999999999999</v>
      </c>
      <c r="F442" s="929">
        <v>0.78939999999999999</v>
      </c>
      <c r="G442" s="929">
        <v>0.78939999999999999</v>
      </c>
      <c r="H442" s="929">
        <v>0.78939999999999999</v>
      </c>
      <c r="I442" s="929">
        <v>0.6321</v>
      </c>
      <c r="J442" s="929">
        <v>0.6321</v>
      </c>
      <c r="K442" s="929">
        <v>0.6321</v>
      </c>
      <c r="L442" s="929">
        <v>0.6321</v>
      </c>
      <c r="M442" s="929">
        <v>0.6321</v>
      </c>
    </row>
    <row r="443" spans="1:13">
      <c r="A443" s="936">
        <v>8.1999999999999993</v>
      </c>
      <c r="B443" s="929">
        <v>0.85660000000000003</v>
      </c>
      <c r="C443" s="929">
        <v>0.85660000000000003</v>
      </c>
      <c r="D443" s="929">
        <v>0.78779999999999994</v>
      </c>
      <c r="E443" s="929">
        <v>0.78779999999999994</v>
      </c>
      <c r="F443" s="929">
        <v>0.78779999999999994</v>
      </c>
      <c r="G443" s="929">
        <v>0.78779999999999994</v>
      </c>
      <c r="H443" s="929">
        <v>0.78779999999999994</v>
      </c>
      <c r="I443" s="929">
        <v>0.63009999999999999</v>
      </c>
      <c r="J443" s="929">
        <v>0.63009999999999999</v>
      </c>
      <c r="K443" s="929">
        <v>0.63009999999999999</v>
      </c>
      <c r="L443" s="929">
        <v>0.63009999999999999</v>
      </c>
      <c r="M443" s="929">
        <v>0.63009999999999999</v>
      </c>
    </row>
    <row r="444" spans="1:13">
      <c r="A444" s="936">
        <v>8.3000000000000007</v>
      </c>
      <c r="B444" s="929">
        <v>0.85529999999999995</v>
      </c>
      <c r="C444" s="929">
        <v>0.85529999999999995</v>
      </c>
      <c r="D444" s="929">
        <v>0.78620000000000001</v>
      </c>
      <c r="E444" s="929">
        <v>0.78620000000000001</v>
      </c>
      <c r="F444" s="929">
        <v>0.78620000000000001</v>
      </c>
      <c r="G444" s="929">
        <v>0.78620000000000001</v>
      </c>
      <c r="H444" s="929">
        <v>0.78620000000000001</v>
      </c>
      <c r="I444" s="929">
        <v>0.62809999999999999</v>
      </c>
      <c r="J444" s="929">
        <v>0.62809999999999999</v>
      </c>
      <c r="K444" s="929">
        <v>0.62809999999999999</v>
      </c>
      <c r="L444" s="929">
        <v>0.62809999999999999</v>
      </c>
      <c r="M444" s="929">
        <v>0.62809999999999999</v>
      </c>
    </row>
    <row r="445" spans="1:13">
      <c r="A445" s="936">
        <v>8.4</v>
      </c>
      <c r="B445" s="929">
        <v>0.85389999999999999</v>
      </c>
      <c r="C445" s="929">
        <v>0.85389999999999999</v>
      </c>
      <c r="D445" s="929">
        <v>0.78459999999999996</v>
      </c>
      <c r="E445" s="929">
        <v>0.78459999999999996</v>
      </c>
      <c r="F445" s="929">
        <v>0.78459999999999996</v>
      </c>
      <c r="G445" s="929">
        <v>0.78459999999999996</v>
      </c>
      <c r="H445" s="929">
        <v>0.78459999999999996</v>
      </c>
      <c r="I445" s="929">
        <v>0.62609999999999999</v>
      </c>
      <c r="J445" s="929">
        <v>0.62609999999999999</v>
      </c>
      <c r="K445" s="929">
        <v>0.62609999999999999</v>
      </c>
      <c r="L445" s="929">
        <v>0.62609999999999999</v>
      </c>
      <c r="M445" s="929">
        <v>0.62609999999999999</v>
      </c>
    </row>
    <row r="446" spans="1:13">
      <c r="A446" s="936">
        <v>8.5</v>
      </c>
      <c r="B446" s="929">
        <v>0.85260000000000002</v>
      </c>
      <c r="C446" s="929">
        <v>0.85260000000000002</v>
      </c>
      <c r="D446" s="929">
        <v>0.78290000000000004</v>
      </c>
      <c r="E446" s="929">
        <v>0.78290000000000004</v>
      </c>
      <c r="F446" s="929">
        <v>0.78290000000000004</v>
      </c>
      <c r="G446" s="929">
        <v>0.78290000000000004</v>
      </c>
      <c r="H446" s="929">
        <v>0.78290000000000004</v>
      </c>
      <c r="I446" s="929">
        <v>0.62419999999999998</v>
      </c>
      <c r="J446" s="929">
        <v>0.62419999999999998</v>
      </c>
      <c r="K446" s="929">
        <v>0.62419999999999998</v>
      </c>
      <c r="L446" s="929">
        <v>0.62419999999999998</v>
      </c>
      <c r="M446" s="929">
        <v>0.62419999999999998</v>
      </c>
    </row>
    <row r="447" spans="1:13">
      <c r="A447" s="936">
        <v>8.6</v>
      </c>
      <c r="B447" s="929">
        <v>0.85129999999999995</v>
      </c>
      <c r="C447" s="929">
        <v>0.85129999999999995</v>
      </c>
      <c r="D447" s="929">
        <v>0.78129999999999999</v>
      </c>
      <c r="E447" s="929">
        <v>0.78129999999999999</v>
      </c>
      <c r="F447" s="929">
        <v>0.78129999999999999</v>
      </c>
      <c r="G447" s="929">
        <v>0.78129999999999999</v>
      </c>
      <c r="H447" s="929">
        <v>0.78129999999999999</v>
      </c>
      <c r="I447" s="929">
        <v>0.62229999999999996</v>
      </c>
      <c r="J447" s="929">
        <v>0.62229999999999996</v>
      </c>
      <c r="K447" s="929">
        <v>0.62229999999999996</v>
      </c>
      <c r="L447" s="929">
        <v>0.62229999999999996</v>
      </c>
      <c r="M447" s="929">
        <v>0.62229999999999996</v>
      </c>
    </row>
    <row r="448" spans="1:13">
      <c r="A448" s="936">
        <v>8.6999999999999993</v>
      </c>
      <c r="B448" s="929">
        <v>0.85</v>
      </c>
      <c r="C448" s="929">
        <v>0.85</v>
      </c>
      <c r="D448" s="929">
        <v>0.77969999999999995</v>
      </c>
      <c r="E448" s="929">
        <v>0.77969999999999995</v>
      </c>
      <c r="F448" s="929">
        <v>0.77969999999999995</v>
      </c>
      <c r="G448" s="929">
        <v>0.77969999999999995</v>
      </c>
      <c r="H448" s="929">
        <v>0.77969999999999995</v>
      </c>
      <c r="I448" s="929">
        <v>0.62039999999999995</v>
      </c>
      <c r="J448" s="929">
        <v>0.62039999999999995</v>
      </c>
      <c r="K448" s="929">
        <v>0.62039999999999995</v>
      </c>
      <c r="L448" s="929">
        <v>0.62039999999999995</v>
      </c>
      <c r="M448" s="929">
        <v>0.62039999999999995</v>
      </c>
    </row>
    <row r="449" spans="1:13">
      <c r="A449" s="936">
        <v>8.8000000000000007</v>
      </c>
      <c r="B449" s="929">
        <v>0.84860000000000002</v>
      </c>
      <c r="C449" s="929">
        <v>0.84860000000000002</v>
      </c>
      <c r="D449" s="929">
        <v>0.7782</v>
      </c>
      <c r="E449" s="929">
        <v>0.7782</v>
      </c>
      <c r="F449" s="929">
        <v>0.7782</v>
      </c>
      <c r="G449" s="929">
        <v>0.7782</v>
      </c>
      <c r="H449" s="929">
        <v>0.7782</v>
      </c>
      <c r="I449" s="929">
        <v>0.61850000000000005</v>
      </c>
      <c r="J449" s="929">
        <v>0.61850000000000005</v>
      </c>
      <c r="K449" s="929">
        <v>0.61850000000000005</v>
      </c>
      <c r="L449" s="929">
        <v>0.61850000000000005</v>
      </c>
      <c r="M449" s="929">
        <v>0.61850000000000005</v>
      </c>
    </row>
    <row r="450" spans="1:13">
      <c r="A450" s="936">
        <v>8.9</v>
      </c>
      <c r="B450" s="929">
        <v>0.84740000000000004</v>
      </c>
      <c r="C450" s="929">
        <v>0.84740000000000004</v>
      </c>
      <c r="D450" s="929">
        <v>0.77669999999999995</v>
      </c>
      <c r="E450" s="929">
        <v>0.77669999999999995</v>
      </c>
      <c r="F450" s="929">
        <v>0.77669999999999995</v>
      </c>
      <c r="G450" s="929">
        <v>0.77669999999999995</v>
      </c>
      <c r="H450" s="929">
        <v>0.77669999999999995</v>
      </c>
      <c r="I450" s="929">
        <v>0.61670000000000003</v>
      </c>
      <c r="J450" s="929">
        <v>0.61670000000000003</v>
      </c>
      <c r="K450" s="929">
        <v>0.61670000000000003</v>
      </c>
      <c r="L450" s="929">
        <v>0.61670000000000003</v>
      </c>
      <c r="M450" s="929">
        <v>0.61670000000000003</v>
      </c>
    </row>
    <row r="451" spans="1:13">
      <c r="A451" s="936">
        <v>9</v>
      </c>
      <c r="B451" s="929">
        <v>0.84619999999999995</v>
      </c>
      <c r="C451" s="929">
        <v>0.84619999999999995</v>
      </c>
      <c r="D451" s="929">
        <v>0.77510000000000001</v>
      </c>
      <c r="E451" s="929">
        <v>0.77510000000000001</v>
      </c>
      <c r="F451" s="929">
        <v>0.77510000000000001</v>
      </c>
      <c r="G451" s="929">
        <v>0.77510000000000001</v>
      </c>
      <c r="H451" s="929">
        <v>0.77510000000000001</v>
      </c>
      <c r="I451" s="929">
        <v>0.61480000000000001</v>
      </c>
      <c r="J451" s="929">
        <v>0.61480000000000001</v>
      </c>
      <c r="K451" s="929">
        <v>0.61480000000000001</v>
      </c>
      <c r="L451" s="929">
        <v>0.61480000000000001</v>
      </c>
      <c r="M451" s="929">
        <v>0.61480000000000001</v>
      </c>
    </row>
    <row r="452" spans="1:13">
      <c r="A452" s="936">
        <v>9.1</v>
      </c>
      <c r="B452" s="929">
        <v>0.84499999999999997</v>
      </c>
      <c r="C452" s="929">
        <v>0.84499999999999997</v>
      </c>
      <c r="D452" s="929">
        <v>0.77359999999999995</v>
      </c>
      <c r="E452" s="929">
        <v>0.77359999999999995</v>
      </c>
      <c r="F452" s="929">
        <v>0.77359999999999995</v>
      </c>
      <c r="G452" s="929">
        <v>0.77359999999999995</v>
      </c>
      <c r="H452" s="929">
        <v>0.77359999999999995</v>
      </c>
      <c r="I452" s="929">
        <v>0.61299999999999999</v>
      </c>
      <c r="J452" s="929">
        <v>0.61299999999999999</v>
      </c>
      <c r="K452" s="929">
        <v>0.61299999999999999</v>
      </c>
      <c r="L452" s="929">
        <v>0.61299999999999999</v>
      </c>
      <c r="M452" s="929">
        <v>0.61299999999999999</v>
      </c>
    </row>
    <row r="453" spans="1:13">
      <c r="A453" s="936">
        <v>9.1999999999999993</v>
      </c>
      <c r="B453" s="929">
        <v>0.84370000000000001</v>
      </c>
      <c r="C453" s="929">
        <v>0.84370000000000001</v>
      </c>
      <c r="D453" s="929">
        <v>0.77210000000000001</v>
      </c>
      <c r="E453" s="929">
        <v>0.77210000000000001</v>
      </c>
      <c r="F453" s="929">
        <v>0.77210000000000001</v>
      </c>
      <c r="G453" s="929">
        <v>0.77210000000000001</v>
      </c>
      <c r="H453" s="929">
        <v>0.77210000000000001</v>
      </c>
      <c r="I453" s="929">
        <v>0.61119999999999997</v>
      </c>
      <c r="J453" s="929">
        <v>0.61119999999999997</v>
      </c>
      <c r="K453" s="929">
        <v>0.61119999999999997</v>
      </c>
      <c r="L453" s="929">
        <v>0.61119999999999997</v>
      </c>
      <c r="M453" s="929">
        <v>0.61119999999999997</v>
      </c>
    </row>
    <row r="454" spans="1:13">
      <c r="A454" s="936">
        <v>9.3000000000000007</v>
      </c>
      <c r="B454" s="929">
        <v>0.84250000000000003</v>
      </c>
      <c r="C454" s="929">
        <v>0.84250000000000003</v>
      </c>
      <c r="D454" s="929">
        <v>0.77059999999999995</v>
      </c>
      <c r="E454" s="929">
        <v>0.77059999999999995</v>
      </c>
      <c r="F454" s="929">
        <v>0.77059999999999995</v>
      </c>
      <c r="G454" s="929">
        <v>0.77059999999999995</v>
      </c>
      <c r="H454" s="929">
        <v>0.77059999999999995</v>
      </c>
      <c r="I454" s="929">
        <v>0.60940000000000005</v>
      </c>
      <c r="J454" s="929">
        <v>0.60940000000000005</v>
      </c>
      <c r="K454" s="929">
        <v>0.60940000000000005</v>
      </c>
      <c r="L454" s="929">
        <v>0.60940000000000005</v>
      </c>
      <c r="M454" s="929">
        <v>0.60940000000000005</v>
      </c>
    </row>
    <row r="455" spans="1:13">
      <c r="A455" s="936">
        <v>9.4</v>
      </c>
      <c r="B455" s="929">
        <v>0.84130000000000005</v>
      </c>
      <c r="C455" s="929">
        <v>0.84130000000000005</v>
      </c>
      <c r="D455" s="929">
        <v>0.76900000000000002</v>
      </c>
      <c r="E455" s="929">
        <v>0.76900000000000002</v>
      </c>
      <c r="F455" s="929">
        <v>0.76900000000000002</v>
      </c>
      <c r="G455" s="929">
        <v>0.76900000000000002</v>
      </c>
      <c r="H455" s="929">
        <v>0.76900000000000002</v>
      </c>
      <c r="I455" s="929">
        <v>0.60760000000000003</v>
      </c>
      <c r="J455" s="929">
        <v>0.60760000000000003</v>
      </c>
      <c r="K455" s="929">
        <v>0.60760000000000003</v>
      </c>
      <c r="L455" s="929">
        <v>0.60760000000000003</v>
      </c>
      <c r="M455" s="929">
        <v>0.60760000000000003</v>
      </c>
    </row>
    <row r="456" spans="1:13">
      <c r="A456" s="936">
        <v>9.5</v>
      </c>
      <c r="B456" s="929">
        <v>0.84009999999999996</v>
      </c>
      <c r="C456" s="929">
        <v>0.84009999999999996</v>
      </c>
      <c r="D456" s="929">
        <v>0.76759999999999995</v>
      </c>
      <c r="E456" s="929">
        <v>0.76759999999999995</v>
      </c>
      <c r="F456" s="929">
        <v>0.76759999999999995</v>
      </c>
      <c r="G456" s="929">
        <v>0.76759999999999995</v>
      </c>
      <c r="H456" s="929">
        <v>0.76759999999999995</v>
      </c>
      <c r="I456" s="929">
        <v>0.60580000000000001</v>
      </c>
      <c r="J456" s="929">
        <v>0.60580000000000001</v>
      </c>
      <c r="K456" s="929">
        <v>0.60580000000000001</v>
      </c>
      <c r="L456" s="929">
        <v>0.60580000000000001</v>
      </c>
      <c r="M456" s="929">
        <v>0.60580000000000001</v>
      </c>
    </row>
    <row r="457" spans="1:13">
      <c r="A457" s="936">
        <v>9.6</v>
      </c>
      <c r="B457" s="929">
        <v>0.83899999999999997</v>
      </c>
      <c r="C457" s="929">
        <v>0.83899999999999997</v>
      </c>
      <c r="D457" s="929">
        <v>0.76619999999999999</v>
      </c>
      <c r="E457" s="929">
        <v>0.76619999999999999</v>
      </c>
      <c r="F457" s="929">
        <v>0.76619999999999999</v>
      </c>
      <c r="G457" s="929">
        <v>0.76619999999999999</v>
      </c>
      <c r="H457" s="929">
        <v>0.76619999999999999</v>
      </c>
      <c r="I457" s="929">
        <v>0.60409999999999997</v>
      </c>
      <c r="J457" s="929">
        <v>0.60409999999999997</v>
      </c>
      <c r="K457" s="929">
        <v>0.60409999999999997</v>
      </c>
      <c r="L457" s="929">
        <v>0.60409999999999997</v>
      </c>
      <c r="M457" s="929">
        <v>0.60409999999999997</v>
      </c>
    </row>
    <row r="458" spans="1:13">
      <c r="A458" s="936">
        <v>9.6999999999999993</v>
      </c>
      <c r="B458" s="929">
        <v>0.83779999999999999</v>
      </c>
      <c r="C458" s="929">
        <v>0.83779999999999999</v>
      </c>
      <c r="D458" s="929">
        <v>0.76480000000000004</v>
      </c>
      <c r="E458" s="929">
        <v>0.76480000000000004</v>
      </c>
      <c r="F458" s="929">
        <v>0.76480000000000004</v>
      </c>
      <c r="G458" s="929">
        <v>0.76480000000000004</v>
      </c>
      <c r="H458" s="929">
        <v>0.76480000000000004</v>
      </c>
      <c r="I458" s="929">
        <v>0.60240000000000005</v>
      </c>
      <c r="J458" s="929">
        <v>0.60240000000000005</v>
      </c>
      <c r="K458" s="929">
        <v>0.60240000000000005</v>
      </c>
      <c r="L458" s="929">
        <v>0.60240000000000005</v>
      </c>
      <c r="M458" s="929">
        <v>0.60240000000000005</v>
      </c>
    </row>
    <row r="459" spans="1:13">
      <c r="A459" s="936">
        <v>9.8000000000000007</v>
      </c>
      <c r="B459" s="929">
        <v>0.8367</v>
      </c>
      <c r="C459" s="929">
        <v>0.8367</v>
      </c>
      <c r="D459" s="929">
        <v>0.76329999999999998</v>
      </c>
      <c r="E459" s="929">
        <v>0.76329999999999998</v>
      </c>
      <c r="F459" s="929">
        <v>0.76329999999999998</v>
      </c>
      <c r="G459" s="929">
        <v>0.76329999999999998</v>
      </c>
      <c r="H459" s="929">
        <v>0.76329999999999998</v>
      </c>
      <c r="I459" s="929">
        <v>0.60060000000000002</v>
      </c>
      <c r="J459" s="929">
        <v>0.60060000000000002</v>
      </c>
      <c r="K459" s="929">
        <v>0.60060000000000002</v>
      </c>
      <c r="L459" s="929">
        <v>0.60060000000000002</v>
      </c>
      <c r="M459" s="929">
        <v>0.60060000000000002</v>
      </c>
    </row>
    <row r="460" spans="1:13">
      <c r="A460" s="936">
        <v>9.9</v>
      </c>
      <c r="B460" s="929">
        <v>0.83560000000000001</v>
      </c>
      <c r="C460" s="929">
        <v>0.83560000000000001</v>
      </c>
      <c r="D460" s="929">
        <v>0.76190000000000002</v>
      </c>
      <c r="E460" s="929">
        <v>0.76190000000000002</v>
      </c>
      <c r="F460" s="929">
        <v>0.76190000000000002</v>
      </c>
      <c r="G460" s="929">
        <v>0.76190000000000002</v>
      </c>
      <c r="H460" s="929">
        <v>0.76190000000000002</v>
      </c>
      <c r="I460" s="929">
        <v>0.59889999999999999</v>
      </c>
      <c r="J460" s="929">
        <v>0.59889999999999999</v>
      </c>
      <c r="K460" s="929">
        <v>0.59889999999999999</v>
      </c>
      <c r="L460" s="929">
        <v>0.59889999999999999</v>
      </c>
      <c r="M460" s="929">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5" customWidth="1"/>
    <col min="2" max="2" width="13.875" style="3195" customWidth="1"/>
    <col min="3" max="7" width="8.875" style="3195"/>
    <col min="8" max="16384" width="8.875" style="1488"/>
  </cols>
  <sheetData>
    <row r="1" spans="1:7">
      <c r="A1" s="3681" t="s">
        <v>3012</v>
      </c>
      <c r="B1" s="3681"/>
    </row>
    <row r="2" spans="1:7" ht="14.25" thickBot="1">
      <c r="A2" s="3196"/>
      <c r="B2" s="3196"/>
    </row>
    <row r="3" spans="1:7" ht="14.25" thickBot="1">
      <c r="A3" s="3196"/>
      <c r="B3" s="3196"/>
      <c r="C3" s="3197" t="s">
        <v>3013</v>
      </c>
      <c r="D3" s="3197" t="s">
        <v>3014</v>
      </c>
      <c r="E3" s="3197" t="s">
        <v>3015</v>
      </c>
      <c r="F3" s="3197" t="s">
        <v>3016</v>
      </c>
      <c r="G3" s="3197" t="s">
        <v>3017</v>
      </c>
    </row>
    <row r="4" spans="1:7" ht="14.25" thickBot="1">
      <c r="A4" s="3198" t="s">
        <v>3018</v>
      </c>
      <c r="B4" s="3199" t="s">
        <v>3019</v>
      </c>
      <c r="C4" s="3197"/>
      <c r="D4" s="3197"/>
      <c r="E4" s="3197"/>
      <c r="F4" s="3197"/>
      <c r="G4" s="3197"/>
    </row>
    <row r="5" spans="1:7">
      <c r="A5" s="3200" t="s">
        <v>3020</v>
      </c>
      <c r="B5" s="3201" t="s">
        <v>3021</v>
      </c>
      <c r="C5" s="3202">
        <v>9.8000000000000004E-2</v>
      </c>
      <c r="D5" s="3202">
        <v>8.6999999999999994E-2</v>
      </c>
      <c r="E5" s="3202">
        <v>8.6999999999999994E-2</v>
      </c>
      <c r="F5" s="3202">
        <v>9.8000000000000004E-2</v>
      </c>
      <c r="G5" s="3203">
        <v>9.5000000000000001E-2</v>
      </c>
    </row>
    <row r="6" spans="1:7">
      <c r="A6" s="3204" t="s">
        <v>988</v>
      </c>
      <c r="B6" s="3205" t="s">
        <v>3022</v>
      </c>
      <c r="C6" s="3206">
        <v>9.8000000000000004E-2</v>
      </c>
      <c r="D6" s="3206">
        <v>9.8000000000000004E-2</v>
      </c>
      <c r="E6" s="3206">
        <v>9.8000000000000004E-2</v>
      </c>
      <c r="F6" s="3206">
        <v>0.1</v>
      </c>
      <c r="G6" s="3207">
        <v>9.9000000000000005E-2</v>
      </c>
    </row>
    <row r="7" spans="1:7">
      <c r="A7" s="3204" t="s">
        <v>988</v>
      </c>
      <c r="B7" s="3205" t="s">
        <v>980</v>
      </c>
      <c r="C7" s="3206">
        <v>9.7000000000000003E-2</v>
      </c>
      <c r="D7" s="3206">
        <v>9.7000000000000003E-2</v>
      </c>
      <c r="E7" s="3206">
        <v>9.6000000000000002E-2</v>
      </c>
      <c r="F7" s="3206">
        <v>0.1</v>
      </c>
      <c r="G7" s="3207">
        <v>9.8000000000000004E-2</v>
      </c>
    </row>
    <row r="8" spans="1:7">
      <c r="A8" s="3204" t="s">
        <v>988</v>
      </c>
      <c r="B8" s="3205" t="s">
        <v>989</v>
      </c>
      <c r="C8" s="3206">
        <v>8.1000000000000003E-2</v>
      </c>
      <c r="D8" s="3206">
        <v>8.2000000000000003E-2</v>
      </c>
      <c r="E8" s="3206">
        <v>7.0000000000000007E-2</v>
      </c>
      <c r="F8" s="3206">
        <v>9.6000000000000002E-2</v>
      </c>
      <c r="G8" s="3207">
        <v>8.8999999999999996E-2</v>
      </c>
    </row>
    <row r="9" spans="1:7" ht="14.25" thickBot="1">
      <c r="A9" s="3208" t="s">
        <v>988</v>
      </c>
      <c r="B9" s="3209" t="s">
        <v>999</v>
      </c>
      <c r="C9" s="3210">
        <v>0.1</v>
      </c>
      <c r="D9" s="3210">
        <v>0.1</v>
      </c>
      <c r="E9" s="3210">
        <v>0.1</v>
      </c>
      <c r="F9" s="3211"/>
      <c r="G9" s="3212">
        <v>0.1</v>
      </c>
    </row>
    <row r="10" spans="1:7">
      <c r="A10" s="3200" t="s">
        <v>1029</v>
      </c>
      <c r="B10" s="3201" t="s">
        <v>3023</v>
      </c>
      <c r="C10" s="3202">
        <v>6.7000000000000004E-2</v>
      </c>
      <c r="D10" s="3202">
        <v>7.9000000000000001E-2</v>
      </c>
      <c r="E10" s="3202">
        <v>7.9000000000000001E-2</v>
      </c>
      <c r="F10" s="3202">
        <v>0.1</v>
      </c>
      <c r="G10" s="3203">
        <v>9.0999999999999998E-2</v>
      </c>
    </row>
    <row r="11" spans="1:7">
      <c r="A11" s="3204" t="s">
        <v>1029</v>
      </c>
      <c r="B11" s="3205" t="s">
        <v>971</v>
      </c>
      <c r="C11" s="3206">
        <v>0.05</v>
      </c>
      <c r="D11" s="3206">
        <v>5.2999999999999999E-2</v>
      </c>
      <c r="E11" s="3206">
        <v>6.3E-2</v>
      </c>
      <c r="F11" s="3206">
        <v>0.1</v>
      </c>
      <c r="G11" s="3207">
        <v>7.1999999999999995E-2</v>
      </c>
    </row>
    <row r="12" spans="1:7">
      <c r="A12" s="3204" t="s">
        <v>1029</v>
      </c>
      <c r="B12" s="3205" t="s">
        <v>981</v>
      </c>
      <c r="C12" s="3206">
        <v>5.2999999999999999E-2</v>
      </c>
      <c r="D12" s="3206">
        <v>0.09</v>
      </c>
      <c r="E12" s="3206">
        <v>7.1999999999999995E-2</v>
      </c>
      <c r="F12" s="3206">
        <v>0.1</v>
      </c>
      <c r="G12" s="3207">
        <v>9.7000000000000003E-2</v>
      </c>
    </row>
    <row r="13" spans="1:7">
      <c r="A13" s="3204" t="s">
        <v>1029</v>
      </c>
      <c r="B13" s="3205" t="s">
        <v>990</v>
      </c>
      <c r="C13" s="3206">
        <v>9.7000000000000003E-2</v>
      </c>
      <c r="D13" s="3206">
        <v>9.1999999999999998E-2</v>
      </c>
      <c r="E13" s="3206">
        <v>9.5000000000000001E-2</v>
      </c>
      <c r="F13" s="3206">
        <v>0.1</v>
      </c>
      <c r="G13" s="3207">
        <v>9.7000000000000003E-2</v>
      </c>
    </row>
    <row r="14" spans="1:7">
      <c r="A14" s="3204" t="s">
        <v>1029</v>
      </c>
      <c r="B14" s="3205" t="s">
        <v>1000</v>
      </c>
      <c r="C14" s="3206">
        <v>9.7000000000000003E-2</v>
      </c>
      <c r="D14" s="3206">
        <v>9.7000000000000003E-2</v>
      </c>
      <c r="E14" s="3206">
        <v>9.7000000000000003E-2</v>
      </c>
      <c r="F14" s="3206">
        <v>0.1</v>
      </c>
      <c r="G14" s="3207">
        <v>9.8000000000000004E-2</v>
      </c>
    </row>
    <row r="15" spans="1:7">
      <c r="A15" s="3204" t="s">
        <v>1029</v>
      </c>
      <c r="B15" s="3205" t="s">
        <v>1007</v>
      </c>
      <c r="C15" s="3206">
        <v>9.8000000000000004E-2</v>
      </c>
      <c r="D15" s="3206">
        <v>9.0999999999999998E-2</v>
      </c>
      <c r="E15" s="3206">
        <v>0.06</v>
      </c>
      <c r="F15" s="3206">
        <v>0.1</v>
      </c>
      <c r="G15" s="3207">
        <v>9.7000000000000003E-2</v>
      </c>
    </row>
    <row r="16" spans="1:7">
      <c r="A16" s="3204" t="s">
        <v>1029</v>
      </c>
      <c r="B16" s="3205" t="s">
        <v>1013</v>
      </c>
      <c r="C16" s="3206">
        <v>9.8000000000000004E-2</v>
      </c>
      <c r="D16" s="3206">
        <v>9.7000000000000003E-2</v>
      </c>
      <c r="E16" s="3206">
        <v>9.5000000000000001E-2</v>
      </c>
      <c r="F16" s="3206">
        <v>0.1</v>
      </c>
      <c r="G16" s="3207">
        <v>9.9000000000000005E-2</v>
      </c>
    </row>
    <row r="17" spans="1:7">
      <c r="A17" s="3204" t="s">
        <v>1029</v>
      </c>
      <c r="B17" s="3205" t="s">
        <v>1020</v>
      </c>
      <c r="C17" s="3206">
        <v>8.8999999999999996E-2</v>
      </c>
      <c r="D17" s="3206">
        <v>9.1999999999999998E-2</v>
      </c>
      <c r="E17" s="3206">
        <v>6.0999999999999999E-2</v>
      </c>
      <c r="F17" s="3206">
        <v>0.1</v>
      </c>
      <c r="G17" s="3207">
        <v>9.7000000000000003E-2</v>
      </c>
    </row>
    <row r="18" spans="1:7">
      <c r="A18" s="3204" t="s">
        <v>1029</v>
      </c>
      <c r="B18" s="3205" t="s">
        <v>1030</v>
      </c>
      <c r="C18" s="3206">
        <v>9.8000000000000004E-2</v>
      </c>
      <c r="D18" s="3206">
        <v>9.8000000000000004E-2</v>
      </c>
      <c r="E18" s="3206">
        <v>9.8000000000000004E-2</v>
      </c>
      <c r="F18" s="3213"/>
      <c r="G18" s="3207">
        <v>9.9000000000000005E-2</v>
      </c>
    </row>
    <row r="19" spans="1:7">
      <c r="A19" s="3204" t="s">
        <v>1029</v>
      </c>
      <c r="B19" s="3205" t="s">
        <v>1039</v>
      </c>
      <c r="C19" s="3206">
        <v>9.9000000000000005E-2</v>
      </c>
      <c r="D19" s="3206">
        <v>7.3999999999999996E-2</v>
      </c>
      <c r="E19" s="3206">
        <v>8.1000000000000003E-2</v>
      </c>
      <c r="F19" s="3213"/>
      <c r="G19" s="3207">
        <v>9.2999999999999999E-2</v>
      </c>
    </row>
    <row r="20" spans="1:7">
      <c r="A20" s="3204" t="s">
        <v>1029</v>
      </c>
      <c r="B20" s="3205" t="s">
        <v>1046</v>
      </c>
      <c r="C20" s="3206">
        <v>0.1</v>
      </c>
      <c r="D20" s="3206">
        <v>8.8999999999999996E-2</v>
      </c>
      <c r="E20" s="3206">
        <v>8.8999999999999996E-2</v>
      </c>
      <c r="F20" s="3213"/>
      <c r="G20" s="3207">
        <v>9.5000000000000001E-2</v>
      </c>
    </row>
    <row r="21" spans="1:7">
      <c r="A21" s="3204" t="s">
        <v>1029</v>
      </c>
      <c r="B21" s="3205" t="s">
        <v>1053</v>
      </c>
      <c r="C21" s="3206">
        <v>0.1</v>
      </c>
      <c r="D21" s="3206">
        <v>9.0999999999999998E-2</v>
      </c>
      <c r="E21" s="3206">
        <v>8.2000000000000003E-2</v>
      </c>
      <c r="F21" s="3213"/>
      <c r="G21" s="3207">
        <v>9.7000000000000003E-2</v>
      </c>
    </row>
    <row r="22" spans="1:7">
      <c r="A22" s="3204" t="s">
        <v>1029</v>
      </c>
      <c r="B22" s="3205" t="s">
        <v>3024</v>
      </c>
      <c r="C22" s="3206">
        <v>9.5000000000000001E-2</v>
      </c>
      <c r="D22" s="3206">
        <v>9.9000000000000005E-2</v>
      </c>
      <c r="E22" s="3206">
        <v>9.8000000000000004E-2</v>
      </c>
      <c r="F22" s="3213"/>
      <c r="G22" s="3207">
        <v>0.1</v>
      </c>
    </row>
    <row r="23" spans="1:7">
      <c r="A23" s="3204" t="s">
        <v>1029</v>
      </c>
      <c r="B23" s="3205" t="s">
        <v>1068</v>
      </c>
      <c r="C23" s="3206">
        <v>9.9000000000000005E-2</v>
      </c>
      <c r="D23" s="3206">
        <v>0.1</v>
      </c>
      <c r="E23" s="3206">
        <v>0.1</v>
      </c>
      <c r="F23" s="3213"/>
      <c r="G23" s="3207">
        <v>0.1</v>
      </c>
    </row>
    <row r="24" spans="1:7">
      <c r="A24" s="3204" t="s">
        <v>1029</v>
      </c>
      <c r="B24" s="3205" t="s">
        <v>1076</v>
      </c>
      <c r="C24" s="3206">
        <v>9.5000000000000001E-2</v>
      </c>
      <c r="D24" s="3206">
        <v>0.1</v>
      </c>
      <c r="E24" s="3206">
        <v>9.8000000000000004E-2</v>
      </c>
      <c r="F24" s="3213"/>
      <c r="G24" s="3207">
        <v>0.1</v>
      </c>
    </row>
    <row r="25" spans="1:7">
      <c r="A25" s="3204" t="s">
        <v>1029</v>
      </c>
      <c r="B25" s="3205" t="s">
        <v>1081</v>
      </c>
      <c r="C25" s="3206">
        <v>0.05</v>
      </c>
      <c r="D25" s="3206">
        <v>9.6000000000000002E-2</v>
      </c>
      <c r="E25" s="3206">
        <v>9.6000000000000002E-2</v>
      </c>
      <c r="F25" s="3213"/>
      <c r="G25" s="3207">
        <v>9.6000000000000002E-2</v>
      </c>
    </row>
    <row r="26" spans="1:7">
      <c r="A26" s="3204" t="s">
        <v>1029</v>
      </c>
      <c r="B26" s="3205" t="s">
        <v>1090</v>
      </c>
      <c r="C26" s="3206">
        <v>6.3E-2</v>
      </c>
      <c r="D26" s="3206">
        <v>9.9000000000000005E-2</v>
      </c>
      <c r="E26" s="3206">
        <v>9.8000000000000004E-2</v>
      </c>
      <c r="F26" s="3213"/>
      <c r="G26" s="3207">
        <v>0.1</v>
      </c>
    </row>
    <row r="27" spans="1:7">
      <c r="A27" s="3204" t="s">
        <v>1029</v>
      </c>
      <c r="B27" s="3205" t="s">
        <v>1097</v>
      </c>
      <c r="C27" s="3206">
        <v>5.1999999999999998E-2</v>
      </c>
      <c r="D27" s="3206">
        <v>9.5000000000000001E-2</v>
      </c>
      <c r="E27" s="3206">
        <v>6.4000000000000001E-2</v>
      </c>
      <c r="F27" s="3213"/>
      <c r="G27" s="3207">
        <v>9.7000000000000003E-2</v>
      </c>
    </row>
    <row r="28" spans="1:7">
      <c r="A28" s="3204" t="s">
        <v>1029</v>
      </c>
      <c r="B28" s="3205" t="s">
        <v>1105</v>
      </c>
      <c r="C28" s="3213"/>
      <c r="D28" s="3206">
        <v>6.3E-2</v>
      </c>
      <c r="E28" s="3206">
        <v>5.1999999999999998E-2</v>
      </c>
      <c r="F28" s="3213"/>
      <c r="G28" s="3207">
        <v>6.3E-2</v>
      </c>
    </row>
    <row r="29" spans="1:7" ht="14.25" thickBot="1">
      <c r="A29" s="3208" t="s">
        <v>1029</v>
      </c>
      <c r="B29" s="3209" t="s">
        <v>2810</v>
      </c>
      <c r="C29" s="3214"/>
      <c r="D29" s="3210">
        <v>5.1999999999999998E-2</v>
      </c>
      <c r="E29" s="3210">
        <v>7.0000000000000007E-2</v>
      </c>
      <c r="F29" s="3214"/>
      <c r="G29" s="3212">
        <v>7.0999999999999994E-2</v>
      </c>
    </row>
    <row r="30" spans="1:7">
      <c r="A30" s="3215" t="s">
        <v>1143</v>
      </c>
      <c r="B30" s="3201" t="s">
        <v>3025</v>
      </c>
      <c r="C30" s="3202">
        <v>6.6000000000000003E-2</v>
      </c>
      <c r="D30" s="3202">
        <v>6.6000000000000003E-2</v>
      </c>
      <c r="E30" s="3202">
        <v>5.7000000000000002E-2</v>
      </c>
      <c r="F30" s="3202">
        <v>0.1</v>
      </c>
      <c r="G30" s="3203">
        <v>6.8000000000000005E-2</v>
      </c>
    </row>
    <row r="31" spans="1:7">
      <c r="A31" s="3216" t="s">
        <v>1143</v>
      </c>
      <c r="B31" s="3205" t="s">
        <v>972</v>
      </c>
      <c r="C31" s="3206">
        <v>5.5E-2</v>
      </c>
      <c r="D31" s="3206">
        <v>8.2000000000000003E-2</v>
      </c>
      <c r="E31" s="3206">
        <v>6.4000000000000001E-2</v>
      </c>
      <c r="F31" s="3206">
        <v>0.1</v>
      </c>
      <c r="G31" s="3207">
        <v>9.5000000000000001E-2</v>
      </c>
    </row>
    <row r="32" spans="1:7">
      <c r="A32" s="3216" t="s">
        <v>1143</v>
      </c>
      <c r="B32" s="3205" t="s">
        <v>982</v>
      </c>
      <c r="C32" s="3206">
        <v>8.2000000000000003E-2</v>
      </c>
      <c r="D32" s="3206">
        <v>8.6999999999999994E-2</v>
      </c>
      <c r="E32" s="3206">
        <v>9.5000000000000001E-2</v>
      </c>
      <c r="F32" s="3206">
        <v>0.1</v>
      </c>
      <c r="G32" s="3207">
        <v>9.6000000000000002E-2</v>
      </c>
    </row>
    <row r="33" spans="1:7">
      <c r="A33" s="3216" t="s">
        <v>1143</v>
      </c>
      <c r="B33" s="3205" t="s">
        <v>991</v>
      </c>
      <c r="C33" s="3206">
        <v>9.9000000000000005E-2</v>
      </c>
      <c r="D33" s="3206">
        <v>9.1999999999999998E-2</v>
      </c>
      <c r="E33" s="3206">
        <v>8.6999999999999994E-2</v>
      </c>
      <c r="F33" s="3206">
        <v>0.1</v>
      </c>
      <c r="G33" s="3207">
        <v>9.7000000000000003E-2</v>
      </c>
    </row>
    <row r="34" spans="1:7">
      <c r="A34" s="3216" t="s">
        <v>1143</v>
      </c>
      <c r="B34" s="3205" t="s">
        <v>1001</v>
      </c>
      <c r="C34" s="3206">
        <v>8.4000000000000005E-2</v>
      </c>
      <c r="D34" s="3206">
        <v>9.7000000000000003E-2</v>
      </c>
      <c r="E34" s="3206">
        <v>7.0999999999999994E-2</v>
      </c>
      <c r="F34" s="3206">
        <v>0.1</v>
      </c>
      <c r="G34" s="3207">
        <v>9.8000000000000004E-2</v>
      </c>
    </row>
    <row r="35" spans="1:7">
      <c r="A35" s="3216" t="s">
        <v>1143</v>
      </c>
      <c r="B35" s="3205" t="s">
        <v>1008</v>
      </c>
      <c r="C35" s="3206">
        <v>8.3000000000000004E-2</v>
      </c>
      <c r="D35" s="3206">
        <v>9.7000000000000003E-2</v>
      </c>
      <c r="E35" s="3206">
        <v>6.0999999999999999E-2</v>
      </c>
      <c r="F35" s="3206">
        <v>0.1</v>
      </c>
      <c r="G35" s="3207">
        <v>9.9000000000000005E-2</v>
      </c>
    </row>
    <row r="36" spans="1:7">
      <c r="A36" s="3216" t="s">
        <v>1143</v>
      </c>
      <c r="B36" s="3205" t="s">
        <v>1014</v>
      </c>
      <c r="C36" s="3206">
        <v>9.7000000000000003E-2</v>
      </c>
      <c r="D36" s="3206">
        <v>9.7000000000000003E-2</v>
      </c>
      <c r="E36" s="3206">
        <v>7.8E-2</v>
      </c>
      <c r="F36" s="3206">
        <v>0.1</v>
      </c>
      <c r="G36" s="3207">
        <v>9.9000000000000005E-2</v>
      </c>
    </row>
    <row r="37" spans="1:7">
      <c r="A37" s="3216" t="s">
        <v>1143</v>
      </c>
      <c r="B37" s="3205" t="s">
        <v>1021</v>
      </c>
      <c r="C37" s="3206">
        <v>9.7000000000000003E-2</v>
      </c>
      <c r="D37" s="3206">
        <v>9.5000000000000001E-2</v>
      </c>
      <c r="E37" s="3206">
        <v>7.8E-2</v>
      </c>
      <c r="F37" s="3206">
        <v>0.1</v>
      </c>
      <c r="G37" s="3207">
        <v>9.7000000000000003E-2</v>
      </c>
    </row>
    <row r="38" spans="1:7">
      <c r="A38" s="3216" t="s">
        <v>1143</v>
      </c>
      <c r="B38" s="3205" t="s">
        <v>1031</v>
      </c>
      <c r="C38" s="3206">
        <v>9.7000000000000003E-2</v>
      </c>
      <c r="D38" s="3206">
        <v>7.6999999999999999E-2</v>
      </c>
      <c r="E38" s="3206">
        <v>7.0000000000000007E-2</v>
      </c>
      <c r="F38" s="3206">
        <v>0.1</v>
      </c>
      <c r="G38" s="3207">
        <v>7.6999999999999999E-2</v>
      </c>
    </row>
    <row r="39" spans="1:7">
      <c r="A39" s="3216" t="s">
        <v>1143</v>
      </c>
      <c r="B39" s="3205" t="s">
        <v>1040</v>
      </c>
      <c r="C39" s="3206">
        <v>9.5000000000000001E-2</v>
      </c>
      <c r="D39" s="3206">
        <v>7.6999999999999999E-2</v>
      </c>
      <c r="E39" s="3206">
        <v>6.6000000000000003E-2</v>
      </c>
      <c r="F39" s="3206">
        <v>0.1</v>
      </c>
      <c r="G39" s="3207">
        <v>8.5999999999999993E-2</v>
      </c>
    </row>
    <row r="40" spans="1:7">
      <c r="A40" s="3216" t="s">
        <v>1143</v>
      </c>
      <c r="B40" s="3205" t="s">
        <v>1047</v>
      </c>
      <c r="C40" s="3206">
        <v>7.6999999999999999E-2</v>
      </c>
      <c r="D40" s="3206">
        <v>7.8E-2</v>
      </c>
      <c r="E40" s="3206">
        <v>8.2000000000000003E-2</v>
      </c>
      <c r="F40" s="3217"/>
      <c r="G40" s="3207">
        <v>7.8E-2</v>
      </c>
    </row>
    <row r="41" spans="1:7">
      <c r="A41" s="3216" t="s">
        <v>1143</v>
      </c>
      <c r="B41" s="3205" t="s">
        <v>1054</v>
      </c>
      <c r="C41" s="3206">
        <v>7.8E-2</v>
      </c>
      <c r="D41" s="3206">
        <v>7.8E-2</v>
      </c>
      <c r="E41" s="3206">
        <v>8.2000000000000003E-2</v>
      </c>
      <c r="F41" s="3217"/>
      <c r="G41" s="3207">
        <v>8.5999999999999993E-2</v>
      </c>
    </row>
    <row r="42" spans="1:7">
      <c r="A42" s="3216" t="s">
        <v>1143</v>
      </c>
      <c r="B42" s="3205" t="s">
        <v>1061</v>
      </c>
      <c r="C42" s="3206">
        <v>7.8E-2</v>
      </c>
      <c r="D42" s="3206">
        <v>9.6000000000000002E-2</v>
      </c>
      <c r="E42" s="3206">
        <v>7.1999999999999995E-2</v>
      </c>
      <c r="F42" s="3217"/>
      <c r="G42" s="3207">
        <v>9.8000000000000004E-2</v>
      </c>
    </row>
    <row r="43" spans="1:7">
      <c r="A43" s="3216" t="s">
        <v>3026</v>
      </c>
      <c r="B43" s="3205" t="s">
        <v>1069</v>
      </c>
      <c r="C43" s="3206">
        <v>7.8E-2</v>
      </c>
      <c r="D43" s="3206">
        <v>9.9000000000000005E-2</v>
      </c>
      <c r="E43" s="3206">
        <v>9.6000000000000002E-2</v>
      </c>
      <c r="F43" s="3217"/>
      <c r="G43" s="3207">
        <v>0.1</v>
      </c>
    </row>
    <row r="44" spans="1:7">
      <c r="A44" s="3216" t="s">
        <v>1143</v>
      </c>
      <c r="B44" s="3205" t="s">
        <v>1077</v>
      </c>
      <c r="C44" s="3206">
        <v>9.6000000000000002E-2</v>
      </c>
      <c r="D44" s="3206">
        <v>0.1</v>
      </c>
      <c r="E44" s="3206">
        <v>9.8000000000000004E-2</v>
      </c>
      <c r="F44" s="3217"/>
      <c r="G44" s="3207">
        <v>0.1</v>
      </c>
    </row>
    <row r="45" spans="1:7">
      <c r="A45" s="3216" t="s">
        <v>1143</v>
      </c>
      <c r="B45" s="3205" t="s">
        <v>1082</v>
      </c>
      <c r="C45" s="3206">
        <v>9.9000000000000005E-2</v>
      </c>
      <c r="D45" s="3206">
        <v>9.8000000000000004E-2</v>
      </c>
      <c r="E45" s="3206">
        <v>9.5000000000000001E-2</v>
      </c>
      <c r="F45" s="3217"/>
      <c r="G45" s="3207">
        <v>9.8000000000000004E-2</v>
      </c>
    </row>
    <row r="46" spans="1:7">
      <c r="A46" s="3216" t="s">
        <v>1143</v>
      </c>
      <c r="B46" s="3205" t="s">
        <v>1091</v>
      </c>
      <c r="C46" s="3206">
        <v>0.1</v>
      </c>
      <c r="D46" s="3206">
        <v>9.9000000000000005E-2</v>
      </c>
      <c r="E46" s="3206">
        <v>9.6000000000000002E-2</v>
      </c>
      <c r="F46" s="3217"/>
      <c r="G46" s="3207">
        <v>0.1</v>
      </c>
    </row>
    <row r="47" spans="1:7">
      <c r="A47" s="3216" t="s">
        <v>1143</v>
      </c>
      <c r="B47" s="3205" t="s">
        <v>1098</v>
      </c>
      <c r="C47" s="3206">
        <v>9.8000000000000004E-2</v>
      </c>
      <c r="D47" s="3206">
        <v>8.6999999999999994E-2</v>
      </c>
      <c r="E47" s="3206">
        <v>5.8999999999999997E-2</v>
      </c>
      <c r="F47" s="3217"/>
      <c r="G47" s="3207">
        <v>9.6000000000000002E-2</v>
      </c>
    </row>
    <row r="48" spans="1:7">
      <c r="A48" s="3216" t="s">
        <v>1143</v>
      </c>
      <c r="B48" s="3205" t="s">
        <v>1106</v>
      </c>
      <c r="C48" s="3206">
        <v>9.9000000000000005E-2</v>
      </c>
      <c r="D48" s="3206">
        <v>9.8000000000000004E-2</v>
      </c>
      <c r="E48" s="3206">
        <v>9.5000000000000001E-2</v>
      </c>
      <c r="F48" s="3217"/>
      <c r="G48" s="3207">
        <v>9.8000000000000004E-2</v>
      </c>
    </row>
    <row r="49" spans="1:7">
      <c r="A49" s="3216" t="s">
        <v>1143</v>
      </c>
      <c r="B49" s="3205" t="s">
        <v>1113</v>
      </c>
      <c r="C49" s="3206">
        <v>8.7999999999999995E-2</v>
      </c>
      <c r="D49" s="3206">
        <v>9.9000000000000005E-2</v>
      </c>
      <c r="E49" s="3206">
        <v>7.0000000000000007E-2</v>
      </c>
      <c r="F49" s="3217"/>
      <c r="G49" s="3207">
        <v>0.1</v>
      </c>
    </row>
    <row r="50" spans="1:7">
      <c r="A50" s="3216" t="s">
        <v>1143</v>
      </c>
      <c r="B50" s="3205" t="s">
        <v>2812</v>
      </c>
      <c r="C50" s="3206">
        <v>9.8000000000000004E-2</v>
      </c>
      <c r="D50" s="3206">
        <v>7.2999999999999995E-2</v>
      </c>
      <c r="E50" s="3206">
        <v>7.0999999999999994E-2</v>
      </c>
      <c r="F50" s="3217"/>
      <c r="G50" s="3207">
        <v>7.2999999999999995E-2</v>
      </c>
    </row>
    <row r="51" spans="1:7">
      <c r="A51" s="3216" t="s">
        <v>1143</v>
      </c>
      <c r="B51" s="3205" t="s">
        <v>2813</v>
      </c>
      <c r="C51" s="3206">
        <v>9.9000000000000005E-2</v>
      </c>
      <c r="D51" s="3206">
        <v>8.5000000000000006E-2</v>
      </c>
      <c r="E51" s="3206">
        <v>6.3E-2</v>
      </c>
      <c r="F51" s="3217"/>
      <c r="G51" s="3207">
        <v>9.6000000000000002E-2</v>
      </c>
    </row>
    <row r="52" spans="1:7">
      <c r="A52" s="3216" t="s">
        <v>1143</v>
      </c>
      <c r="B52" s="3205" t="s">
        <v>2814</v>
      </c>
      <c r="C52" s="3206">
        <v>7.3999999999999996E-2</v>
      </c>
      <c r="D52" s="3206">
        <v>9.6000000000000002E-2</v>
      </c>
      <c r="E52" s="3206">
        <v>0.05</v>
      </c>
      <c r="F52" s="3217"/>
      <c r="G52" s="3207">
        <v>9.8000000000000004E-2</v>
      </c>
    </row>
    <row r="53" spans="1:7">
      <c r="A53" s="3216" t="s">
        <v>1143</v>
      </c>
      <c r="B53" s="3205" t="s">
        <v>2815</v>
      </c>
      <c r="C53" s="3206">
        <v>8.5999999999999993E-2</v>
      </c>
      <c r="D53" s="3217"/>
      <c r="E53" s="3206">
        <v>9.1999999999999998E-2</v>
      </c>
      <c r="F53" s="3217"/>
      <c r="G53" s="3218"/>
    </row>
    <row r="54" spans="1:7" ht="14.25" thickBot="1">
      <c r="A54" s="3219" t="s">
        <v>1143</v>
      </c>
      <c r="B54" s="3209" t="s">
        <v>2816</v>
      </c>
      <c r="C54" s="3210">
        <v>9.6000000000000002E-2</v>
      </c>
      <c r="D54" s="3211"/>
      <c r="E54" s="3220"/>
      <c r="F54" s="3211"/>
      <c r="G54" s="3221"/>
    </row>
    <row r="55" spans="1:7">
      <c r="A55" s="3215" t="s">
        <v>851</v>
      </c>
      <c r="B55" s="3201" t="s">
        <v>3027</v>
      </c>
      <c r="C55" s="3202">
        <v>9.6000000000000002E-2</v>
      </c>
      <c r="D55" s="3202">
        <v>8.4000000000000005E-2</v>
      </c>
      <c r="E55" s="3202">
        <v>9.1999999999999998E-2</v>
      </c>
      <c r="F55" s="3202">
        <v>0.1</v>
      </c>
      <c r="G55" s="3203">
        <v>9.5000000000000001E-2</v>
      </c>
    </row>
    <row r="56" spans="1:7">
      <c r="A56" s="3216" t="s">
        <v>851</v>
      </c>
      <c r="B56" s="3205" t="s">
        <v>973</v>
      </c>
      <c r="C56" s="3206">
        <v>8.4000000000000005E-2</v>
      </c>
      <c r="D56" s="3206">
        <v>9.1999999999999998E-2</v>
      </c>
      <c r="E56" s="3206">
        <v>9.5000000000000001E-2</v>
      </c>
      <c r="F56" s="3206">
        <v>9.1999999999999998E-2</v>
      </c>
      <c r="G56" s="3207">
        <v>9.6000000000000002E-2</v>
      </c>
    </row>
    <row r="57" spans="1:7">
      <c r="A57" s="3216" t="s">
        <v>851</v>
      </c>
      <c r="B57" s="3205" t="s">
        <v>983</v>
      </c>
      <c r="C57" s="3206">
        <v>9.9000000000000005E-2</v>
      </c>
      <c r="D57" s="3206">
        <v>9.6000000000000002E-2</v>
      </c>
      <c r="E57" s="3206">
        <v>9.1999999999999998E-2</v>
      </c>
      <c r="F57" s="3206">
        <v>0.1</v>
      </c>
      <c r="G57" s="3207">
        <v>9.8000000000000004E-2</v>
      </c>
    </row>
    <row r="58" spans="1:7">
      <c r="A58" s="3216" t="s">
        <v>851</v>
      </c>
      <c r="B58" s="3205" t="s">
        <v>992</v>
      </c>
      <c r="C58" s="3206">
        <v>9.8000000000000004E-2</v>
      </c>
      <c r="D58" s="3206">
        <v>9.5000000000000001E-2</v>
      </c>
      <c r="E58" s="3206">
        <v>5.7000000000000002E-2</v>
      </c>
      <c r="F58" s="3206">
        <v>0.1</v>
      </c>
      <c r="G58" s="3207">
        <v>9.6000000000000002E-2</v>
      </c>
    </row>
    <row r="59" spans="1:7">
      <c r="A59" s="3216" t="s">
        <v>851</v>
      </c>
      <c r="B59" s="3205" t="s">
        <v>1002</v>
      </c>
      <c r="C59" s="3206">
        <v>9.5000000000000001E-2</v>
      </c>
      <c r="D59" s="3206">
        <v>0.1</v>
      </c>
      <c r="E59" s="3206">
        <v>7.4999999999999997E-2</v>
      </c>
      <c r="F59" s="3206">
        <v>0.1</v>
      </c>
      <c r="G59" s="3207">
        <v>0.1</v>
      </c>
    </row>
    <row r="60" spans="1:7">
      <c r="A60" s="3216" t="s">
        <v>851</v>
      </c>
      <c r="B60" s="3205" t="s">
        <v>1009</v>
      </c>
      <c r="C60" s="3206">
        <v>0.1</v>
      </c>
      <c r="D60" s="3206">
        <v>9.7000000000000003E-2</v>
      </c>
      <c r="E60" s="3206">
        <v>0.1</v>
      </c>
      <c r="F60" s="3206">
        <v>0.1</v>
      </c>
      <c r="G60" s="3207">
        <v>9.7000000000000003E-2</v>
      </c>
    </row>
    <row r="61" spans="1:7">
      <c r="A61" s="3216" t="s">
        <v>851</v>
      </c>
      <c r="B61" s="3205" t="s">
        <v>1015</v>
      </c>
      <c r="C61" s="3206">
        <v>9.7000000000000003E-2</v>
      </c>
      <c r="D61" s="3206">
        <v>0.1</v>
      </c>
      <c r="E61" s="3206">
        <v>9.2999999999999999E-2</v>
      </c>
      <c r="F61" s="3206">
        <v>0.1</v>
      </c>
      <c r="G61" s="3207">
        <v>0.1</v>
      </c>
    </row>
    <row r="62" spans="1:7">
      <c r="A62" s="3216" t="s">
        <v>851</v>
      </c>
      <c r="B62" s="3205" t="s">
        <v>1022</v>
      </c>
      <c r="C62" s="3206">
        <v>0.1</v>
      </c>
      <c r="D62" s="3206">
        <v>9.7000000000000003E-2</v>
      </c>
      <c r="E62" s="3206">
        <v>8.8999999999999996E-2</v>
      </c>
      <c r="F62" s="3206">
        <v>0.1</v>
      </c>
      <c r="G62" s="3207">
        <v>9.8000000000000004E-2</v>
      </c>
    </row>
    <row r="63" spans="1:7">
      <c r="A63" s="3216" t="s">
        <v>851</v>
      </c>
      <c r="B63" s="3205" t="s">
        <v>1032</v>
      </c>
      <c r="C63" s="3206">
        <v>9.7000000000000003E-2</v>
      </c>
      <c r="D63" s="3206">
        <v>9.7000000000000003E-2</v>
      </c>
      <c r="E63" s="3206">
        <v>9.9000000000000005E-2</v>
      </c>
      <c r="F63" s="3206">
        <v>0.1</v>
      </c>
      <c r="G63" s="3207">
        <v>9.7000000000000003E-2</v>
      </c>
    </row>
    <row r="64" spans="1:7">
      <c r="A64" s="3216" t="s">
        <v>851</v>
      </c>
      <c r="B64" s="3205" t="s">
        <v>1041</v>
      </c>
      <c r="C64" s="3206">
        <v>9.7000000000000003E-2</v>
      </c>
      <c r="D64" s="3206">
        <v>7.3999999999999996E-2</v>
      </c>
      <c r="E64" s="3206">
        <v>7.8E-2</v>
      </c>
      <c r="F64" s="3206">
        <v>0.1</v>
      </c>
      <c r="G64" s="3207">
        <v>8.8999999999999996E-2</v>
      </c>
    </row>
    <row r="65" spans="1:7">
      <c r="A65" s="3216" t="s">
        <v>851</v>
      </c>
      <c r="B65" s="3205" t="s">
        <v>1048</v>
      </c>
      <c r="C65" s="3206">
        <v>7.2999999999999995E-2</v>
      </c>
      <c r="D65" s="3206">
        <v>9.8000000000000004E-2</v>
      </c>
      <c r="E65" s="3206">
        <v>9.5000000000000001E-2</v>
      </c>
      <c r="F65" s="3206">
        <v>0.1</v>
      </c>
      <c r="G65" s="3207">
        <v>9.9000000000000005E-2</v>
      </c>
    </row>
    <row r="66" spans="1:7">
      <c r="A66" s="3216" t="s">
        <v>851</v>
      </c>
      <c r="B66" s="3205" t="s">
        <v>1055</v>
      </c>
      <c r="C66" s="3206">
        <v>9.8000000000000004E-2</v>
      </c>
      <c r="D66" s="3206">
        <v>9.5000000000000001E-2</v>
      </c>
      <c r="E66" s="3206">
        <v>0.05</v>
      </c>
      <c r="F66" s="3206">
        <v>0.1</v>
      </c>
      <c r="G66" s="3207">
        <v>9.7000000000000003E-2</v>
      </c>
    </row>
    <row r="67" spans="1:7">
      <c r="A67" s="3216" t="s">
        <v>851</v>
      </c>
      <c r="B67" s="3205" t="s">
        <v>1062</v>
      </c>
      <c r="C67" s="3206">
        <v>9.5000000000000001E-2</v>
      </c>
      <c r="D67" s="3206">
        <v>9.7000000000000003E-2</v>
      </c>
      <c r="E67" s="3206">
        <v>9.7000000000000003E-2</v>
      </c>
      <c r="F67" s="3206">
        <v>0.1</v>
      </c>
      <c r="G67" s="3207">
        <v>9.9000000000000005E-2</v>
      </c>
    </row>
    <row r="68" spans="1:7">
      <c r="A68" s="3216" t="s">
        <v>851</v>
      </c>
      <c r="B68" s="3205" t="s">
        <v>1070</v>
      </c>
      <c r="C68" s="3206">
        <v>9.7000000000000003E-2</v>
      </c>
      <c r="D68" s="3206">
        <v>6.8000000000000005E-2</v>
      </c>
      <c r="E68" s="3206">
        <v>6.6000000000000003E-2</v>
      </c>
      <c r="F68" s="3206">
        <v>0.1</v>
      </c>
      <c r="G68" s="3207">
        <v>8.4000000000000005E-2</v>
      </c>
    </row>
    <row r="69" spans="1:7">
      <c r="A69" s="3216" t="s">
        <v>851</v>
      </c>
      <c r="B69" s="3205" t="s">
        <v>1078</v>
      </c>
      <c r="C69" s="3206">
        <v>6.8000000000000005E-2</v>
      </c>
      <c r="D69" s="3206">
        <v>9.8000000000000004E-2</v>
      </c>
      <c r="E69" s="3206">
        <v>9.5000000000000001E-2</v>
      </c>
      <c r="F69" s="3206">
        <v>0.1</v>
      </c>
      <c r="G69" s="3207">
        <v>0.1</v>
      </c>
    </row>
    <row r="70" spans="1:7">
      <c r="A70" s="3216" t="s">
        <v>851</v>
      </c>
      <c r="B70" s="3205" t="s">
        <v>1083</v>
      </c>
      <c r="C70" s="3206">
        <v>9.8000000000000004E-2</v>
      </c>
      <c r="D70" s="3206">
        <v>8.8999999999999996E-2</v>
      </c>
      <c r="E70" s="3206">
        <v>5.8999999999999997E-2</v>
      </c>
      <c r="F70" s="3206">
        <v>0.1</v>
      </c>
      <c r="G70" s="3207">
        <v>9.6000000000000002E-2</v>
      </c>
    </row>
    <row r="71" spans="1:7">
      <c r="A71" s="3216" t="s">
        <v>851</v>
      </c>
      <c r="B71" s="3205" t="s">
        <v>1092</v>
      </c>
      <c r="C71" s="3206">
        <v>8.8999999999999996E-2</v>
      </c>
      <c r="D71" s="3206">
        <v>9.9000000000000005E-2</v>
      </c>
      <c r="E71" s="3206">
        <v>9.6000000000000002E-2</v>
      </c>
      <c r="F71" s="3206">
        <v>0.1</v>
      </c>
      <c r="G71" s="3207">
        <v>0.1</v>
      </c>
    </row>
    <row r="72" spans="1:7">
      <c r="A72" s="3216" t="s">
        <v>851</v>
      </c>
      <c r="B72" s="3205" t="s">
        <v>1099</v>
      </c>
      <c r="C72" s="3206">
        <v>9.9000000000000005E-2</v>
      </c>
      <c r="D72" s="3206">
        <v>0.1</v>
      </c>
      <c r="E72" s="3206">
        <v>7.0000000000000007E-2</v>
      </c>
      <c r="F72" s="3217"/>
      <c r="G72" s="3207">
        <v>0.1</v>
      </c>
    </row>
    <row r="73" spans="1:7">
      <c r="A73" s="3216" t="s">
        <v>851</v>
      </c>
      <c r="B73" s="3205" t="s">
        <v>1107</v>
      </c>
      <c r="C73" s="3206">
        <v>0.1</v>
      </c>
      <c r="D73" s="3206">
        <v>0.1</v>
      </c>
      <c r="E73" s="3206">
        <v>9.6000000000000002E-2</v>
      </c>
      <c r="F73" s="3217"/>
      <c r="G73" s="3207">
        <v>0.1</v>
      </c>
    </row>
    <row r="74" spans="1:7">
      <c r="A74" s="3216" t="s">
        <v>851</v>
      </c>
      <c r="B74" s="3205" t="s">
        <v>1114</v>
      </c>
      <c r="C74" s="3206">
        <v>0.1</v>
      </c>
      <c r="D74" s="3206">
        <v>0.1</v>
      </c>
      <c r="E74" s="3206">
        <v>9.8000000000000004E-2</v>
      </c>
      <c r="F74" s="3217"/>
      <c r="G74" s="3207">
        <v>0.1</v>
      </c>
    </row>
    <row r="75" spans="1:7">
      <c r="A75" s="3216" t="s">
        <v>851</v>
      </c>
      <c r="B75" s="3205" t="s">
        <v>1118</v>
      </c>
      <c r="C75" s="3206">
        <v>0.1</v>
      </c>
      <c r="D75" s="3206">
        <v>9.9000000000000005E-2</v>
      </c>
      <c r="E75" s="3206">
        <v>9.8000000000000004E-2</v>
      </c>
      <c r="F75" s="3217"/>
      <c r="G75" s="3207">
        <v>0.1</v>
      </c>
    </row>
    <row r="76" spans="1:7">
      <c r="A76" s="3216" t="s">
        <v>851</v>
      </c>
      <c r="B76" s="3205" t="s">
        <v>1125</v>
      </c>
      <c r="C76" s="3206">
        <v>9.9000000000000005E-2</v>
      </c>
      <c r="D76" s="3206">
        <v>0.1</v>
      </c>
      <c r="E76" s="3206">
        <v>9.7000000000000003E-2</v>
      </c>
      <c r="F76" s="3217"/>
      <c r="G76" s="3207">
        <v>0.1</v>
      </c>
    </row>
    <row r="77" spans="1:7">
      <c r="A77" s="3216" t="s">
        <v>851</v>
      </c>
      <c r="B77" s="3205" t="s">
        <v>1128</v>
      </c>
      <c r="C77" s="3206">
        <v>0.1</v>
      </c>
      <c r="D77" s="3206">
        <v>0.1</v>
      </c>
      <c r="E77" s="3206">
        <v>9.6000000000000002E-2</v>
      </c>
      <c r="F77" s="3217"/>
      <c r="G77" s="3207">
        <v>0.1</v>
      </c>
    </row>
    <row r="78" spans="1:7">
      <c r="A78" s="3216" t="s">
        <v>851</v>
      </c>
      <c r="B78" s="3205" t="s">
        <v>2818</v>
      </c>
      <c r="C78" s="3206">
        <v>0.1</v>
      </c>
      <c r="D78" s="3206">
        <v>8.5000000000000006E-2</v>
      </c>
      <c r="E78" s="3206">
        <v>9.6000000000000002E-2</v>
      </c>
      <c r="F78" s="3217"/>
      <c r="G78" s="3207">
        <v>9.6000000000000002E-2</v>
      </c>
    </row>
    <row r="79" spans="1:7">
      <c r="A79" s="3216" t="s">
        <v>851</v>
      </c>
      <c r="B79" s="3205" t="s">
        <v>2819</v>
      </c>
      <c r="C79" s="3206">
        <v>0.05</v>
      </c>
      <c r="D79" s="3206">
        <v>9.6000000000000002E-2</v>
      </c>
      <c r="E79" s="3206">
        <v>9.5000000000000001E-2</v>
      </c>
      <c r="F79" s="3217"/>
      <c r="G79" s="3207">
        <v>9.8000000000000004E-2</v>
      </c>
    </row>
    <row r="80" spans="1:7">
      <c r="A80" s="3216" t="s">
        <v>851</v>
      </c>
      <c r="B80" s="3205" t="s">
        <v>2820</v>
      </c>
      <c r="C80" s="3206">
        <v>8.5999999999999993E-2</v>
      </c>
      <c r="D80" s="3222"/>
      <c r="E80" s="3206">
        <v>0.1</v>
      </c>
      <c r="F80" s="3217"/>
      <c r="G80" s="3218"/>
    </row>
    <row r="81" spans="1:7">
      <c r="A81" s="3216" t="s">
        <v>851</v>
      </c>
      <c r="B81" s="3205" t="s">
        <v>2821</v>
      </c>
      <c r="C81" s="3206">
        <v>9.6000000000000002E-2</v>
      </c>
      <c r="D81" s="3217"/>
      <c r="E81" s="3206">
        <v>9.8000000000000004E-2</v>
      </c>
      <c r="F81" s="3217"/>
      <c r="G81" s="3218"/>
    </row>
    <row r="82" spans="1:7">
      <c r="A82" s="3216" t="s">
        <v>851</v>
      </c>
      <c r="B82" s="3205" t="s">
        <v>2822</v>
      </c>
      <c r="C82" s="3222"/>
      <c r="D82" s="3217"/>
      <c r="E82" s="3206">
        <v>7.6999999999999999E-2</v>
      </c>
      <c r="F82" s="3217"/>
      <c r="G82" s="3218"/>
    </row>
    <row r="83" spans="1:7">
      <c r="A83" s="3216" t="s">
        <v>851</v>
      </c>
      <c r="B83" s="3205" t="s">
        <v>3028</v>
      </c>
      <c r="C83" s="3217"/>
      <c r="D83" s="3217"/>
      <c r="E83" s="3217"/>
      <c r="F83" s="3206">
        <v>0.1</v>
      </c>
      <c r="G83" s="3223"/>
    </row>
    <row r="84" spans="1:7">
      <c r="A84" s="3216" t="s">
        <v>851</v>
      </c>
      <c r="B84" s="3205" t="s">
        <v>3029</v>
      </c>
      <c r="C84" s="3217"/>
      <c r="D84" s="3217"/>
      <c r="E84" s="3217"/>
      <c r="F84" s="3206">
        <v>0.1</v>
      </c>
      <c r="G84" s="3223"/>
    </row>
    <row r="85" spans="1:7">
      <c r="A85" s="3216" t="s">
        <v>851</v>
      </c>
      <c r="B85" s="3205" t="s">
        <v>3030</v>
      </c>
      <c r="C85" s="3217"/>
      <c r="D85" s="3217"/>
      <c r="E85" s="3217"/>
      <c r="F85" s="3206">
        <v>0.1</v>
      </c>
      <c r="G85" s="3223"/>
    </row>
    <row r="86" spans="1:7" ht="14.25" thickBot="1">
      <c r="A86" s="3219" t="s">
        <v>851</v>
      </c>
      <c r="B86" s="3209" t="s">
        <v>3031</v>
      </c>
      <c r="C86" s="3210">
        <v>9.8000000000000004E-2</v>
      </c>
      <c r="D86" s="3210">
        <v>9.8000000000000004E-2</v>
      </c>
      <c r="E86" s="3210">
        <v>9.6000000000000002E-2</v>
      </c>
      <c r="F86" s="3220"/>
      <c r="G86" s="3212">
        <v>0.1</v>
      </c>
    </row>
    <row r="87" spans="1:7">
      <c r="A87" s="3215" t="s">
        <v>1150</v>
      </c>
      <c r="B87" s="3201" t="s">
        <v>3032</v>
      </c>
      <c r="C87" s="3202">
        <v>0.1</v>
      </c>
      <c r="D87" s="3202">
        <v>0.1</v>
      </c>
      <c r="E87" s="3202">
        <v>9.8000000000000004E-2</v>
      </c>
      <c r="F87" s="3202">
        <v>0.1</v>
      </c>
      <c r="G87" s="3203">
        <v>0.1</v>
      </c>
    </row>
    <row r="88" spans="1:7">
      <c r="A88" s="3216" t="s">
        <v>1150</v>
      </c>
      <c r="B88" s="3205" t="s">
        <v>974</v>
      </c>
      <c r="C88" s="3206">
        <v>9.0999999999999998E-2</v>
      </c>
      <c r="D88" s="3206">
        <v>9.1999999999999998E-2</v>
      </c>
      <c r="E88" s="3206">
        <v>0.1</v>
      </c>
      <c r="F88" s="3206">
        <v>0.1</v>
      </c>
      <c r="G88" s="3207">
        <v>9.6000000000000002E-2</v>
      </c>
    </row>
    <row r="89" spans="1:7">
      <c r="A89" s="3216" t="s">
        <v>1150</v>
      </c>
      <c r="B89" s="3205" t="s">
        <v>984</v>
      </c>
      <c r="C89" s="3206">
        <v>0.1</v>
      </c>
      <c r="D89" s="3206">
        <v>0.1</v>
      </c>
      <c r="E89" s="3206">
        <v>6.7000000000000004E-2</v>
      </c>
      <c r="F89" s="3206">
        <v>9.2999999999999999E-2</v>
      </c>
      <c r="G89" s="3207">
        <v>0.1</v>
      </c>
    </row>
    <row r="90" spans="1:7">
      <c r="A90" s="3216" t="s">
        <v>1150</v>
      </c>
      <c r="B90" s="3205" t="s">
        <v>993</v>
      </c>
      <c r="C90" s="3206">
        <v>9.6000000000000002E-2</v>
      </c>
      <c r="D90" s="3206">
        <v>9.6000000000000002E-2</v>
      </c>
      <c r="E90" s="3206">
        <v>0.1</v>
      </c>
      <c r="F90" s="3206">
        <v>0.1</v>
      </c>
      <c r="G90" s="3207">
        <v>9.8000000000000004E-2</v>
      </c>
    </row>
    <row r="91" spans="1:7">
      <c r="A91" s="3216" t="s">
        <v>1150</v>
      </c>
      <c r="B91" s="3205" t="s">
        <v>1003</v>
      </c>
      <c r="C91" s="3206">
        <v>7.6999999999999999E-2</v>
      </c>
      <c r="D91" s="3206">
        <v>7.6999999999999999E-2</v>
      </c>
      <c r="E91" s="3206">
        <v>9.6000000000000002E-2</v>
      </c>
      <c r="F91" s="3206">
        <v>0.1</v>
      </c>
      <c r="G91" s="3207">
        <v>7.6999999999999999E-2</v>
      </c>
    </row>
    <row r="92" spans="1:7">
      <c r="A92" s="3216" t="s">
        <v>1150</v>
      </c>
      <c r="B92" s="3205" t="s">
        <v>1010</v>
      </c>
      <c r="C92" s="3206">
        <v>0.1</v>
      </c>
      <c r="D92" s="3206">
        <v>0.1</v>
      </c>
      <c r="E92" s="3206">
        <v>9.1999999999999998E-2</v>
      </c>
      <c r="F92" s="3206">
        <v>0.1</v>
      </c>
      <c r="G92" s="3207">
        <v>0.1</v>
      </c>
    </row>
    <row r="93" spans="1:7">
      <c r="A93" s="3216" t="s">
        <v>1150</v>
      </c>
      <c r="B93" s="3205" t="s">
        <v>1016</v>
      </c>
      <c r="C93" s="3206">
        <v>9.8000000000000004E-2</v>
      </c>
      <c r="D93" s="3206">
        <v>9.8000000000000004E-2</v>
      </c>
      <c r="E93" s="3206">
        <v>9.6000000000000002E-2</v>
      </c>
      <c r="F93" s="3206">
        <v>0.1</v>
      </c>
      <c r="G93" s="3207">
        <v>9.9000000000000005E-2</v>
      </c>
    </row>
    <row r="94" spans="1:7">
      <c r="A94" s="3216" t="s">
        <v>1150</v>
      </c>
      <c r="B94" s="3205" t="s">
        <v>1023</v>
      </c>
      <c r="C94" s="3206">
        <v>8.7999999999999995E-2</v>
      </c>
      <c r="D94" s="3206">
        <v>8.7999999999999995E-2</v>
      </c>
      <c r="E94" s="3206">
        <v>9.6000000000000002E-2</v>
      </c>
      <c r="F94" s="3206">
        <v>0.1</v>
      </c>
      <c r="G94" s="3207">
        <v>8.7999999999999995E-2</v>
      </c>
    </row>
    <row r="95" spans="1:7">
      <c r="A95" s="3216" t="s">
        <v>1150</v>
      </c>
      <c r="B95" s="3205" t="s">
        <v>1033</v>
      </c>
      <c r="C95" s="3206">
        <v>9.6000000000000002E-2</v>
      </c>
      <c r="D95" s="3206">
        <v>9.6000000000000002E-2</v>
      </c>
      <c r="E95" s="3206">
        <v>0.1</v>
      </c>
      <c r="F95" s="3206">
        <v>0.1</v>
      </c>
      <c r="G95" s="3207">
        <v>9.8000000000000004E-2</v>
      </c>
    </row>
    <row r="96" spans="1:7">
      <c r="A96" s="3216" t="s">
        <v>1150</v>
      </c>
      <c r="B96" s="3205" t="s">
        <v>1042</v>
      </c>
      <c r="C96" s="3206">
        <v>9.7000000000000003E-2</v>
      </c>
      <c r="D96" s="3206">
        <v>9.7000000000000003E-2</v>
      </c>
      <c r="E96" s="3206">
        <v>0.1</v>
      </c>
      <c r="F96" s="3206">
        <v>0.1</v>
      </c>
      <c r="G96" s="3207">
        <v>9.8000000000000004E-2</v>
      </c>
    </row>
    <row r="97" spans="1:7">
      <c r="A97" s="3216" t="s">
        <v>1150</v>
      </c>
      <c r="B97" s="3205" t="s">
        <v>1049</v>
      </c>
      <c r="C97" s="3206">
        <v>9.6000000000000002E-2</v>
      </c>
      <c r="D97" s="3206">
        <v>9.6000000000000002E-2</v>
      </c>
      <c r="E97" s="3206">
        <v>9.9000000000000005E-2</v>
      </c>
      <c r="F97" s="3206">
        <v>0.1</v>
      </c>
      <c r="G97" s="3207">
        <v>9.8000000000000004E-2</v>
      </c>
    </row>
    <row r="98" spans="1:7">
      <c r="A98" s="3216" t="s">
        <v>1150</v>
      </c>
      <c r="B98" s="3205" t="s">
        <v>1056</v>
      </c>
      <c r="C98" s="3206">
        <v>9.8000000000000004E-2</v>
      </c>
      <c r="D98" s="3206">
        <v>9.8000000000000004E-2</v>
      </c>
      <c r="E98" s="3206">
        <v>0.1</v>
      </c>
      <c r="F98" s="3206">
        <v>0.1</v>
      </c>
      <c r="G98" s="3207">
        <v>9.9000000000000005E-2</v>
      </c>
    </row>
    <row r="99" spans="1:7">
      <c r="A99" s="3216" t="s">
        <v>1150</v>
      </c>
      <c r="B99" s="3205" t="s">
        <v>1063</v>
      </c>
      <c r="C99" s="3206">
        <v>9.6000000000000002E-2</v>
      </c>
      <c r="D99" s="3206">
        <v>9.6000000000000002E-2</v>
      </c>
      <c r="E99" s="3206">
        <v>0.1</v>
      </c>
      <c r="F99" s="3206">
        <v>0.1</v>
      </c>
      <c r="G99" s="3207">
        <v>9.7000000000000003E-2</v>
      </c>
    </row>
    <row r="100" spans="1:7">
      <c r="A100" s="3216" t="s">
        <v>1150</v>
      </c>
      <c r="B100" s="3205" t="s">
        <v>1071</v>
      </c>
      <c r="C100" s="3206">
        <v>0.1</v>
      </c>
      <c r="D100" s="3206">
        <v>0.1</v>
      </c>
      <c r="E100" s="3206">
        <v>9.7000000000000003E-2</v>
      </c>
      <c r="F100" s="3206">
        <v>9.8000000000000004E-2</v>
      </c>
      <c r="G100" s="3207">
        <v>0.1</v>
      </c>
    </row>
    <row r="101" spans="1:7">
      <c r="A101" s="3216" t="s">
        <v>1150</v>
      </c>
      <c r="B101" s="3205" t="s">
        <v>1079</v>
      </c>
      <c r="C101" s="3206">
        <v>0.1</v>
      </c>
      <c r="D101" s="3206">
        <v>0.1</v>
      </c>
      <c r="E101" s="3206">
        <v>9.5000000000000001E-2</v>
      </c>
      <c r="F101" s="3206">
        <v>0.1</v>
      </c>
      <c r="G101" s="3207">
        <v>0.1</v>
      </c>
    </row>
    <row r="102" spans="1:7">
      <c r="A102" s="3216" t="s">
        <v>1150</v>
      </c>
      <c r="B102" s="3205" t="s">
        <v>1084</v>
      </c>
      <c r="C102" s="3206">
        <v>0.1</v>
      </c>
      <c r="D102" s="3206">
        <v>0.1</v>
      </c>
      <c r="E102" s="3206">
        <v>9.9000000000000005E-2</v>
      </c>
      <c r="F102" s="3206">
        <v>9.7000000000000003E-2</v>
      </c>
      <c r="G102" s="3207">
        <v>0.1</v>
      </c>
    </row>
    <row r="103" spans="1:7">
      <c r="A103" s="3216" t="s">
        <v>1150</v>
      </c>
      <c r="B103" s="3205" t="s">
        <v>1093</v>
      </c>
      <c r="C103" s="3206">
        <v>0.1</v>
      </c>
      <c r="D103" s="3206">
        <v>0.1</v>
      </c>
      <c r="E103" s="3206">
        <v>9.8000000000000004E-2</v>
      </c>
      <c r="F103" s="3206">
        <v>0.1</v>
      </c>
      <c r="G103" s="3207">
        <v>0.1</v>
      </c>
    </row>
    <row r="104" spans="1:7">
      <c r="A104" s="3216" t="s">
        <v>1150</v>
      </c>
      <c r="B104" s="3205" t="s">
        <v>1100</v>
      </c>
      <c r="C104" s="3206">
        <v>0.1</v>
      </c>
      <c r="D104" s="3206">
        <v>0.1</v>
      </c>
      <c r="E104" s="3206">
        <v>9.8000000000000004E-2</v>
      </c>
      <c r="F104" s="3206">
        <v>0.1</v>
      </c>
      <c r="G104" s="3207">
        <v>0.1</v>
      </c>
    </row>
    <row r="105" spans="1:7">
      <c r="A105" s="3216" t="s">
        <v>1150</v>
      </c>
      <c r="B105" s="3205" t="s">
        <v>1108</v>
      </c>
      <c r="C105" s="3206">
        <v>9.8000000000000004E-2</v>
      </c>
      <c r="D105" s="3206">
        <v>9.8000000000000004E-2</v>
      </c>
      <c r="E105" s="3206">
        <v>9.8000000000000004E-2</v>
      </c>
      <c r="F105" s="3206">
        <v>0.1</v>
      </c>
      <c r="G105" s="3207">
        <v>9.9000000000000005E-2</v>
      </c>
    </row>
    <row r="106" spans="1:7">
      <c r="A106" s="3216" t="s">
        <v>1150</v>
      </c>
      <c r="B106" s="3205" t="s">
        <v>1115</v>
      </c>
      <c r="C106" s="3206">
        <v>9.7000000000000003E-2</v>
      </c>
      <c r="D106" s="3206">
        <v>9.7000000000000003E-2</v>
      </c>
      <c r="E106" s="3206">
        <v>9.7000000000000003E-2</v>
      </c>
      <c r="F106" s="3206">
        <v>0.1</v>
      </c>
      <c r="G106" s="3207">
        <v>9.9000000000000005E-2</v>
      </c>
    </row>
    <row r="107" spans="1:7">
      <c r="A107" s="3216" t="s">
        <v>1150</v>
      </c>
      <c r="B107" s="3205" t="s">
        <v>1119</v>
      </c>
      <c r="C107" s="3206">
        <v>0.1</v>
      </c>
      <c r="D107" s="3206">
        <v>0.1</v>
      </c>
      <c r="E107" s="3206">
        <v>8.5999999999999993E-2</v>
      </c>
      <c r="F107" s="3206">
        <v>0.09</v>
      </c>
      <c r="G107" s="3207">
        <v>0.1</v>
      </c>
    </row>
    <row r="108" spans="1:7">
      <c r="A108" s="3216" t="s">
        <v>1150</v>
      </c>
      <c r="B108" s="3205" t="s">
        <v>1126</v>
      </c>
      <c r="C108" s="3206">
        <v>0.1</v>
      </c>
      <c r="D108" s="3206">
        <v>0.1</v>
      </c>
      <c r="E108" s="3206">
        <v>9.6000000000000002E-2</v>
      </c>
      <c r="F108" s="3217"/>
      <c r="G108" s="3207">
        <v>0.1</v>
      </c>
    </row>
    <row r="109" spans="1:7">
      <c r="A109" s="3216" t="s">
        <v>1150</v>
      </c>
      <c r="B109" s="3205" t="s">
        <v>1129</v>
      </c>
      <c r="C109" s="3206">
        <v>0.1</v>
      </c>
      <c r="D109" s="3206">
        <v>0.1</v>
      </c>
      <c r="E109" s="3206">
        <v>0.1</v>
      </c>
      <c r="F109" s="3217"/>
      <c r="G109" s="3207">
        <v>0.1</v>
      </c>
    </row>
    <row r="110" spans="1:7">
      <c r="A110" s="3216" t="s">
        <v>1150</v>
      </c>
      <c r="B110" s="3205" t="s">
        <v>1131</v>
      </c>
      <c r="C110" s="3206">
        <v>0.1</v>
      </c>
      <c r="D110" s="3206">
        <v>0.1</v>
      </c>
      <c r="E110" s="3206">
        <v>0.1</v>
      </c>
      <c r="F110" s="3217"/>
      <c r="G110" s="3207">
        <v>0.1</v>
      </c>
    </row>
    <row r="111" spans="1:7">
      <c r="A111" s="3216" t="s">
        <v>1150</v>
      </c>
      <c r="B111" s="3205" t="s">
        <v>1134</v>
      </c>
      <c r="C111" s="3206">
        <v>0.1</v>
      </c>
      <c r="D111" s="3206">
        <v>0.1</v>
      </c>
      <c r="E111" s="3206">
        <v>9.5000000000000001E-2</v>
      </c>
      <c r="F111" s="3217"/>
      <c r="G111" s="3207">
        <v>0.1</v>
      </c>
    </row>
    <row r="112" spans="1:7">
      <c r="A112" s="3216" t="s">
        <v>1150</v>
      </c>
      <c r="B112" s="3205" t="s">
        <v>1138</v>
      </c>
      <c r="C112" s="3206">
        <v>9.7000000000000003E-2</v>
      </c>
      <c r="D112" s="3206">
        <v>9.7000000000000003E-2</v>
      </c>
      <c r="E112" s="3206">
        <v>0.05</v>
      </c>
      <c r="F112" s="3217"/>
      <c r="G112" s="3207">
        <v>9.8000000000000004E-2</v>
      </c>
    </row>
    <row r="113" spans="1:7">
      <c r="A113" s="3216" t="s">
        <v>1150</v>
      </c>
      <c r="B113" s="3205" t="s">
        <v>2828</v>
      </c>
      <c r="C113" s="3206">
        <v>0.1</v>
      </c>
      <c r="D113" s="3206">
        <v>0.1</v>
      </c>
      <c r="E113" s="3217"/>
      <c r="F113" s="3217"/>
      <c r="G113" s="3207">
        <v>0.1</v>
      </c>
    </row>
    <row r="114" spans="1:7">
      <c r="A114" s="3216" t="s">
        <v>1150</v>
      </c>
      <c r="B114" s="3205" t="s">
        <v>2829</v>
      </c>
      <c r="C114" s="3206">
        <v>9.7000000000000003E-2</v>
      </c>
      <c r="D114" s="3206">
        <v>9.7000000000000003E-2</v>
      </c>
      <c r="E114" s="3217"/>
      <c r="F114" s="3217"/>
      <c r="G114" s="3207">
        <v>9.9000000000000005E-2</v>
      </c>
    </row>
    <row r="115" spans="1:7">
      <c r="A115" s="3216" t="s">
        <v>1150</v>
      </c>
      <c r="B115" s="3205" t="s">
        <v>2830</v>
      </c>
      <c r="C115" s="3206">
        <v>0.1</v>
      </c>
      <c r="D115" s="3206">
        <v>0.1</v>
      </c>
      <c r="E115" s="3217"/>
      <c r="F115" s="3217"/>
      <c r="G115" s="3207">
        <v>0.1</v>
      </c>
    </row>
    <row r="116" spans="1:7">
      <c r="A116" s="3216" t="s">
        <v>1150</v>
      </c>
      <c r="B116" s="3205" t="s">
        <v>2831</v>
      </c>
      <c r="C116" s="3206">
        <v>0.1</v>
      </c>
      <c r="D116" s="3206">
        <v>0.1</v>
      </c>
      <c r="E116" s="3217"/>
      <c r="F116" s="3217"/>
      <c r="G116" s="3207">
        <v>0.1</v>
      </c>
    </row>
    <row r="117" spans="1:7">
      <c r="A117" s="3216" t="s">
        <v>1150</v>
      </c>
      <c r="B117" s="3205" t="s">
        <v>2832</v>
      </c>
      <c r="C117" s="3206">
        <v>9.7000000000000003E-2</v>
      </c>
      <c r="D117" s="3206">
        <v>9.7000000000000003E-2</v>
      </c>
      <c r="E117" s="3217"/>
      <c r="F117" s="3217"/>
      <c r="G117" s="3207">
        <v>9.7000000000000003E-2</v>
      </c>
    </row>
    <row r="118" spans="1:7">
      <c r="A118" s="3216" t="s">
        <v>1150</v>
      </c>
      <c r="B118" s="3205" t="s">
        <v>2833</v>
      </c>
      <c r="C118" s="3206">
        <v>0.1</v>
      </c>
      <c r="D118" s="3206">
        <v>0.1</v>
      </c>
      <c r="E118" s="3217"/>
      <c r="F118" s="3217"/>
      <c r="G118" s="3207">
        <v>0.1</v>
      </c>
    </row>
    <row r="119" spans="1:7">
      <c r="A119" s="3216" t="s">
        <v>1150</v>
      </c>
      <c r="B119" s="3205" t="s">
        <v>2834</v>
      </c>
      <c r="C119" s="3206">
        <v>5.0999999999999997E-2</v>
      </c>
      <c r="D119" s="3206">
        <v>5.1999999999999998E-2</v>
      </c>
      <c r="E119" s="3217"/>
      <c r="F119" s="3222"/>
      <c r="G119" s="3207">
        <v>0.06</v>
      </c>
    </row>
    <row r="120" spans="1:7">
      <c r="A120" s="3216" t="s">
        <v>1150</v>
      </c>
      <c r="B120" s="3205" t="s">
        <v>3033</v>
      </c>
      <c r="C120" s="3217"/>
      <c r="D120" s="3217"/>
      <c r="E120" s="3217"/>
      <c r="F120" s="3206">
        <v>0.1</v>
      </c>
      <c r="G120" s="3223"/>
    </row>
    <row r="121" spans="1:7">
      <c r="A121" s="3216" t="s">
        <v>1150</v>
      </c>
      <c r="B121" s="3205" t="s">
        <v>3034</v>
      </c>
      <c r="C121" s="3217"/>
      <c r="D121" s="3217"/>
      <c r="E121" s="3217"/>
      <c r="F121" s="3206">
        <v>0.1</v>
      </c>
      <c r="G121" s="3223"/>
    </row>
    <row r="122" spans="1:7">
      <c r="A122" s="3216" t="s">
        <v>1150</v>
      </c>
      <c r="B122" s="3205" t="s">
        <v>3035</v>
      </c>
      <c r="C122" s="3206">
        <v>0.1</v>
      </c>
      <c r="D122" s="3206">
        <v>0.1</v>
      </c>
      <c r="E122" s="3206">
        <v>9.8000000000000004E-2</v>
      </c>
      <c r="F122" s="3206">
        <v>0.1</v>
      </c>
      <c r="G122" s="3207">
        <v>0.1</v>
      </c>
    </row>
    <row r="123" spans="1:7">
      <c r="A123" s="3216" t="s">
        <v>1150</v>
      </c>
      <c r="B123" s="3205" t="s">
        <v>2838</v>
      </c>
      <c r="C123" s="3206">
        <v>0.1</v>
      </c>
      <c r="D123" s="3206">
        <v>0.1</v>
      </c>
      <c r="E123" s="3206">
        <v>9.8000000000000004E-2</v>
      </c>
      <c r="F123" s="3206">
        <v>0.1</v>
      </c>
      <c r="G123" s="3207">
        <v>0.1</v>
      </c>
    </row>
    <row r="124" spans="1:7">
      <c r="A124" s="3216" t="s">
        <v>1150</v>
      </c>
      <c r="B124" s="3205" t="s">
        <v>2839</v>
      </c>
      <c r="C124" s="3206">
        <v>0.1</v>
      </c>
      <c r="D124" s="3206">
        <v>0.1</v>
      </c>
      <c r="E124" s="3206">
        <v>9.8000000000000004E-2</v>
      </c>
      <c r="F124" s="3222"/>
      <c r="G124" s="3207">
        <v>0.1</v>
      </c>
    </row>
    <row r="125" spans="1:7">
      <c r="A125" s="3216" t="s">
        <v>1150</v>
      </c>
      <c r="B125" s="3205" t="s">
        <v>2840</v>
      </c>
      <c r="C125" s="3206">
        <v>9.8000000000000004E-2</v>
      </c>
      <c r="D125" s="3206">
        <v>9.8000000000000004E-2</v>
      </c>
      <c r="E125" s="3206">
        <v>9.6000000000000002E-2</v>
      </c>
      <c r="F125" s="3222"/>
      <c r="G125" s="3207">
        <v>0.1</v>
      </c>
    </row>
    <row r="126" spans="1:7" ht="14.25" thickBot="1">
      <c r="A126" s="3219" t="s">
        <v>1150</v>
      </c>
      <c r="B126" s="3209" t="s">
        <v>3036</v>
      </c>
      <c r="C126" s="3210">
        <v>0.1</v>
      </c>
      <c r="D126" s="3210">
        <v>0.1</v>
      </c>
      <c r="E126" s="3210">
        <v>9.8000000000000004E-2</v>
      </c>
      <c r="F126" s="3210">
        <v>0.1</v>
      </c>
      <c r="G126" s="3212">
        <v>0.1</v>
      </c>
    </row>
    <row r="127" spans="1:7">
      <c r="A127" s="3215" t="s">
        <v>1151</v>
      </c>
      <c r="B127" s="3201" t="s">
        <v>3037</v>
      </c>
      <c r="C127" s="3202">
        <v>0.121</v>
      </c>
      <c r="D127" s="3202">
        <v>0.121</v>
      </c>
      <c r="E127" s="3202">
        <v>0.107</v>
      </c>
      <c r="F127" s="3202">
        <v>0.13</v>
      </c>
      <c r="G127" s="3203">
        <v>0.122</v>
      </c>
    </row>
    <row r="128" spans="1:7">
      <c r="A128" s="3216" t="s">
        <v>1151</v>
      </c>
      <c r="B128" s="3205" t="s">
        <v>975</v>
      </c>
      <c r="C128" s="3206">
        <v>0.11600000000000001</v>
      </c>
      <c r="D128" s="3206">
        <v>0.11700000000000001</v>
      </c>
      <c r="E128" s="3206">
        <v>0.104</v>
      </c>
      <c r="F128" s="3206">
        <v>0.13</v>
      </c>
      <c r="G128" s="3207">
        <v>0.11700000000000001</v>
      </c>
    </row>
    <row r="129" spans="1:7">
      <c r="A129" s="3216" t="s">
        <v>1151</v>
      </c>
      <c r="B129" s="3205" t="s">
        <v>985</v>
      </c>
      <c r="C129" s="3206">
        <v>0.107</v>
      </c>
      <c r="D129" s="3206">
        <v>0.108</v>
      </c>
      <c r="E129" s="3206">
        <v>0.1</v>
      </c>
      <c r="F129" s="3206">
        <v>0.13</v>
      </c>
      <c r="G129" s="3207">
        <v>0.11700000000000001</v>
      </c>
    </row>
    <row r="130" spans="1:7">
      <c r="A130" s="3216" t="s">
        <v>1151</v>
      </c>
      <c r="B130" s="3205" t="s">
        <v>994</v>
      </c>
      <c r="C130" s="3206">
        <v>0.13</v>
      </c>
      <c r="D130" s="3206">
        <v>0.13</v>
      </c>
      <c r="E130" s="3206">
        <v>0.126</v>
      </c>
      <c r="F130" s="3206">
        <v>0.13</v>
      </c>
      <c r="G130" s="3207">
        <v>0.13</v>
      </c>
    </row>
    <row r="131" spans="1:7">
      <c r="A131" s="3216" t="s">
        <v>1151</v>
      </c>
      <c r="B131" s="3205" t="s">
        <v>1004</v>
      </c>
      <c r="C131" s="3206">
        <v>0.13</v>
      </c>
      <c r="D131" s="3206">
        <v>0.13</v>
      </c>
      <c r="E131" s="3206">
        <v>0.13</v>
      </c>
      <c r="F131" s="3206">
        <v>0.13</v>
      </c>
      <c r="G131" s="3207">
        <v>0.13</v>
      </c>
    </row>
    <row r="132" spans="1:7">
      <c r="A132" s="3216" t="s">
        <v>1151</v>
      </c>
      <c r="B132" s="3205" t="s">
        <v>1011</v>
      </c>
      <c r="C132" s="3206">
        <v>0.13</v>
      </c>
      <c r="D132" s="3206">
        <v>0.13</v>
      </c>
      <c r="E132" s="3206">
        <v>0.126</v>
      </c>
      <c r="F132" s="3206">
        <v>0.13</v>
      </c>
      <c r="G132" s="3207">
        <v>0.13</v>
      </c>
    </row>
    <row r="133" spans="1:7">
      <c r="A133" s="3216" t="s">
        <v>1151</v>
      </c>
      <c r="B133" s="3205" t="s">
        <v>1017</v>
      </c>
      <c r="C133" s="3206">
        <v>0.111</v>
      </c>
      <c r="D133" s="3206">
        <v>0.111</v>
      </c>
      <c r="E133" s="3206">
        <v>0.10199999999999999</v>
      </c>
      <c r="F133" s="3206">
        <v>0.13</v>
      </c>
      <c r="G133" s="3207">
        <v>0.121</v>
      </c>
    </row>
    <row r="134" spans="1:7">
      <c r="A134" s="3216" t="s">
        <v>1151</v>
      </c>
      <c r="B134" s="3205" t="s">
        <v>1024</v>
      </c>
      <c r="C134" s="3206">
        <v>0.121</v>
      </c>
      <c r="D134" s="3206">
        <v>0.121</v>
      </c>
      <c r="E134" s="3206">
        <v>0.1</v>
      </c>
      <c r="F134" s="3206">
        <v>0.13</v>
      </c>
      <c r="G134" s="3207">
        <v>0.123</v>
      </c>
    </row>
    <row r="135" spans="1:7">
      <c r="A135" s="3216" t="s">
        <v>1151</v>
      </c>
      <c r="B135" s="3205" t="s">
        <v>1034</v>
      </c>
      <c r="C135" s="3206">
        <v>0.105</v>
      </c>
      <c r="D135" s="3206">
        <v>0.106</v>
      </c>
      <c r="E135" s="3206">
        <v>0.1</v>
      </c>
      <c r="F135" s="3206">
        <v>0.13</v>
      </c>
      <c r="G135" s="3207">
        <v>0.115</v>
      </c>
    </row>
    <row r="136" spans="1:7">
      <c r="A136" s="3216" t="s">
        <v>1151</v>
      </c>
      <c r="B136" s="3205" t="s">
        <v>1043</v>
      </c>
      <c r="C136" s="3206">
        <v>0.127</v>
      </c>
      <c r="D136" s="3206">
        <v>0.127</v>
      </c>
      <c r="E136" s="3206">
        <v>0.121</v>
      </c>
      <c r="F136" s="3206">
        <v>0.123</v>
      </c>
      <c r="G136" s="3207">
        <v>0.129</v>
      </c>
    </row>
    <row r="137" spans="1:7">
      <c r="A137" s="3216" t="s">
        <v>1151</v>
      </c>
      <c r="B137" s="3205" t="s">
        <v>1050</v>
      </c>
      <c r="C137" s="3206">
        <v>0.13</v>
      </c>
      <c r="D137" s="3206">
        <v>0.13</v>
      </c>
      <c r="E137" s="3206">
        <v>0.129</v>
      </c>
      <c r="F137" s="3206">
        <v>0.13</v>
      </c>
      <c r="G137" s="3207">
        <v>0.13</v>
      </c>
    </row>
    <row r="138" spans="1:7">
      <c r="A138" s="3216" t="s">
        <v>1151</v>
      </c>
      <c r="B138" s="3205" t="s">
        <v>1057</v>
      </c>
      <c r="C138" s="3206">
        <v>0.13</v>
      </c>
      <c r="D138" s="3206">
        <v>0.13</v>
      </c>
      <c r="E138" s="3206">
        <v>0.125</v>
      </c>
      <c r="F138" s="3206">
        <v>0.13</v>
      </c>
      <c r="G138" s="3207">
        <v>0.13</v>
      </c>
    </row>
    <row r="139" spans="1:7">
      <c r="A139" s="3216" t="s">
        <v>1151</v>
      </c>
      <c r="B139" s="3205" t="s">
        <v>1064</v>
      </c>
      <c r="C139" s="3206">
        <v>0.13</v>
      </c>
      <c r="D139" s="3206">
        <v>0.13</v>
      </c>
      <c r="E139" s="3206">
        <v>0.126</v>
      </c>
      <c r="F139" s="3206">
        <v>0.13</v>
      </c>
      <c r="G139" s="3207">
        <v>0.13</v>
      </c>
    </row>
    <row r="140" spans="1:7">
      <c r="A140" s="3216" t="s">
        <v>1151</v>
      </c>
      <c r="B140" s="3205" t="s">
        <v>1072</v>
      </c>
      <c r="C140" s="3206">
        <v>0.1</v>
      </c>
      <c r="D140" s="3206">
        <v>0.1</v>
      </c>
      <c r="E140" s="3206">
        <v>0.1</v>
      </c>
      <c r="F140" s="3206">
        <v>0.123</v>
      </c>
      <c r="G140" s="3207">
        <v>0.107</v>
      </c>
    </row>
    <row r="141" spans="1:7">
      <c r="A141" s="3216" t="s">
        <v>1151</v>
      </c>
      <c r="B141" s="3205" t="s">
        <v>1080</v>
      </c>
      <c r="C141" s="3206">
        <v>0.127</v>
      </c>
      <c r="D141" s="3206">
        <v>0.127</v>
      </c>
      <c r="E141" s="3206">
        <v>0.122</v>
      </c>
      <c r="F141" s="3206">
        <v>0.1</v>
      </c>
      <c r="G141" s="3207">
        <v>0.129</v>
      </c>
    </row>
    <row r="142" spans="1:7">
      <c r="A142" s="3216" t="s">
        <v>1151</v>
      </c>
      <c r="B142" s="3205" t="s">
        <v>1085</v>
      </c>
      <c r="C142" s="3206">
        <v>0.121</v>
      </c>
      <c r="D142" s="3206">
        <v>0.122</v>
      </c>
      <c r="E142" s="3206">
        <v>0.1</v>
      </c>
      <c r="F142" s="3206">
        <v>0.123</v>
      </c>
      <c r="G142" s="3207">
        <v>0.123</v>
      </c>
    </row>
    <row r="143" spans="1:7">
      <c r="A143" s="3216" t="s">
        <v>1151</v>
      </c>
      <c r="B143" s="3205" t="s">
        <v>1094</v>
      </c>
      <c r="C143" s="3206">
        <v>0.1</v>
      </c>
      <c r="D143" s="3206">
        <v>0.1</v>
      </c>
      <c r="E143" s="3206">
        <v>0.1</v>
      </c>
      <c r="F143" s="3206">
        <v>0.13</v>
      </c>
      <c r="G143" s="3207">
        <v>0.1</v>
      </c>
    </row>
    <row r="144" spans="1:7">
      <c r="A144" s="3216" t="s">
        <v>1151</v>
      </c>
      <c r="B144" s="3205" t="s">
        <v>1101</v>
      </c>
      <c r="C144" s="3206">
        <v>0.106</v>
      </c>
      <c r="D144" s="3206">
        <v>0.105</v>
      </c>
      <c r="E144" s="3206">
        <v>0.1</v>
      </c>
      <c r="F144" s="3206">
        <v>0.13</v>
      </c>
      <c r="G144" s="3207">
        <v>0.11799999999999999</v>
      </c>
    </row>
    <row r="145" spans="1:7">
      <c r="A145" s="3216" t="s">
        <v>1151</v>
      </c>
      <c r="B145" s="3205" t="s">
        <v>1109</v>
      </c>
      <c r="C145" s="3206">
        <v>0.123</v>
      </c>
      <c r="D145" s="3206">
        <v>0.123</v>
      </c>
      <c r="E145" s="3206">
        <v>0.11700000000000001</v>
      </c>
      <c r="F145" s="3206">
        <v>0.13</v>
      </c>
      <c r="G145" s="3207">
        <v>0.126</v>
      </c>
    </row>
    <row r="146" spans="1:7">
      <c r="A146" s="3216" t="s">
        <v>1151</v>
      </c>
      <c r="B146" s="3205" t="s">
        <v>1116</v>
      </c>
      <c r="C146" s="3206">
        <v>0.127</v>
      </c>
      <c r="D146" s="3206">
        <v>0.127</v>
      </c>
      <c r="E146" s="3206">
        <v>0.12</v>
      </c>
      <c r="F146" s="3217"/>
      <c r="G146" s="3207">
        <v>0.129</v>
      </c>
    </row>
    <row r="147" spans="1:7">
      <c r="A147" s="3216" t="s">
        <v>1151</v>
      </c>
      <c r="B147" s="3205" t="s">
        <v>1120</v>
      </c>
      <c r="C147" s="3206">
        <v>0.13</v>
      </c>
      <c r="D147" s="3206">
        <v>0.13</v>
      </c>
      <c r="E147" s="3206">
        <v>0.126</v>
      </c>
      <c r="F147" s="3217"/>
      <c r="G147" s="3207">
        <v>0.13</v>
      </c>
    </row>
    <row r="148" spans="1:7">
      <c r="A148" s="3216" t="s">
        <v>1151</v>
      </c>
      <c r="B148" s="3205" t="s">
        <v>3038</v>
      </c>
      <c r="C148" s="3206">
        <v>0.13</v>
      </c>
      <c r="D148" s="3206">
        <v>0.13</v>
      </c>
      <c r="E148" s="3206">
        <v>0.13</v>
      </c>
      <c r="F148" s="3217"/>
      <c r="G148" s="3207">
        <v>0.13</v>
      </c>
    </row>
    <row r="149" spans="1:7">
      <c r="A149" s="3216" t="s">
        <v>1151</v>
      </c>
      <c r="B149" s="3205" t="s">
        <v>3039</v>
      </c>
      <c r="C149" s="3206">
        <v>0.13</v>
      </c>
      <c r="D149" s="3206">
        <v>0.13</v>
      </c>
      <c r="E149" s="3206">
        <v>0.13</v>
      </c>
      <c r="F149" s="3206">
        <v>0.13</v>
      </c>
      <c r="G149" s="3207">
        <v>0.13</v>
      </c>
    </row>
    <row r="150" spans="1:7">
      <c r="A150" s="3216" t="s">
        <v>1151</v>
      </c>
      <c r="B150" s="3205" t="s">
        <v>1139</v>
      </c>
      <c r="C150" s="3206">
        <v>0.13</v>
      </c>
      <c r="D150" s="3206">
        <v>0.13</v>
      </c>
      <c r="E150" s="3206">
        <v>0.127</v>
      </c>
      <c r="F150" s="3206">
        <v>0.13</v>
      </c>
      <c r="G150" s="3207">
        <v>0.13</v>
      </c>
    </row>
    <row r="151" spans="1:7">
      <c r="A151" s="3216" t="s">
        <v>1151</v>
      </c>
      <c r="B151" s="3205" t="s">
        <v>1141</v>
      </c>
      <c r="C151" s="3206">
        <v>0.13</v>
      </c>
      <c r="D151" s="3206">
        <v>0.13</v>
      </c>
      <c r="E151" s="3206">
        <v>0.13</v>
      </c>
      <c r="F151" s="3206">
        <v>0.13</v>
      </c>
      <c r="G151" s="3207">
        <v>0.13</v>
      </c>
    </row>
    <row r="152" spans="1:7">
      <c r="A152" s="3216" t="s">
        <v>1151</v>
      </c>
      <c r="B152" s="3205" t="s">
        <v>1144</v>
      </c>
      <c r="C152" s="3206">
        <v>0.13</v>
      </c>
      <c r="D152" s="3206">
        <v>0.13</v>
      </c>
      <c r="E152" s="3206">
        <v>0.13</v>
      </c>
      <c r="F152" s="3206">
        <v>0.13</v>
      </c>
      <c r="G152" s="3207">
        <v>0.13</v>
      </c>
    </row>
    <row r="153" spans="1:7">
      <c r="A153" s="3216" t="s">
        <v>1151</v>
      </c>
      <c r="B153" s="3205" t="s">
        <v>2845</v>
      </c>
      <c r="C153" s="3206">
        <v>0.13</v>
      </c>
      <c r="D153" s="3206">
        <v>0.13</v>
      </c>
      <c r="E153" s="3206">
        <v>0.13</v>
      </c>
      <c r="F153" s="3206">
        <v>0.13</v>
      </c>
      <c r="G153" s="3207">
        <v>0.13</v>
      </c>
    </row>
    <row r="154" spans="1:7">
      <c r="A154" s="3216" t="s">
        <v>1151</v>
      </c>
      <c r="B154" s="3205" t="s">
        <v>3040</v>
      </c>
      <c r="C154" s="3206">
        <v>0.121</v>
      </c>
      <c r="D154" s="3206">
        <v>0.121</v>
      </c>
      <c r="E154" s="3206">
        <v>0.105</v>
      </c>
      <c r="F154" s="3206">
        <v>0.121</v>
      </c>
      <c r="G154" s="3207">
        <v>0.123</v>
      </c>
    </row>
    <row r="155" spans="1:7">
      <c r="A155" s="3216" t="s">
        <v>1151</v>
      </c>
      <c r="B155" s="3205" t="s">
        <v>2847</v>
      </c>
      <c r="C155" s="3206">
        <v>0.1</v>
      </c>
      <c r="D155" s="3206">
        <v>0.1</v>
      </c>
      <c r="E155" s="3206">
        <v>0.1</v>
      </c>
      <c r="F155" s="3206">
        <v>0.1</v>
      </c>
      <c r="G155" s="3207">
        <v>0.1</v>
      </c>
    </row>
    <row r="156" spans="1:7">
      <c r="A156" s="3216" t="s">
        <v>1151</v>
      </c>
      <c r="B156" s="3205" t="s">
        <v>3041</v>
      </c>
      <c r="C156" s="3206">
        <v>0.13</v>
      </c>
      <c r="D156" s="3206">
        <v>0.13</v>
      </c>
      <c r="E156" s="3206">
        <v>0.13</v>
      </c>
      <c r="F156" s="3206">
        <v>0.13</v>
      </c>
      <c r="G156" s="3207">
        <v>0.13</v>
      </c>
    </row>
    <row r="157" spans="1:7">
      <c r="A157" s="3216" t="s">
        <v>1151</v>
      </c>
      <c r="B157" s="3205" t="s">
        <v>1147</v>
      </c>
      <c r="C157" s="3206">
        <v>0.13</v>
      </c>
      <c r="D157" s="3206">
        <v>0.13</v>
      </c>
      <c r="E157" s="3206">
        <v>0.125</v>
      </c>
      <c r="F157" s="3206">
        <v>0.13</v>
      </c>
      <c r="G157" s="3207">
        <v>0.13</v>
      </c>
    </row>
    <row r="158" spans="1:7">
      <c r="A158" s="3216" t="s">
        <v>1151</v>
      </c>
      <c r="B158" s="3205" t="s">
        <v>1148</v>
      </c>
      <c r="C158" s="3206">
        <v>0.124</v>
      </c>
      <c r="D158" s="3206">
        <v>0.124</v>
      </c>
      <c r="E158" s="3206">
        <v>0.11700000000000001</v>
      </c>
      <c r="F158" s="3206">
        <v>0.121</v>
      </c>
      <c r="G158" s="3207">
        <v>0.124</v>
      </c>
    </row>
    <row r="159" spans="1:7">
      <c r="A159" s="3216" t="s">
        <v>1151</v>
      </c>
      <c r="B159" s="3205" t="s">
        <v>1149</v>
      </c>
      <c r="C159" s="3206">
        <v>0.127</v>
      </c>
      <c r="D159" s="3206">
        <v>0.127</v>
      </c>
      <c r="E159" s="3206">
        <v>0.122</v>
      </c>
      <c r="F159" s="3206">
        <v>0.13</v>
      </c>
      <c r="G159" s="3207">
        <v>0.129</v>
      </c>
    </row>
    <row r="160" spans="1:7">
      <c r="A160" s="3216" t="s">
        <v>1151</v>
      </c>
      <c r="B160" s="3205" t="s">
        <v>3042</v>
      </c>
      <c r="C160" s="3206">
        <v>0.13</v>
      </c>
      <c r="D160" s="3206">
        <v>0.13</v>
      </c>
      <c r="E160" s="3206">
        <v>0.124</v>
      </c>
      <c r="F160" s="3206">
        <v>0.126</v>
      </c>
      <c r="G160" s="3207">
        <v>0.13</v>
      </c>
    </row>
    <row r="161" spans="1:7">
      <c r="A161" s="3216" t="s">
        <v>1151</v>
      </c>
      <c r="B161" s="3205" t="s">
        <v>2850</v>
      </c>
      <c r="C161" s="3206">
        <v>0.13</v>
      </c>
      <c r="D161" s="3206">
        <v>0.13</v>
      </c>
      <c r="E161" s="3206">
        <v>0.124</v>
      </c>
      <c r="F161" s="3206">
        <v>0.127</v>
      </c>
      <c r="G161" s="3207">
        <v>0.13</v>
      </c>
    </row>
    <row r="162" spans="1:7">
      <c r="A162" s="3216" t="s">
        <v>1151</v>
      </c>
      <c r="B162" s="3205" t="s">
        <v>2851</v>
      </c>
      <c r="C162" s="3206">
        <v>0.1</v>
      </c>
      <c r="D162" s="3206">
        <v>0.1</v>
      </c>
      <c r="E162" s="3206">
        <v>0.1</v>
      </c>
      <c r="F162" s="3206">
        <v>0.121</v>
      </c>
      <c r="G162" s="3207">
        <v>0.105</v>
      </c>
    </row>
    <row r="163" spans="1:7">
      <c r="A163" s="3216" t="s">
        <v>1151</v>
      </c>
      <c r="B163" s="3205" t="s">
        <v>2852</v>
      </c>
      <c r="C163" s="3206">
        <v>0.1</v>
      </c>
      <c r="D163" s="3206">
        <v>0.1</v>
      </c>
      <c r="E163" s="3206">
        <v>0.1</v>
      </c>
      <c r="F163" s="3206">
        <v>0.1</v>
      </c>
      <c r="G163" s="3207">
        <v>0.1</v>
      </c>
    </row>
    <row r="164" spans="1:7">
      <c r="A164" s="3216" t="s">
        <v>1151</v>
      </c>
      <c r="B164" s="3205" t="s">
        <v>2853</v>
      </c>
      <c r="C164" s="3222"/>
      <c r="D164" s="3222"/>
      <c r="E164" s="3222"/>
      <c r="F164" s="3206">
        <v>0.1</v>
      </c>
      <c r="G164" s="3218"/>
    </row>
    <row r="165" spans="1:7">
      <c r="A165" s="3216" t="s">
        <v>1151</v>
      </c>
      <c r="B165" s="3205" t="s">
        <v>3043</v>
      </c>
      <c r="C165" s="3206">
        <v>0.126</v>
      </c>
      <c r="D165" s="3206">
        <v>0.126</v>
      </c>
      <c r="E165" s="3206">
        <v>0.11899999999999999</v>
      </c>
      <c r="F165" s="3206">
        <v>0.13</v>
      </c>
      <c r="G165" s="3207">
        <v>0.128</v>
      </c>
    </row>
    <row r="166" spans="1:7">
      <c r="A166" s="3216" t="s">
        <v>1151</v>
      </c>
      <c r="B166" s="3205" t="s">
        <v>2855</v>
      </c>
      <c r="C166" s="3206">
        <v>0.129</v>
      </c>
      <c r="D166" s="3206">
        <v>0.129</v>
      </c>
      <c r="E166" s="3206">
        <v>0.123</v>
      </c>
      <c r="F166" s="3206">
        <v>0.128</v>
      </c>
      <c r="G166" s="3207">
        <v>0.13</v>
      </c>
    </row>
    <row r="167" spans="1:7">
      <c r="A167" s="3216" t="s">
        <v>1151</v>
      </c>
      <c r="B167" s="3205" t="s">
        <v>2856</v>
      </c>
      <c r="C167" s="3206">
        <v>0.125</v>
      </c>
      <c r="D167" s="3206">
        <v>0.125</v>
      </c>
      <c r="E167" s="3206">
        <v>0.11700000000000001</v>
      </c>
      <c r="F167" s="3206">
        <v>0.13</v>
      </c>
      <c r="G167" s="3207">
        <v>0.126</v>
      </c>
    </row>
    <row r="168" spans="1:7">
      <c r="A168" s="3216" t="s">
        <v>1151</v>
      </c>
      <c r="B168" s="3205" t="s">
        <v>2857</v>
      </c>
      <c r="C168" s="3206">
        <v>0.128</v>
      </c>
      <c r="D168" s="3206">
        <v>0.128</v>
      </c>
      <c r="E168" s="3206">
        <v>0.123</v>
      </c>
      <c r="F168" s="3217"/>
      <c r="G168" s="3207">
        <v>0.13</v>
      </c>
    </row>
    <row r="169" spans="1:7">
      <c r="A169" s="3216" t="s">
        <v>1151</v>
      </c>
      <c r="B169" s="3205" t="s">
        <v>3044</v>
      </c>
      <c r="C169" s="3222"/>
      <c r="D169" s="3222"/>
      <c r="E169" s="3222"/>
      <c r="F169" s="3206">
        <v>0.05</v>
      </c>
      <c r="G169" s="3218"/>
    </row>
    <row r="170" spans="1:7">
      <c r="A170" s="3216" t="s">
        <v>1151</v>
      </c>
      <c r="B170" s="3205" t="s">
        <v>3045</v>
      </c>
      <c r="C170" s="3222"/>
      <c r="D170" s="3222"/>
      <c r="E170" s="3222"/>
      <c r="F170" s="3206">
        <v>0.05</v>
      </c>
      <c r="G170" s="3218"/>
    </row>
    <row r="171" spans="1:7">
      <c r="A171" s="3216" t="s">
        <v>1151</v>
      </c>
      <c r="B171" s="3205" t="s">
        <v>3046</v>
      </c>
      <c r="C171" s="3222"/>
      <c r="D171" s="3222"/>
      <c r="E171" s="3222"/>
      <c r="F171" s="3206">
        <v>0.05</v>
      </c>
      <c r="G171" s="3223"/>
    </row>
    <row r="172" spans="1:7">
      <c r="A172" s="3216" t="s">
        <v>1151</v>
      </c>
      <c r="B172" s="3205" t="s">
        <v>3047</v>
      </c>
      <c r="C172" s="3222"/>
      <c r="D172" s="3222"/>
      <c r="E172" s="3222"/>
      <c r="F172" s="3206">
        <v>0.05</v>
      </c>
      <c r="G172" s="3223"/>
    </row>
    <row r="173" spans="1:7">
      <c r="A173" s="3216" t="s">
        <v>1151</v>
      </c>
      <c r="B173" s="3205" t="s">
        <v>3048</v>
      </c>
      <c r="C173" s="3222"/>
      <c r="D173" s="3222"/>
      <c r="E173" s="3222"/>
      <c r="F173" s="3206">
        <v>0.05</v>
      </c>
      <c r="G173" s="3218"/>
    </row>
    <row r="174" spans="1:7">
      <c r="A174" s="3216" t="s">
        <v>1151</v>
      </c>
      <c r="B174" s="3205" t="s">
        <v>3049</v>
      </c>
      <c r="C174" s="3222"/>
      <c r="D174" s="3222"/>
      <c r="E174" s="3222"/>
      <c r="F174" s="3206">
        <v>0.05</v>
      </c>
      <c r="G174" s="3218"/>
    </row>
    <row r="175" spans="1:7">
      <c r="A175" s="3216" t="s">
        <v>1151</v>
      </c>
      <c r="B175" s="3205" t="s">
        <v>3050</v>
      </c>
      <c r="C175" s="3222"/>
      <c r="D175" s="3222"/>
      <c r="E175" s="3222"/>
      <c r="F175" s="3206">
        <v>0.05</v>
      </c>
      <c r="G175" s="3218"/>
    </row>
    <row r="176" spans="1:7">
      <c r="A176" s="3216" t="s">
        <v>1151</v>
      </c>
      <c r="B176" s="3205" t="s">
        <v>3051</v>
      </c>
      <c r="C176" s="3222"/>
      <c r="D176" s="3222"/>
      <c r="E176" s="3222"/>
      <c r="F176" s="3206">
        <v>0.05</v>
      </c>
      <c r="G176" s="3218"/>
    </row>
    <row r="177" spans="1:7">
      <c r="A177" s="3216" t="s">
        <v>1151</v>
      </c>
      <c r="B177" s="3205" t="s">
        <v>3052</v>
      </c>
      <c r="C177" s="3217"/>
      <c r="D177" s="3217"/>
      <c r="E177" s="3217"/>
      <c r="F177" s="3206">
        <v>0.05</v>
      </c>
      <c r="G177" s="3223"/>
    </row>
    <row r="178" spans="1:7">
      <c r="A178" s="3216" t="s">
        <v>1151</v>
      </c>
      <c r="B178" s="3205" t="s">
        <v>3053</v>
      </c>
      <c r="C178" s="3217"/>
      <c r="D178" s="3217"/>
      <c r="E178" s="3217"/>
      <c r="F178" s="3206">
        <v>0.05</v>
      </c>
      <c r="G178" s="3223"/>
    </row>
    <row r="179" spans="1:7">
      <c r="A179" s="3216" t="s">
        <v>1151</v>
      </c>
      <c r="B179" s="3205" t="s">
        <v>3054</v>
      </c>
      <c r="C179" s="3217"/>
      <c r="D179" s="3217"/>
      <c r="E179" s="3217"/>
      <c r="F179" s="3206">
        <v>0.05</v>
      </c>
      <c r="G179" s="3223"/>
    </row>
    <row r="180" spans="1:7">
      <c r="A180" s="3216" t="s">
        <v>1151</v>
      </c>
      <c r="B180" s="3205" t="s">
        <v>3055</v>
      </c>
      <c r="C180" s="3217"/>
      <c r="D180" s="3217"/>
      <c r="E180" s="3217"/>
      <c r="F180" s="3206">
        <v>0.05</v>
      </c>
      <c r="G180" s="3223"/>
    </row>
    <row r="181" spans="1:7">
      <c r="A181" s="3216" t="s">
        <v>1151</v>
      </c>
      <c r="B181" s="3205" t="s">
        <v>3056</v>
      </c>
      <c r="C181" s="3217"/>
      <c r="D181" s="3217"/>
      <c r="E181" s="3217"/>
      <c r="F181" s="3206">
        <v>0.05</v>
      </c>
      <c r="G181" s="3223"/>
    </row>
    <row r="182" spans="1:7">
      <c r="A182" s="3216" t="s">
        <v>1151</v>
      </c>
      <c r="B182" s="3205" t="s">
        <v>3057</v>
      </c>
      <c r="C182" s="3217"/>
      <c r="D182" s="3217"/>
      <c r="E182" s="3217"/>
      <c r="F182" s="3206">
        <v>0.05</v>
      </c>
      <c r="G182" s="3223"/>
    </row>
    <row r="183" spans="1:7">
      <c r="A183" s="3216" t="s">
        <v>1151</v>
      </c>
      <c r="B183" s="3205" t="s">
        <v>3058</v>
      </c>
      <c r="C183" s="3217"/>
      <c r="D183" s="3217"/>
      <c r="E183" s="3217"/>
      <c r="F183" s="3206">
        <v>0.05</v>
      </c>
      <c r="G183" s="3223"/>
    </row>
    <row r="184" spans="1:7">
      <c r="A184" s="3216" t="s">
        <v>1151</v>
      </c>
      <c r="B184" s="3205" t="s">
        <v>3059</v>
      </c>
      <c r="C184" s="3217"/>
      <c r="D184" s="3217"/>
      <c r="E184" s="3217"/>
      <c r="F184" s="3206">
        <v>0.05</v>
      </c>
      <c r="G184" s="3223"/>
    </row>
    <row r="185" spans="1:7">
      <c r="A185" s="3216" t="s">
        <v>1151</v>
      </c>
      <c r="B185" s="3205" t="s">
        <v>3060</v>
      </c>
      <c r="C185" s="3217"/>
      <c r="D185" s="3217"/>
      <c r="E185" s="3217"/>
      <c r="F185" s="3206">
        <v>0.05</v>
      </c>
      <c r="G185" s="3223"/>
    </row>
    <row r="186" spans="1:7">
      <c r="A186" s="3216" t="s">
        <v>1151</v>
      </c>
      <c r="B186" s="3205" t="s">
        <v>3061</v>
      </c>
      <c r="C186" s="3217"/>
      <c r="D186" s="3217"/>
      <c r="E186" s="3217"/>
      <c r="F186" s="3206">
        <v>0.05</v>
      </c>
      <c r="G186" s="3223"/>
    </row>
    <row r="187" spans="1:7">
      <c r="A187" s="3216" t="s">
        <v>1151</v>
      </c>
      <c r="B187" s="3205" t="s">
        <v>3062</v>
      </c>
      <c r="C187" s="3217"/>
      <c r="D187" s="3217"/>
      <c r="E187" s="3217"/>
      <c r="F187" s="3206">
        <v>0.05</v>
      </c>
      <c r="G187" s="3223"/>
    </row>
    <row r="188" spans="1:7">
      <c r="A188" s="3216" t="s">
        <v>1151</v>
      </c>
      <c r="B188" s="3205" t="s">
        <v>3063</v>
      </c>
      <c r="C188" s="3217"/>
      <c r="D188" s="3217"/>
      <c r="E188" s="3217"/>
      <c r="F188" s="3206">
        <v>0.05</v>
      </c>
      <c r="G188" s="3223"/>
    </row>
    <row r="189" spans="1:7" ht="14.25" thickBot="1">
      <c r="A189" s="3219" t="s">
        <v>1151</v>
      </c>
      <c r="B189" s="3209" t="s">
        <v>3064</v>
      </c>
      <c r="C189" s="3211"/>
      <c r="D189" s="3211"/>
      <c r="E189" s="3211"/>
      <c r="F189" s="3210">
        <v>0.05</v>
      </c>
      <c r="G189" s="3224"/>
    </row>
    <row r="190" spans="1:7">
      <c r="A190" s="3215" t="s">
        <v>1152</v>
      </c>
      <c r="B190" s="3201" t="s">
        <v>3065</v>
      </c>
      <c r="C190" s="3202">
        <v>0.124</v>
      </c>
      <c r="D190" s="3202">
        <v>0.124</v>
      </c>
      <c r="E190" s="3202">
        <v>0.129</v>
      </c>
      <c r="F190" s="3202">
        <v>0.13</v>
      </c>
      <c r="G190" s="3203">
        <v>0.127</v>
      </c>
    </row>
    <row r="191" spans="1:7">
      <c r="A191" s="3216" t="s">
        <v>1152</v>
      </c>
      <c r="B191" s="3205" t="s">
        <v>976</v>
      </c>
      <c r="C191" s="3206">
        <v>0.13</v>
      </c>
      <c r="D191" s="3206">
        <v>0.13</v>
      </c>
      <c r="E191" s="3206">
        <v>0.13</v>
      </c>
      <c r="F191" s="3206">
        <v>0.13</v>
      </c>
      <c r="G191" s="3207">
        <v>0.13</v>
      </c>
    </row>
    <row r="192" spans="1:7">
      <c r="A192" s="3216" t="s">
        <v>1152</v>
      </c>
      <c r="B192" s="3205" t="s">
        <v>986</v>
      </c>
      <c r="C192" s="3206">
        <v>0.13</v>
      </c>
      <c r="D192" s="3206">
        <v>0.13</v>
      </c>
      <c r="E192" s="3206">
        <v>0.13</v>
      </c>
      <c r="F192" s="3206">
        <v>0.13</v>
      </c>
      <c r="G192" s="3207">
        <v>0.13</v>
      </c>
    </row>
    <row r="193" spans="1:7">
      <c r="A193" s="3216" t="s">
        <v>1152</v>
      </c>
      <c r="B193" s="3205" t="s">
        <v>995</v>
      </c>
      <c r="C193" s="3206">
        <v>0.13</v>
      </c>
      <c r="D193" s="3206">
        <v>0.13</v>
      </c>
      <c r="E193" s="3206">
        <v>0.13</v>
      </c>
      <c r="F193" s="3206">
        <v>0.13</v>
      </c>
      <c r="G193" s="3207">
        <v>0.13</v>
      </c>
    </row>
    <row r="194" spans="1:7">
      <c r="A194" s="3216" t="s">
        <v>1152</v>
      </c>
      <c r="B194" s="3205" t="s">
        <v>1005</v>
      </c>
      <c r="C194" s="3206">
        <v>0.123</v>
      </c>
      <c r="D194" s="3206">
        <v>0.123</v>
      </c>
      <c r="E194" s="3206">
        <v>0.128</v>
      </c>
      <c r="F194" s="3206">
        <v>0.13</v>
      </c>
      <c r="G194" s="3207">
        <v>0.126</v>
      </c>
    </row>
    <row r="195" spans="1:7">
      <c r="A195" s="3216" t="s">
        <v>1152</v>
      </c>
      <c r="B195" s="3205" t="s">
        <v>1012</v>
      </c>
      <c r="C195" s="3206">
        <v>0.127</v>
      </c>
      <c r="D195" s="3206">
        <v>0.127</v>
      </c>
      <c r="E195" s="3206">
        <v>0.121</v>
      </c>
      <c r="F195" s="3206">
        <v>0.129</v>
      </c>
      <c r="G195" s="3207">
        <v>0.129</v>
      </c>
    </row>
    <row r="196" spans="1:7">
      <c r="A196" s="3216" t="s">
        <v>1152</v>
      </c>
      <c r="B196" s="3205" t="s">
        <v>1018</v>
      </c>
      <c r="C196" s="3206">
        <v>0.127</v>
      </c>
      <c r="D196" s="3206">
        <v>0.128</v>
      </c>
      <c r="E196" s="3206">
        <v>0.122</v>
      </c>
      <c r="F196" s="3206">
        <v>0.13</v>
      </c>
      <c r="G196" s="3207">
        <v>0.129</v>
      </c>
    </row>
    <row r="197" spans="1:7">
      <c r="A197" s="3216" t="s">
        <v>1152</v>
      </c>
      <c r="B197" s="3205" t="s">
        <v>1025</v>
      </c>
      <c r="C197" s="3206">
        <v>0.126</v>
      </c>
      <c r="D197" s="3206">
        <v>0.126</v>
      </c>
      <c r="E197" s="3206">
        <v>0.11899999999999999</v>
      </c>
      <c r="F197" s="3206">
        <v>0.13</v>
      </c>
      <c r="G197" s="3207">
        <v>0.128</v>
      </c>
    </row>
    <row r="198" spans="1:7">
      <c r="A198" s="3216" t="s">
        <v>1152</v>
      </c>
      <c r="B198" s="3205" t="s">
        <v>1035</v>
      </c>
      <c r="C198" s="3206">
        <v>0.13</v>
      </c>
      <c r="D198" s="3206">
        <v>0.13</v>
      </c>
      <c r="E198" s="3206">
        <v>0.126</v>
      </c>
      <c r="F198" s="3222"/>
      <c r="G198" s="3207">
        <v>0.13</v>
      </c>
    </row>
    <row r="199" spans="1:7">
      <c r="A199" s="3216" t="s">
        <v>1152</v>
      </c>
      <c r="B199" s="3205" t="s">
        <v>3066</v>
      </c>
      <c r="C199" s="3206">
        <v>0.13</v>
      </c>
      <c r="D199" s="3206">
        <v>0.13</v>
      </c>
      <c r="E199" s="3206">
        <v>0.13</v>
      </c>
      <c r="F199" s="3206">
        <v>0.13</v>
      </c>
      <c r="G199" s="3207">
        <v>0.13</v>
      </c>
    </row>
    <row r="200" spans="1:7">
      <c r="A200" s="3216" t="s">
        <v>1152</v>
      </c>
      <c r="B200" s="3205" t="s">
        <v>2881</v>
      </c>
      <c r="C200" s="3222"/>
      <c r="D200" s="3222"/>
      <c r="E200" s="3222"/>
      <c r="F200" s="3206">
        <v>0.13</v>
      </c>
      <c r="G200" s="3218"/>
    </row>
    <row r="201" spans="1:7">
      <c r="A201" s="3216" t="s">
        <v>1152</v>
      </c>
      <c r="B201" s="3205" t="s">
        <v>3067</v>
      </c>
      <c r="C201" s="3206">
        <v>0.13</v>
      </c>
      <c r="D201" s="3206">
        <v>0.13</v>
      </c>
      <c r="E201" s="3206">
        <v>0.13</v>
      </c>
      <c r="F201" s="3206">
        <v>0.129</v>
      </c>
      <c r="G201" s="3207">
        <v>0.13</v>
      </c>
    </row>
    <row r="202" spans="1:7">
      <c r="A202" s="3216" t="s">
        <v>1152</v>
      </c>
      <c r="B202" s="3205" t="s">
        <v>1086</v>
      </c>
      <c r="C202" s="3206">
        <v>0.13</v>
      </c>
      <c r="D202" s="3206">
        <v>0.13</v>
      </c>
      <c r="E202" s="3206">
        <v>0.13</v>
      </c>
      <c r="F202" s="3206">
        <v>0.13</v>
      </c>
      <c r="G202" s="3207">
        <v>0.13</v>
      </c>
    </row>
    <row r="203" spans="1:7">
      <c r="A203" s="3216" t="s">
        <v>1152</v>
      </c>
      <c r="B203" s="3205" t="s">
        <v>3068</v>
      </c>
      <c r="C203" s="3206">
        <v>0.129</v>
      </c>
      <c r="D203" s="3206">
        <v>0.129</v>
      </c>
      <c r="E203" s="3206">
        <v>0.13</v>
      </c>
      <c r="F203" s="3206">
        <v>0.13</v>
      </c>
      <c r="G203" s="3207">
        <v>0.13</v>
      </c>
    </row>
    <row r="204" spans="1:7">
      <c r="A204" s="3216" t="s">
        <v>1152</v>
      </c>
      <c r="B204" s="3205" t="s">
        <v>2884</v>
      </c>
      <c r="C204" s="3206">
        <v>0.129</v>
      </c>
      <c r="D204" s="3206">
        <v>0.129</v>
      </c>
      <c r="E204" s="3206">
        <v>0.123</v>
      </c>
      <c r="F204" s="3206">
        <v>0.13</v>
      </c>
      <c r="G204" s="3207">
        <v>0.13</v>
      </c>
    </row>
    <row r="205" spans="1:7">
      <c r="A205" s="3216" t="s">
        <v>1152</v>
      </c>
      <c r="B205" s="3205" t="s">
        <v>2885</v>
      </c>
      <c r="C205" s="3206">
        <v>0.13</v>
      </c>
      <c r="D205" s="3206">
        <v>0.13</v>
      </c>
      <c r="E205" s="3206">
        <v>0.13</v>
      </c>
      <c r="F205" s="3206">
        <v>0.13</v>
      </c>
      <c r="G205" s="3207">
        <v>0.13</v>
      </c>
    </row>
    <row r="206" spans="1:7">
      <c r="A206" s="3216" t="s">
        <v>1152</v>
      </c>
      <c r="B206" s="3205" t="s">
        <v>2886</v>
      </c>
      <c r="C206" s="3206">
        <v>0.13</v>
      </c>
      <c r="D206" s="3206">
        <v>0.13</v>
      </c>
      <c r="E206" s="3206">
        <v>0.13</v>
      </c>
      <c r="F206" s="3206">
        <v>0.128</v>
      </c>
      <c r="G206" s="3207">
        <v>0.13</v>
      </c>
    </row>
    <row r="207" spans="1:7">
      <c r="A207" s="3216" t="s">
        <v>1152</v>
      </c>
      <c r="B207" s="3205" t="s">
        <v>2887</v>
      </c>
      <c r="C207" s="3206">
        <v>0.13</v>
      </c>
      <c r="D207" s="3206">
        <v>0.13</v>
      </c>
      <c r="E207" s="3206">
        <v>0.13</v>
      </c>
      <c r="F207" s="3206">
        <v>0.13</v>
      </c>
      <c r="G207" s="3207">
        <v>0.13</v>
      </c>
    </row>
    <row r="208" spans="1:7">
      <c r="A208" s="3216" t="s">
        <v>1152</v>
      </c>
      <c r="B208" s="3205" t="s">
        <v>3069</v>
      </c>
      <c r="C208" s="3206">
        <v>0.13</v>
      </c>
      <c r="D208" s="3206">
        <v>0.13</v>
      </c>
      <c r="E208" s="3206">
        <v>0.13</v>
      </c>
      <c r="F208" s="3206">
        <v>0.13</v>
      </c>
      <c r="G208" s="3207">
        <v>0.13</v>
      </c>
    </row>
    <row r="209" spans="1:7">
      <c r="A209" s="3216" t="s">
        <v>1152</v>
      </c>
      <c r="B209" s="3205" t="s">
        <v>1110</v>
      </c>
      <c r="C209" s="3206">
        <v>0.13</v>
      </c>
      <c r="D209" s="3206">
        <v>0.13</v>
      </c>
      <c r="E209" s="3206">
        <v>0.13</v>
      </c>
      <c r="F209" s="3206">
        <v>0.13</v>
      </c>
      <c r="G209" s="3207">
        <v>0.13</v>
      </c>
    </row>
    <row r="210" spans="1:7">
      <c r="A210" s="3216" t="s">
        <v>1152</v>
      </c>
      <c r="B210" s="3205" t="s">
        <v>2889</v>
      </c>
      <c r="C210" s="3206">
        <v>0.121</v>
      </c>
      <c r="D210" s="3206">
        <v>0.121</v>
      </c>
      <c r="E210" s="3206">
        <v>0.125</v>
      </c>
      <c r="F210" s="3206">
        <v>0.13</v>
      </c>
      <c r="G210" s="3207">
        <v>0.123</v>
      </c>
    </row>
    <row r="211" spans="1:7">
      <c r="A211" s="3216" t="s">
        <v>1152</v>
      </c>
      <c r="B211" s="3205" t="s">
        <v>3070</v>
      </c>
      <c r="C211" s="3206">
        <v>0.123</v>
      </c>
      <c r="D211" s="3206">
        <v>0.123</v>
      </c>
      <c r="E211" s="3206">
        <v>0.127</v>
      </c>
      <c r="F211" s="3206">
        <v>0.115</v>
      </c>
      <c r="G211" s="3207">
        <v>0.126</v>
      </c>
    </row>
    <row r="212" spans="1:7">
      <c r="A212" s="3216" t="s">
        <v>1152</v>
      </c>
      <c r="B212" s="3205" t="s">
        <v>1132</v>
      </c>
      <c r="C212" s="3206">
        <v>0.126</v>
      </c>
      <c r="D212" s="3206">
        <v>0.126</v>
      </c>
      <c r="E212" s="3206">
        <v>0.13</v>
      </c>
      <c r="F212" s="3206">
        <v>0.13</v>
      </c>
      <c r="G212" s="3207">
        <v>0.129</v>
      </c>
    </row>
    <row r="213" spans="1:7">
      <c r="A213" s="3216" t="s">
        <v>1152</v>
      </c>
      <c r="B213" s="3205" t="s">
        <v>1135</v>
      </c>
      <c r="C213" s="3206">
        <v>0.129</v>
      </c>
      <c r="D213" s="3206">
        <v>0.13</v>
      </c>
      <c r="E213" s="3206">
        <v>0.127</v>
      </c>
      <c r="F213" s="3206">
        <v>0.13</v>
      </c>
      <c r="G213" s="3207">
        <v>0.13</v>
      </c>
    </row>
    <row r="214" spans="1:7">
      <c r="A214" s="3216" t="s">
        <v>1152</v>
      </c>
      <c r="B214" s="3205" t="s">
        <v>3071</v>
      </c>
      <c r="C214" s="3206">
        <v>0.128</v>
      </c>
      <c r="D214" s="3206">
        <v>0.128</v>
      </c>
      <c r="E214" s="3206">
        <v>0.13</v>
      </c>
      <c r="F214" s="3206">
        <v>0.13</v>
      </c>
      <c r="G214" s="3207">
        <v>0.13</v>
      </c>
    </row>
    <row r="215" spans="1:7">
      <c r="A215" s="3216" t="s">
        <v>1152</v>
      </c>
      <c r="B215" s="3205" t="s">
        <v>3072</v>
      </c>
      <c r="C215" s="3206">
        <v>0.13</v>
      </c>
      <c r="D215" s="3206">
        <v>0.13</v>
      </c>
      <c r="E215" s="3206">
        <v>0.13</v>
      </c>
      <c r="F215" s="3206">
        <v>0.129</v>
      </c>
      <c r="G215" s="3207">
        <v>0.13</v>
      </c>
    </row>
    <row r="216" spans="1:7">
      <c r="A216" s="3216" t="s">
        <v>1152</v>
      </c>
      <c r="B216" s="3205" t="s">
        <v>3073</v>
      </c>
      <c r="C216" s="3206">
        <v>0.13</v>
      </c>
      <c r="D216" s="3206">
        <v>0.13</v>
      </c>
      <c r="E216" s="3206">
        <v>0.13</v>
      </c>
      <c r="F216" s="3206">
        <v>0.13</v>
      </c>
      <c r="G216" s="3207">
        <v>0.13</v>
      </c>
    </row>
    <row r="217" spans="1:7">
      <c r="A217" s="3216" t="s">
        <v>1152</v>
      </c>
      <c r="B217" s="3205" t="s">
        <v>2893</v>
      </c>
      <c r="C217" s="3206">
        <v>0.129</v>
      </c>
      <c r="D217" s="3206">
        <v>0.129</v>
      </c>
      <c r="E217" s="3206">
        <v>0.13</v>
      </c>
      <c r="F217" s="3206">
        <v>0.13</v>
      </c>
      <c r="G217" s="3207">
        <v>0.13</v>
      </c>
    </row>
    <row r="218" spans="1:7">
      <c r="A218" s="3216" t="s">
        <v>1152</v>
      </c>
      <c r="B218" s="3205" t="s">
        <v>3074</v>
      </c>
      <c r="C218" s="3217"/>
      <c r="D218" s="3217"/>
      <c r="E218" s="3217"/>
      <c r="F218" s="3206">
        <v>0.05</v>
      </c>
      <c r="G218" s="3223"/>
    </row>
    <row r="219" spans="1:7">
      <c r="A219" s="3216" t="s">
        <v>1152</v>
      </c>
      <c r="B219" s="3205" t="s">
        <v>3075</v>
      </c>
      <c r="C219" s="3217"/>
      <c r="D219" s="3217"/>
      <c r="E219" s="3217"/>
      <c r="F219" s="3206">
        <v>0.05</v>
      </c>
      <c r="G219" s="3223"/>
    </row>
    <row r="220" spans="1:7">
      <c r="A220" s="3216" t="s">
        <v>1152</v>
      </c>
      <c r="B220" s="3205" t="s">
        <v>3076</v>
      </c>
      <c r="C220" s="3217"/>
      <c r="D220" s="3217"/>
      <c r="E220" s="3217"/>
      <c r="F220" s="3206">
        <v>0.05</v>
      </c>
      <c r="G220" s="3223"/>
    </row>
    <row r="221" spans="1:7">
      <c r="A221" s="3216" t="s">
        <v>1152</v>
      </c>
      <c r="B221" s="3205" t="s">
        <v>3077</v>
      </c>
      <c r="C221" s="3217"/>
      <c r="D221" s="3217"/>
      <c r="E221" s="3217"/>
      <c r="F221" s="3206">
        <v>0.05</v>
      </c>
      <c r="G221" s="3223"/>
    </row>
    <row r="222" spans="1:7">
      <c r="A222" s="3216" t="s">
        <v>1152</v>
      </c>
      <c r="B222" s="3205" t="s">
        <v>3078</v>
      </c>
      <c r="C222" s="3217"/>
      <c r="D222" s="3217"/>
      <c r="E222" s="3217"/>
      <c r="F222" s="3206">
        <v>0.05</v>
      </c>
      <c r="G222" s="3223"/>
    </row>
    <row r="223" spans="1:7">
      <c r="A223" s="3216" t="s">
        <v>1152</v>
      </c>
      <c r="B223" s="3205" t="s">
        <v>3079</v>
      </c>
      <c r="C223" s="3217"/>
      <c r="D223" s="3217"/>
      <c r="E223" s="3217"/>
      <c r="F223" s="3206">
        <v>0.05</v>
      </c>
      <c r="G223" s="3223"/>
    </row>
    <row r="224" spans="1:7">
      <c r="A224" s="3216" t="s">
        <v>1152</v>
      </c>
      <c r="B224" s="3205" t="s">
        <v>3080</v>
      </c>
      <c r="C224" s="3217"/>
      <c r="D224" s="3217"/>
      <c r="E224" s="3217"/>
      <c r="F224" s="3206">
        <v>0.05</v>
      </c>
      <c r="G224" s="3223"/>
    </row>
    <row r="225" spans="1:7">
      <c r="A225" s="3216" t="s">
        <v>1152</v>
      </c>
      <c r="B225" s="3205" t="s">
        <v>3081</v>
      </c>
      <c r="C225" s="3217"/>
      <c r="D225" s="3217"/>
      <c r="E225" s="3217"/>
      <c r="F225" s="3206">
        <v>0.05</v>
      </c>
      <c r="G225" s="3223"/>
    </row>
    <row r="226" spans="1:7">
      <c r="A226" s="3216" t="s">
        <v>1152</v>
      </c>
      <c r="B226" s="3205" t="s">
        <v>3082</v>
      </c>
      <c r="C226" s="3217"/>
      <c r="D226" s="3217"/>
      <c r="E226" s="3217"/>
      <c r="F226" s="3206">
        <v>0.05</v>
      </c>
      <c r="G226" s="3223"/>
    </row>
    <row r="227" spans="1:7">
      <c r="A227" s="3216" t="s">
        <v>1152</v>
      </c>
      <c r="B227" s="3205" t="s">
        <v>3083</v>
      </c>
      <c r="C227" s="3217"/>
      <c r="D227" s="3217"/>
      <c r="E227" s="3217"/>
      <c r="F227" s="3206">
        <v>0.05</v>
      </c>
      <c r="G227" s="3223"/>
    </row>
    <row r="228" spans="1:7">
      <c r="A228" s="3216" t="s">
        <v>1152</v>
      </c>
      <c r="B228" s="3205" t="s">
        <v>3084</v>
      </c>
      <c r="C228" s="3217"/>
      <c r="D228" s="3217"/>
      <c r="E228" s="3217"/>
      <c r="F228" s="3206">
        <v>0.05</v>
      </c>
      <c r="G228" s="3223"/>
    </row>
    <row r="229" spans="1:7">
      <c r="A229" s="3216" t="s">
        <v>1152</v>
      </c>
      <c r="B229" s="3205" t="s">
        <v>3085</v>
      </c>
      <c r="C229" s="3217"/>
      <c r="D229" s="3217"/>
      <c r="E229" s="3217"/>
      <c r="F229" s="3206">
        <v>0.05</v>
      </c>
      <c r="G229" s="3223"/>
    </row>
    <row r="230" spans="1:7">
      <c r="A230" s="3216" t="s">
        <v>1152</v>
      </c>
      <c r="B230" s="3205" t="s">
        <v>3086</v>
      </c>
      <c r="C230" s="3217"/>
      <c r="D230" s="3217"/>
      <c r="E230" s="3217"/>
      <c r="F230" s="3206">
        <v>0.05</v>
      </c>
      <c r="G230" s="3223"/>
    </row>
    <row r="231" spans="1:7">
      <c r="A231" s="3216" t="s">
        <v>1152</v>
      </c>
      <c r="B231" s="3205" t="s">
        <v>3087</v>
      </c>
      <c r="C231" s="3217"/>
      <c r="D231" s="3217"/>
      <c r="E231" s="3217"/>
      <c r="F231" s="3206">
        <v>0.05</v>
      </c>
      <c r="G231" s="3223"/>
    </row>
    <row r="232" spans="1:7">
      <c r="A232" s="3216" t="s">
        <v>1152</v>
      </c>
      <c r="B232" s="3205" t="s">
        <v>3088</v>
      </c>
      <c r="C232" s="3217"/>
      <c r="D232" s="3217"/>
      <c r="E232" s="3217"/>
      <c r="F232" s="3206">
        <v>0.05</v>
      </c>
      <c r="G232" s="3223"/>
    </row>
    <row r="233" spans="1:7" ht="14.25" thickBot="1">
      <c r="A233" s="3219" t="s">
        <v>1152</v>
      </c>
      <c r="B233" s="3209" t="s">
        <v>3089</v>
      </c>
      <c r="C233" s="3211"/>
      <c r="D233" s="3211"/>
      <c r="E233" s="3211"/>
      <c r="F233" s="3210">
        <v>0.05</v>
      </c>
      <c r="G233" s="3224"/>
    </row>
    <row r="234" spans="1:7">
      <c r="A234" s="3215" t="s">
        <v>1153</v>
      </c>
      <c r="B234" s="3201" t="s">
        <v>3090</v>
      </c>
      <c r="C234" s="3202">
        <v>0.13</v>
      </c>
      <c r="D234" s="3202">
        <v>0.128</v>
      </c>
      <c r="E234" s="3202">
        <v>0.14199999999999999</v>
      </c>
      <c r="F234" s="3202">
        <v>0.14699999999999999</v>
      </c>
      <c r="G234" s="3203">
        <v>0.14000000000000001</v>
      </c>
    </row>
    <row r="235" spans="1:7">
      <c r="A235" s="3216" t="s">
        <v>1153</v>
      </c>
      <c r="B235" s="3205" t="s">
        <v>977</v>
      </c>
      <c r="C235" s="3206">
        <v>0.13600000000000001</v>
      </c>
      <c r="D235" s="3206">
        <v>0.13800000000000001</v>
      </c>
      <c r="E235" s="3206">
        <v>0.14499999999999999</v>
      </c>
      <c r="F235" s="3206">
        <v>0.14299999999999999</v>
      </c>
      <c r="G235" s="3207">
        <v>0.14099999999999999</v>
      </c>
    </row>
    <row r="236" spans="1:7">
      <c r="A236" s="3216" t="s">
        <v>1153</v>
      </c>
      <c r="B236" s="3205" t="s">
        <v>987</v>
      </c>
      <c r="C236" s="3206">
        <v>0.15</v>
      </c>
      <c r="D236" s="3206">
        <v>0.15</v>
      </c>
      <c r="E236" s="3206">
        <v>0.15</v>
      </c>
      <c r="F236" s="3206">
        <v>0.15</v>
      </c>
      <c r="G236" s="3207">
        <v>0.15</v>
      </c>
    </row>
    <row r="237" spans="1:7">
      <c r="A237" s="3216" t="s">
        <v>1153</v>
      </c>
      <c r="B237" s="3205" t="s">
        <v>996</v>
      </c>
      <c r="C237" s="3206">
        <v>0.15</v>
      </c>
      <c r="D237" s="3206">
        <v>0.15</v>
      </c>
      <c r="E237" s="3206">
        <v>0.15</v>
      </c>
      <c r="F237" s="3206">
        <v>0.15</v>
      </c>
      <c r="G237" s="3207">
        <v>0.15</v>
      </c>
    </row>
    <row r="238" spans="1:7">
      <c r="A238" s="3216" t="s">
        <v>1153</v>
      </c>
      <c r="B238" s="3205" t="s">
        <v>2911</v>
      </c>
      <c r="C238" s="3206">
        <v>0.14899999999999999</v>
      </c>
      <c r="D238" s="3206">
        <v>0.14899999999999999</v>
      </c>
      <c r="E238" s="3206">
        <v>0.15</v>
      </c>
      <c r="F238" s="3206">
        <v>0.15</v>
      </c>
      <c r="G238" s="3207">
        <v>0.15</v>
      </c>
    </row>
    <row r="239" spans="1:7">
      <c r="A239" s="3216" t="s">
        <v>1153</v>
      </c>
      <c r="B239" s="3205" t="s">
        <v>3091</v>
      </c>
      <c r="C239" s="3206">
        <v>0.15</v>
      </c>
      <c r="D239" s="3206">
        <v>0.15</v>
      </c>
      <c r="E239" s="3206">
        <v>0.15</v>
      </c>
      <c r="F239" s="3206">
        <v>0.15</v>
      </c>
      <c r="G239" s="3207">
        <v>0.15</v>
      </c>
    </row>
    <row r="240" spans="1:7">
      <c r="A240" s="3216" t="s">
        <v>1153</v>
      </c>
      <c r="B240" s="3205" t="s">
        <v>3092</v>
      </c>
      <c r="C240" s="3206">
        <v>0.15</v>
      </c>
      <c r="D240" s="3206">
        <v>0.15</v>
      </c>
      <c r="E240" s="3206">
        <v>0.15</v>
      </c>
      <c r="F240" s="3206">
        <v>0.15</v>
      </c>
      <c r="G240" s="3207">
        <v>0.15</v>
      </c>
    </row>
    <row r="241" spans="1:7">
      <c r="A241" s="3216" t="s">
        <v>1153</v>
      </c>
      <c r="B241" s="3205" t="s">
        <v>3093</v>
      </c>
      <c r="C241" s="3206">
        <v>0.14099999999999999</v>
      </c>
      <c r="D241" s="3206">
        <v>0.14199999999999999</v>
      </c>
      <c r="E241" s="3206">
        <v>0.14899999999999999</v>
      </c>
      <c r="F241" s="3206">
        <v>0.15</v>
      </c>
      <c r="G241" s="3207">
        <v>0.14399999999999999</v>
      </c>
    </row>
    <row r="242" spans="1:7">
      <c r="A242" s="3216" t="s">
        <v>1153</v>
      </c>
      <c r="B242" s="3205" t="s">
        <v>1026</v>
      </c>
      <c r="C242" s="3206">
        <v>0.14099999999999999</v>
      </c>
      <c r="D242" s="3206">
        <v>0.14199999999999999</v>
      </c>
      <c r="E242" s="3206">
        <v>0.14799999999999999</v>
      </c>
      <c r="F242" s="3206">
        <v>0.127</v>
      </c>
      <c r="G242" s="3207">
        <v>0.14399999999999999</v>
      </c>
    </row>
    <row r="243" spans="1:7">
      <c r="A243" s="3216" t="s">
        <v>1153</v>
      </c>
      <c r="B243" s="3205" t="s">
        <v>1036</v>
      </c>
      <c r="C243" s="3206">
        <v>0.14699999999999999</v>
      </c>
      <c r="D243" s="3206">
        <v>0.14699999999999999</v>
      </c>
      <c r="E243" s="3206">
        <v>0.15</v>
      </c>
      <c r="F243" s="3206">
        <v>0.15</v>
      </c>
      <c r="G243" s="3207">
        <v>0.14899999999999999</v>
      </c>
    </row>
    <row r="244" spans="1:7">
      <c r="A244" s="3216" t="s">
        <v>1153</v>
      </c>
      <c r="B244" s="3205" t="s">
        <v>3094</v>
      </c>
      <c r="C244" s="3206">
        <v>0.15</v>
      </c>
      <c r="D244" s="3206">
        <v>0.15</v>
      </c>
      <c r="E244" s="3206">
        <v>0.15</v>
      </c>
      <c r="F244" s="3206">
        <v>0.15</v>
      </c>
      <c r="G244" s="3207">
        <v>0.15</v>
      </c>
    </row>
    <row r="245" spans="1:7">
      <c r="A245" s="3216" t="s">
        <v>1153</v>
      </c>
      <c r="B245" s="3205" t="s">
        <v>1051</v>
      </c>
      <c r="C245" s="3206">
        <v>0.14199999999999999</v>
      </c>
      <c r="D245" s="3206">
        <v>0.14199999999999999</v>
      </c>
      <c r="E245" s="3206">
        <v>0.15</v>
      </c>
      <c r="F245" s="3206">
        <v>0.15</v>
      </c>
      <c r="G245" s="3207">
        <v>0.14499999999999999</v>
      </c>
    </row>
    <row r="246" spans="1:7">
      <c r="A246" s="3216" t="s">
        <v>1153</v>
      </c>
      <c r="B246" s="3205" t="s">
        <v>1058</v>
      </c>
      <c r="C246" s="3206">
        <v>0.14199999999999999</v>
      </c>
      <c r="D246" s="3206">
        <v>0.14299999999999999</v>
      </c>
      <c r="E246" s="3206">
        <v>0.15</v>
      </c>
      <c r="F246" s="3206">
        <v>0.14199999999999999</v>
      </c>
      <c r="G246" s="3207">
        <v>0.14399999999999999</v>
      </c>
    </row>
    <row r="247" spans="1:7">
      <c r="A247" s="3216" t="s">
        <v>1153</v>
      </c>
      <c r="B247" s="3205" t="s">
        <v>3095</v>
      </c>
      <c r="C247" s="3206">
        <v>0.14899999999999999</v>
      </c>
      <c r="D247" s="3206">
        <v>0.14899999999999999</v>
      </c>
      <c r="E247" s="3206">
        <v>0.15</v>
      </c>
      <c r="F247" s="3206">
        <v>0.15</v>
      </c>
      <c r="G247" s="3207">
        <v>0.15</v>
      </c>
    </row>
    <row r="248" spans="1:7">
      <c r="A248" s="3216" t="s">
        <v>1153</v>
      </c>
      <c r="B248" s="3205" t="s">
        <v>1073</v>
      </c>
      <c r="C248" s="3206">
        <v>0.14399999999999999</v>
      </c>
      <c r="D248" s="3206">
        <v>0.14399999999999999</v>
      </c>
      <c r="E248" s="3206">
        <v>0.14899999999999999</v>
      </c>
      <c r="F248" s="3206">
        <v>0.14799999999999999</v>
      </c>
      <c r="G248" s="3207">
        <v>0.14599999999999999</v>
      </c>
    </row>
    <row r="249" spans="1:7">
      <c r="A249" s="3216" t="s">
        <v>1153</v>
      </c>
      <c r="B249" s="3205" t="s">
        <v>3096</v>
      </c>
      <c r="C249" s="3206">
        <v>0.14000000000000001</v>
      </c>
      <c r="D249" s="3206">
        <v>0.14000000000000001</v>
      </c>
      <c r="E249" s="3206">
        <v>0.14699999999999999</v>
      </c>
      <c r="F249" s="3206">
        <v>0.14899999999999999</v>
      </c>
      <c r="G249" s="3207">
        <v>0.14199999999999999</v>
      </c>
    </row>
    <row r="250" spans="1:7">
      <c r="A250" s="3216" t="s">
        <v>1153</v>
      </c>
      <c r="B250" s="3205" t="s">
        <v>1087</v>
      </c>
      <c r="C250" s="3206">
        <v>0.14399999999999999</v>
      </c>
      <c r="D250" s="3206">
        <v>0.14299999999999999</v>
      </c>
      <c r="E250" s="3206">
        <v>0.14899999999999999</v>
      </c>
      <c r="F250" s="3206">
        <v>0.15</v>
      </c>
      <c r="G250" s="3207">
        <v>0.14599999999999999</v>
      </c>
    </row>
    <row r="251" spans="1:7">
      <c r="A251" s="3216" t="s">
        <v>1153</v>
      </c>
      <c r="B251" s="3205" t="s">
        <v>1095</v>
      </c>
      <c r="C251" s="3222"/>
      <c r="D251" s="3217"/>
      <c r="E251" s="3217"/>
      <c r="F251" s="3206">
        <v>0.1</v>
      </c>
      <c r="G251" s="3223"/>
    </row>
    <row r="252" spans="1:7">
      <c r="A252" s="3216" t="s">
        <v>1153</v>
      </c>
      <c r="B252" s="3205" t="s">
        <v>3097</v>
      </c>
      <c r="C252" s="3206">
        <v>0.14399999999999999</v>
      </c>
      <c r="D252" s="3206">
        <v>0.14399999999999999</v>
      </c>
      <c r="E252" s="3206">
        <v>0.15</v>
      </c>
      <c r="F252" s="3206">
        <v>0.14899999999999999</v>
      </c>
      <c r="G252" s="3207">
        <v>0.14599999999999999</v>
      </c>
    </row>
    <row r="253" spans="1:7">
      <c r="A253" s="3216" t="s">
        <v>1153</v>
      </c>
      <c r="B253" s="3205" t="s">
        <v>1130</v>
      </c>
      <c r="C253" s="3206">
        <v>0.14199999999999999</v>
      </c>
      <c r="D253" s="3206">
        <v>0.14199999999999999</v>
      </c>
      <c r="E253" s="3206">
        <v>0.14599999999999999</v>
      </c>
      <c r="F253" s="3206">
        <v>0.14799999999999999</v>
      </c>
      <c r="G253" s="3207">
        <v>0.14499999999999999</v>
      </c>
    </row>
    <row r="254" spans="1:7">
      <c r="A254" s="3216" t="s">
        <v>1153</v>
      </c>
      <c r="B254" s="3205" t="s">
        <v>1133</v>
      </c>
      <c r="C254" s="3206">
        <v>0.15</v>
      </c>
      <c r="D254" s="3206">
        <v>0.15</v>
      </c>
      <c r="E254" s="3206">
        <v>0.15</v>
      </c>
      <c r="F254" s="3206">
        <v>0.15</v>
      </c>
      <c r="G254" s="3207">
        <v>0.15</v>
      </c>
    </row>
    <row r="255" spans="1:7">
      <c r="A255" s="3216" t="s">
        <v>1153</v>
      </c>
      <c r="B255" s="3205" t="s">
        <v>1136</v>
      </c>
      <c r="C255" s="3206">
        <v>0.14299999999999999</v>
      </c>
      <c r="D255" s="3206">
        <v>0.14299999999999999</v>
      </c>
      <c r="E255" s="3206">
        <v>0.15</v>
      </c>
      <c r="F255" s="3206">
        <v>0.15</v>
      </c>
      <c r="G255" s="3207">
        <v>0.14499999999999999</v>
      </c>
    </row>
    <row r="256" spans="1:7">
      <c r="A256" s="3216" t="s">
        <v>1153</v>
      </c>
      <c r="B256" s="3205" t="s">
        <v>3098</v>
      </c>
      <c r="C256" s="3206">
        <v>0.15</v>
      </c>
      <c r="D256" s="3206">
        <v>0.15</v>
      </c>
      <c r="E256" s="3206">
        <v>0.15</v>
      </c>
      <c r="F256" s="3206">
        <v>0.14599999999999999</v>
      </c>
      <c r="G256" s="3207">
        <v>0.15</v>
      </c>
    </row>
    <row r="257" spans="1:7">
      <c r="A257" s="3216" t="s">
        <v>1153</v>
      </c>
      <c r="B257" s="3205" t="s">
        <v>1122</v>
      </c>
      <c r="C257" s="3206">
        <v>0.14199999999999999</v>
      </c>
      <c r="D257" s="3206">
        <v>0.14299999999999999</v>
      </c>
      <c r="E257" s="3206">
        <v>0.14799999999999999</v>
      </c>
      <c r="F257" s="3206">
        <v>0.15</v>
      </c>
      <c r="G257" s="3207">
        <v>0.14499999999999999</v>
      </c>
    </row>
    <row r="258" spans="1:7">
      <c r="A258" s="3216" t="s">
        <v>1153</v>
      </c>
      <c r="B258" s="3205" t="s">
        <v>2920</v>
      </c>
      <c r="C258" s="3206">
        <v>0.14299999999999999</v>
      </c>
      <c r="D258" s="3206">
        <v>0.14299999999999999</v>
      </c>
      <c r="E258" s="3206">
        <v>0.15</v>
      </c>
      <c r="F258" s="3206">
        <v>0.14799999999999999</v>
      </c>
      <c r="G258" s="3207">
        <v>0.14599999999999999</v>
      </c>
    </row>
    <row r="259" spans="1:7">
      <c r="A259" s="3216" t="s">
        <v>1153</v>
      </c>
      <c r="B259" s="3205" t="s">
        <v>3099</v>
      </c>
      <c r="C259" s="3206">
        <v>0.14399999999999999</v>
      </c>
      <c r="D259" s="3206">
        <v>0.14399999999999999</v>
      </c>
      <c r="E259" s="3206">
        <v>0.14899999999999999</v>
      </c>
      <c r="F259" s="3206">
        <v>0.14699999999999999</v>
      </c>
      <c r="G259" s="3207">
        <v>0.14599999999999999</v>
      </c>
    </row>
    <row r="260" spans="1:7">
      <c r="A260" s="3216" t="s">
        <v>1153</v>
      </c>
      <c r="B260" s="3205" t="s">
        <v>3100</v>
      </c>
      <c r="C260" s="3206">
        <v>0.109</v>
      </c>
      <c r="D260" s="3206">
        <v>0.111</v>
      </c>
      <c r="E260" s="3206">
        <v>0.13100000000000001</v>
      </c>
      <c r="F260" s="3206">
        <v>0.126</v>
      </c>
      <c r="G260" s="3207">
        <v>0.11899999999999999</v>
      </c>
    </row>
    <row r="261" spans="1:7">
      <c r="A261" s="3216" t="s">
        <v>1153</v>
      </c>
      <c r="B261" s="3205" t="s">
        <v>3101</v>
      </c>
      <c r="C261" s="3206">
        <v>0.1</v>
      </c>
      <c r="D261" s="3206">
        <v>0.1</v>
      </c>
      <c r="E261" s="3206">
        <v>0.11799999999999999</v>
      </c>
      <c r="F261" s="3206">
        <v>0.108</v>
      </c>
      <c r="G261" s="3207">
        <v>0.107</v>
      </c>
    </row>
    <row r="262" spans="1:7">
      <c r="A262" s="3216" t="s">
        <v>1153</v>
      </c>
      <c r="B262" s="3205" t="s">
        <v>3102</v>
      </c>
      <c r="C262" s="3206">
        <v>0.1</v>
      </c>
      <c r="D262" s="3206">
        <v>0.1</v>
      </c>
      <c r="E262" s="3206">
        <v>0.1</v>
      </c>
      <c r="F262" s="3206">
        <v>0.14099999999999999</v>
      </c>
      <c r="G262" s="3207">
        <v>0.1</v>
      </c>
    </row>
    <row r="263" spans="1:7">
      <c r="A263" s="3216" t="s">
        <v>1153</v>
      </c>
      <c r="B263" s="3205" t="s">
        <v>3103</v>
      </c>
      <c r="C263" s="3206">
        <v>0.14799999999999999</v>
      </c>
      <c r="D263" s="3206">
        <v>0.14799999999999999</v>
      </c>
      <c r="E263" s="3206">
        <v>0.15</v>
      </c>
      <c r="F263" s="3206">
        <v>0.14699999999999999</v>
      </c>
      <c r="G263" s="3207">
        <v>0.15</v>
      </c>
    </row>
    <row r="264" spans="1:7">
      <c r="A264" s="3216" t="s">
        <v>1153</v>
      </c>
      <c r="B264" s="3205" t="s">
        <v>1146</v>
      </c>
      <c r="C264" s="3206">
        <v>0.14299999999999999</v>
      </c>
      <c r="D264" s="3206">
        <v>0.14299999999999999</v>
      </c>
      <c r="E264" s="3206">
        <v>0.15</v>
      </c>
      <c r="F264" s="3206">
        <v>0.14899999999999999</v>
      </c>
      <c r="G264" s="3207">
        <v>0.14599999999999999</v>
      </c>
    </row>
    <row r="265" spans="1:7">
      <c r="A265" s="3216" t="s">
        <v>1153</v>
      </c>
      <c r="B265" s="3205" t="s">
        <v>3104</v>
      </c>
      <c r="C265" s="3217"/>
      <c r="D265" s="3217"/>
      <c r="E265" s="3217"/>
      <c r="F265" s="3206">
        <v>0.05</v>
      </c>
      <c r="G265" s="3223"/>
    </row>
    <row r="266" spans="1:7">
      <c r="A266" s="3216" t="s">
        <v>1153</v>
      </c>
      <c r="B266" s="3205" t="s">
        <v>3105</v>
      </c>
      <c r="C266" s="3217"/>
      <c r="D266" s="3217"/>
      <c r="E266" s="3217"/>
      <c r="F266" s="3206">
        <v>0.05</v>
      </c>
      <c r="G266" s="3223"/>
    </row>
    <row r="267" spans="1:7">
      <c r="A267" s="3216" t="s">
        <v>1153</v>
      </c>
      <c r="B267" s="3205" t="s">
        <v>3106</v>
      </c>
      <c r="C267" s="3217"/>
      <c r="D267" s="3217"/>
      <c r="E267" s="3217"/>
      <c r="F267" s="3206">
        <v>0.05</v>
      </c>
      <c r="G267" s="3223"/>
    </row>
    <row r="268" spans="1:7">
      <c r="A268" s="3216" t="s">
        <v>1153</v>
      </c>
      <c r="B268" s="3205" t="s">
        <v>3107</v>
      </c>
      <c r="C268" s="3217"/>
      <c r="D268" s="3217"/>
      <c r="E268" s="3217"/>
      <c r="F268" s="3206">
        <v>0.05</v>
      </c>
      <c r="G268" s="3223"/>
    </row>
    <row r="269" spans="1:7">
      <c r="A269" s="3216" t="s">
        <v>1153</v>
      </c>
      <c r="B269" s="3205" t="s">
        <v>3108</v>
      </c>
      <c r="C269" s="3217"/>
      <c r="D269" s="3217"/>
      <c r="E269" s="3217"/>
      <c r="F269" s="3206">
        <v>0.05</v>
      </c>
      <c r="G269" s="3223"/>
    </row>
    <row r="270" spans="1:7">
      <c r="A270" s="3216" t="s">
        <v>1153</v>
      </c>
      <c r="B270" s="3205" t="s">
        <v>3109</v>
      </c>
      <c r="C270" s="3217"/>
      <c r="D270" s="3217"/>
      <c r="E270" s="3217"/>
      <c r="F270" s="3206">
        <v>0.05</v>
      </c>
      <c r="G270" s="3223"/>
    </row>
    <row r="271" spans="1:7">
      <c r="A271" s="3216" t="s">
        <v>1153</v>
      </c>
      <c r="B271" s="3205" t="s">
        <v>3110</v>
      </c>
      <c r="C271" s="3217"/>
      <c r="D271" s="3217"/>
      <c r="E271" s="3217"/>
      <c r="F271" s="3206">
        <v>0.05</v>
      </c>
      <c r="G271" s="3223"/>
    </row>
    <row r="272" spans="1:7">
      <c r="A272" s="3216" t="s">
        <v>1153</v>
      </c>
      <c r="B272" s="3205" t="s">
        <v>3111</v>
      </c>
      <c r="C272" s="3217"/>
      <c r="D272" s="3217"/>
      <c r="E272" s="3217"/>
      <c r="F272" s="3206">
        <v>0.05</v>
      </c>
      <c r="G272" s="3223"/>
    </row>
    <row r="273" spans="1:7">
      <c r="A273" s="3216" t="s">
        <v>1153</v>
      </c>
      <c r="B273" s="3205" t="s">
        <v>3112</v>
      </c>
      <c r="C273" s="3217"/>
      <c r="D273" s="3217"/>
      <c r="E273" s="3217"/>
      <c r="F273" s="3206">
        <v>0.05</v>
      </c>
      <c r="G273" s="3223"/>
    </row>
    <row r="274" spans="1:7">
      <c r="A274" s="3216" t="s">
        <v>1153</v>
      </c>
      <c r="B274" s="3205" t="s">
        <v>3113</v>
      </c>
      <c r="C274" s="3217"/>
      <c r="D274" s="3217"/>
      <c r="E274" s="3217"/>
      <c r="F274" s="3206">
        <v>0.05</v>
      </c>
      <c r="G274" s="3223"/>
    </row>
    <row r="275" spans="1:7">
      <c r="A275" s="3216" t="s">
        <v>1153</v>
      </c>
      <c r="B275" s="3205" t="s">
        <v>3114</v>
      </c>
      <c r="C275" s="3217"/>
      <c r="D275" s="3217"/>
      <c r="E275" s="3217"/>
      <c r="F275" s="3206">
        <v>0.05</v>
      </c>
      <c r="G275" s="3223"/>
    </row>
    <row r="276" spans="1:7" ht="14.25" thickBot="1">
      <c r="A276" s="3219" t="s">
        <v>1153</v>
      </c>
      <c r="B276" s="3209" t="s">
        <v>3115</v>
      </c>
      <c r="C276" s="3211"/>
      <c r="D276" s="3211"/>
      <c r="E276" s="3211"/>
      <c r="F276" s="3210">
        <v>0.05</v>
      </c>
      <c r="G276" s="3224"/>
    </row>
    <row r="277" spans="1:7">
      <c r="A277" s="3215" t="s">
        <v>1154</v>
      </c>
      <c r="B277" s="3201" t="s">
        <v>3116</v>
      </c>
      <c r="C277" s="3202">
        <v>0.15</v>
      </c>
      <c r="D277" s="3202">
        <v>0.15</v>
      </c>
      <c r="E277" s="3202">
        <v>0.15</v>
      </c>
      <c r="F277" s="3202">
        <v>0.15</v>
      </c>
      <c r="G277" s="3203">
        <v>0.15</v>
      </c>
    </row>
    <row r="278" spans="1:7">
      <c r="A278" s="3216" t="s">
        <v>1154</v>
      </c>
      <c r="B278" s="3205" t="s">
        <v>978</v>
      </c>
      <c r="C278" s="3206">
        <v>0.15</v>
      </c>
      <c r="D278" s="3206">
        <v>0.15</v>
      </c>
      <c r="E278" s="3206">
        <v>0.15</v>
      </c>
      <c r="F278" s="3206">
        <v>0.15</v>
      </c>
      <c r="G278" s="3207">
        <v>0.15</v>
      </c>
    </row>
    <row r="279" spans="1:7">
      <c r="A279" s="3216" t="s">
        <v>1154</v>
      </c>
      <c r="B279" s="3205" t="s">
        <v>3117</v>
      </c>
      <c r="C279" s="3206">
        <v>0.15</v>
      </c>
      <c r="D279" s="3206">
        <v>0.15</v>
      </c>
      <c r="E279" s="3206">
        <v>0.15</v>
      </c>
      <c r="F279" s="3206">
        <v>0.15</v>
      </c>
      <c r="G279" s="3207">
        <v>0.15</v>
      </c>
    </row>
    <row r="280" spans="1:7">
      <c r="A280" s="3216" t="s">
        <v>1154</v>
      </c>
      <c r="B280" s="3205" t="s">
        <v>3118</v>
      </c>
      <c r="C280" s="3206">
        <v>0.15</v>
      </c>
      <c r="D280" s="3206">
        <v>0.15</v>
      </c>
      <c r="E280" s="3206">
        <v>0.15</v>
      </c>
      <c r="F280" s="3206">
        <v>0.15</v>
      </c>
      <c r="G280" s="3207">
        <v>0.15</v>
      </c>
    </row>
    <row r="281" spans="1:7">
      <c r="A281" s="3216" t="s">
        <v>1154</v>
      </c>
      <c r="B281" s="3205" t="s">
        <v>3119</v>
      </c>
      <c r="C281" s="3206">
        <v>0.15</v>
      </c>
      <c r="D281" s="3206">
        <v>0.15</v>
      </c>
      <c r="E281" s="3206">
        <v>0.15</v>
      </c>
      <c r="F281" s="3206">
        <v>0.15</v>
      </c>
      <c r="G281" s="3207">
        <v>0.15</v>
      </c>
    </row>
    <row r="282" spans="1:7">
      <c r="A282" s="3216" t="s">
        <v>1154</v>
      </c>
      <c r="B282" s="3205" t="s">
        <v>3120</v>
      </c>
      <c r="C282" s="3206">
        <v>0.15</v>
      </c>
      <c r="D282" s="3206">
        <v>0.15</v>
      </c>
      <c r="E282" s="3206">
        <v>0.15</v>
      </c>
      <c r="F282" s="3206">
        <v>0.14499999999999999</v>
      </c>
      <c r="G282" s="3207">
        <v>0.15</v>
      </c>
    </row>
    <row r="283" spans="1:7">
      <c r="A283" s="3216" t="s">
        <v>1154</v>
      </c>
      <c r="B283" s="3205" t="s">
        <v>1019</v>
      </c>
      <c r="C283" s="3206">
        <v>0.15</v>
      </c>
      <c r="D283" s="3206">
        <v>0.15</v>
      </c>
      <c r="E283" s="3206">
        <v>0.15</v>
      </c>
      <c r="F283" s="3206">
        <v>0.14199999999999999</v>
      </c>
      <c r="G283" s="3207">
        <v>0.15</v>
      </c>
    </row>
    <row r="284" spans="1:7">
      <c r="A284" s="3216" t="s">
        <v>1154</v>
      </c>
      <c r="B284" s="3205" t="s">
        <v>1027</v>
      </c>
      <c r="C284" s="3206">
        <v>0.15</v>
      </c>
      <c r="D284" s="3206">
        <v>0.15</v>
      </c>
      <c r="E284" s="3206">
        <v>0.15</v>
      </c>
      <c r="F284" s="3206">
        <v>0.15</v>
      </c>
      <c r="G284" s="3207">
        <v>0.15</v>
      </c>
    </row>
    <row r="285" spans="1:7">
      <c r="A285" s="3216" t="s">
        <v>1154</v>
      </c>
      <c r="B285" s="3205" t="s">
        <v>1037</v>
      </c>
      <c r="C285" s="3206">
        <v>0.15</v>
      </c>
      <c r="D285" s="3206">
        <v>0.15</v>
      </c>
      <c r="E285" s="3206">
        <v>0.15</v>
      </c>
      <c r="F285" s="3206">
        <v>0.15</v>
      </c>
      <c r="G285" s="3207">
        <v>0.15</v>
      </c>
    </row>
    <row r="286" spans="1:7">
      <c r="A286" s="3216" t="s">
        <v>1154</v>
      </c>
      <c r="B286" s="3205" t="s">
        <v>1044</v>
      </c>
      <c r="C286" s="3206">
        <v>0.14499999999999999</v>
      </c>
      <c r="D286" s="3206">
        <v>0.14499999999999999</v>
      </c>
      <c r="E286" s="3206">
        <v>0.15</v>
      </c>
      <c r="F286" s="3206">
        <v>0.14099999999999999</v>
      </c>
      <c r="G286" s="3207">
        <v>0.14499999999999999</v>
      </c>
    </row>
    <row r="287" spans="1:7">
      <c r="A287" s="3216" t="s">
        <v>1154</v>
      </c>
      <c r="B287" s="3205" t="s">
        <v>3121</v>
      </c>
      <c r="C287" s="3206">
        <v>0.11</v>
      </c>
      <c r="D287" s="3206">
        <v>0.111</v>
      </c>
      <c r="E287" s="3206">
        <v>0.14099999999999999</v>
      </c>
      <c r="F287" s="3206">
        <v>0.11</v>
      </c>
      <c r="G287" s="3207">
        <v>0.12</v>
      </c>
    </row>
    <row r="288" spans="1:7">
      <c r="A288" s="3216" t="s">
        <v>1154</v>
      </c>
      <c r="B288" s="3205" t="s">
        <v>1065</v>
      </c>
      <c r="C288" s="3206">
        <v>0.14199999999999999</v>
      </c>
      <c r="D288" s="3206">
        <v>0.14299999999999999</v>
      </c>
      <c r="E288" s="3206">
        <v>0.15</v>
      </c>
      <c r="F288" s="3206">
        <v>0.14199999999999999</v>
      </c>
      <c r="G288" s="3207">
        <v>0.14399999999999999</v>
      </c>
    </row>
    <row r="289" spans="1:7">
      <c r="A289" s="3216" t="s">
        <v>1154</v>
      </c>
      <c r="B289" s="3205" t="s">
        <v>3122</v>
      </c>
      <c r="C289" s="3206">
        <v>0.14299999999999999</v>
      </c>
      <c r="D289" s="3206">
        <v>0.14299999999999999</v>
      </c>
      <c r="E289" s="3206">
        <v>0.14799999999999999</v>
      </c>
      <c r="F289" s="3206">
        <v>0.14399999999999999</v>
      </c>
      <c r="G289" s="3207">
        <v>0.14399999999999999</v>
      </c>
    </row>
    <row r="290" spans="1:7">
      <c r="A290" s="3216" t="s">
        <v>1154</v>
      </c>
      <c r="B290" s="3205" t="s">
        <v>1088</v>
      </c>
      <c r="C290" s="3206">
        <v>0.14799999999999999</v>
      </c>
      <c r="D290" s="3206">
        <v>0.14899999999999999</v>
      </c>
      <c r="E290" s="3206">
        <v>0.15</v>
      </c>
      <c r="F290" s="3206">
        <v>0.127</v>
      </c>
      <c r="G290" s="3207">
        <v>0.15</v>
      </c>
    </row>
    <row r="291" spans="1:7">
      <c r="A291" s="3216" t="s">
        <v>1154</v>
      </c>
      <c r="B291" s="3205" t="s">
        <v>1096</v>
      </c>
      <c r="C291" s="3206">
        <v>0.15</v>
      </c>
      <c r="D291" s="3206">
        <v>0.15</v>
      </c>
      <c r="E291" s="3206">
        <v>0.15</v>
      </c>
      <c r="F291" s="3206">
        <v>0.14899999999999999</v>
      </c>
      <c r="G291" s="3207">
        <v>0.15</v>
      </c>
    </row>
    <row r="292" spans="1:7">
      <c r="A292" s="3216" t="s">
        <v>1154</v>
      </c>
      <c r="B292" s="3205" t="s">
        <v>1102</v>
      </c>
      <c r="C292" s="3206">
        <v>0.15</v>
      </c>
      <c r="D292" s="3206">
        <v>0.15</v>
      </c>
      <c r="E292" s="3206">
        <v>0.15</v>
      </c>
      <c r="F292" s="3206">
        <v>0.14399999999999999</v>
      </c>
      <c r="G292" s="3207">
        <v>0.15</v>
      </c>
    </row>
    <row r="293" spans="1:7">
      <c r="A293" s="3216" t="s">
        <v>1154</v>
      </c>
      <c r="B293" s="3205" t="s">
        <v>2945</v>
      </c>
      <c r="C293" s="3206">
        <v>0.15</v>
      </c>
      <c r="D293" s="3206">
        <v>0.15</v>
      </c>
      <c r="E293" s="3206">
        <v>0.15</v>
      </c>
      <c r="F293" s="3206">
        <v>0.14499999999999999</v>
      </c>
      <c r="G293" s="3207">
        <v>0.15</v>
      </c>
    </row>
    <row r="294" spans="1:7">
      <c r="A294" s="3216" t="s">
        <v>1154</v>
      </c>
      <c r="B294" s="3205" t="s">
        <v>3123</v>
      </c>
      <c r="C294" s="3206">
        <v>0.15</v>
      </c>
      <c r="D294" s="3206">
        <v>0.15</v>
      </c>
      <c r="E294" s="3206">
        <v>0.15</v>
      </c>
      <c r="F294" s="3206">
        <v>0.14899999999999999</v>
      </c>
      <c r="G294" s="3207">
        <v>0.15</v>
      </c>
    </row>
    <row r="295" spans="1:7">
      <c r="A295" s="3216" t="s">
        <v>1154</v>
      </c>
      <c r="B295" s="3205" t="s">
        <v>1137</v>
      </c>
      <c r="C295" s="3206">
        <v>0.15</v>
      </c>
      <c r="D295" s="3206">
        <v>0.15</v>
      </c>
      <c r="E295" s="3206">
        <v>0.15</v>
      </c>
      <c r="F295" s="3206">
        <v>0.14799999999999999</v>
      </c>
      <c r="G295" s="3207">
        <v>0.15</v>
      </c>
    </row>
    <row r="296" spans="1:7">
      <c r="A296" s="3216" t="s">
        <v>1154</v>
      </c>
      <c r="B296" s="3205" t="s">
        <v>1140</v>
      </c>
      <c r="C296" s="3206">
        <v>0.15</v>
      </c>
      <c r="D296" s="3206">
        <v>0.15</v>
      </c>
      <c r="E296" s="3206">
        <v>0.15</v>
      </c>
      <c r="F296" s="3206">
        <v>0.14399999999999999</v>
      </c>
      <c r="G296" s="3207">
        <v>0.15</v>
      </c>
    </row>
    <row r="297" spans="1:7">
      <c r="A297" s="3216" t="s">
        <v>1154</v>
      </c>
      <c r="B297" s="3205" t="s">
        <v>1142</v>
      </c>
      <c r="C297" s="3206">
        <v>0.15</v>
      </c>
      <c r="D297" s="3206">
        <v>0.15</v>
      </c>
      <c r="E297" s="3206">
        <v>0.15</v>
      </c>
      <c r="F297" s="3206">
        <v>0.14499999999999999</v>
      </c>
      <c r="G297" s="3207">
        <v>0.15</v>
      </c>
    </row>
    <row r="298" spans="1:7">
      <c r="A298" s="3216" t="s">
        <v>1154</v>
      </c>
      <c r="B298" s="3205" t="s">
        <v>1145</v>
      </c>
      <c r="C298" s="3206">
        <v>0.15</v>
      </c>
      <c r="D298" s="3206">
        <v>0.15</v>
      </c>
      <c r="E298" s="3206">
        <v>0.15</v>
      </c>
      <c r="F298" s="3206">
        <v>0.15</v>
      </c>
      <c r="G298" s="3207">
        <v>0.15</v>
      </c>
    </row>
    <row r="299" spans="1:7">
      <c r="A299" s="3216" t="s">
        <v>1154</v>
      </c>
      <c r="B299" s="3225" t="s">
        <v>2947</v>
      </c>
      <c r="C299" s="3206">
        <v>0.15</v>
      </c>
      <c r="D299" s="3206">
        <v>0.15</v>
      </c>
      <c r="E299" s="3206">
        <v>0.15</v>
      </c>
      <c r="F299" s="3206">
        <v>0.14499999999999999</v>
      </c>
      <c r="G299" s="3207">
        <v>0.15</v>
      </c>
    </row>
    <row r="300" spans="1:7">
      <c r="A300" s="3216" t="s">
        <v>1154</v>
      </c>
      <c r="B300" s="3225" t="s">
        <v>1117</v>
      </c>
      <c r="C300" s="3206">
        <v>0.15</v>
      </c>
      <c r="D300" s="3206">
        <v>0.15</v>
      </c>
      <c r="E300" s="3206">
        <v>0.15</v>
      </c>
      <c r="F300" s="3206">
        <v>0.14599999999999999</v>
      </c>
      <c r="G300" s="3207">
        <v>0.15</v>
      </c>
    </row>
    <row r="301" spans="1:7">
      <c r="A301" s="3216" t="s">
        <v>1154</v>
      </c>
      <c r="B301" s="3225" t="s">
        <v>1123</v>
      </c>
      <c r="C301" s="3206">
        <v>0.126</v>
      </c>
      <c r="D301" s="3206">
        <v>0.124</v>
      </c>
      <c r="E301" s="3206">
        <v>0.14099999999999999</v>
      </c>
      <c r="F301" s="3206">
        <v>0.14399999999999999</v>
      </c>
      <c r="G301" s="3207">
        <v>0.13</v>
      </c>
    </row>
    <row r="302" spans="1:7">
      <c r="A302" s="3216" t="s">
        <v>1154</v>
      </c>
      <c r="B302" s="3205" t="s">
        <v>3124</v>
      </c>
      <c r="C302" s="3206">
        <v>0.15</v>
      </c>
      <c r="D302" s="3206">
        <v>0.15</v>
      </c>
      <c r="E302" s="3206">
        <v>0.15</v>
      </c>
      <c r="F302" s="3206">
        <v>0.14699999999999999</v>
      </c>
      <c r="G302" s="3207">
        <v>0.15</v>
      </c>
    </row>
    <row r="303" spans="1:7">
      <c r="A303" s="3216" t="s">
        <v>1154</v>
      </c>
      <c r="B303" s="3205" t="s">
        <v>2949</v>
      </c>
      <c r="C303" s="3206">
        <v>0.15</v>
      </c>
      <c r="D303" s="3206">
        <v>0.15</v>
      </c>
      <c r="E303" s="3206">
        <v>0.15</v>
      </c>
      <c r="F303" s="3206">
        <v>0.14199999999999999</v>
      </c>
      <c r="G303" s="3207">
        <v>0.15</v>
      </c>
    </row>
    <row r="304" spans="1:7">
      <c r="A304" s="3216" t="s">
        <v>1154</v>
      </c>
      <c r="B304" s="3205" t="s">
        <v>2950</v>
      </c>
      <c r="C304" s="3206">
        <v>0.15</v>
      </c>
      <c r="D304" s="3206">
        <v>0.15</v>
      </c>
      <c r="E304" s="3206">
        <v>0.15</v>
      </c>
      <c r="F304" s="3206">
        <v>0.14499999999999999</v>
      </c>
      <c r="G304" s="3207">
        <v>0.15</v>
      </c>
    </row>
    <row r="305" spans="1:7">
      <c r="A305" s="3216" t="s">
        <v>1154</v>
      </c>
      <c r="B305" s="3205" t="s">
        <v>2951</v>
      </c>
      <c r="C305" s="3206">
        <v>0.15</v>
      </c>
      <c r="D305" s="3206">
        <v>0.15</v>
      </c>
      <c r="E305" s="3206">
        <v>0.15</v>
      </c>
      <c r="F305" s="3206">
        <v>0.111</v>
      </c>
      <c r="G305" s="3207">
        <v>0.15</v>
      </c>
    </row>
    <row r="306" spans="1:7">
      <c r="A306" s="3216" t="s">
        <v>1154</v>
      </c>
      <c r="B306" s="3205" t="s">
        <v>3125</v>
      </c>
      <c r="C306" s="3206">
        <v>0.15</v>
      </c>
      <c r="D306" s="3206">
        <v>0.15</v>
      </c>
      <c r="E306" s="3206">
        <v>0.15</v>
      </c>
      <c r="F306" s="3206">
        <v>0.126</v>
      </c>
      <c r="G306" s="3207">
        <v>0.15</v>
      </c>
    </row>
    <row r="307" spans="1:7">
      <c r="A307" s="3216" t="s">
        <v>1154</v>
      </c>
      <c r="B307" s="3205" t="s">
        <v>2953</v>
      </c>
      <c r="C307" s="3206">
        <v>0.15</v>
      </c>
      <c r="D307" s="3206">
        <v>0.15</v>
      </c>
      <c r="E307" s="3206">
        <v>0.15</v>
      </c>
      <c r="F307" s="3206">
        <v>0.12</v>
      </c>
      <c r="G307" s="3207">
        <v>0.15</v>
      </c>
    </row>
    <row r="308" spans="1:7">
      <c r="A308" s="3216" t="s">
        <v>1154</v>
      </c>
      <c r="B308" s="3205" t="s">
        <v>3126</v>
      </c>
      <c r="C308" s="3206">
        <v>0.15</v>
      </c>
      <c r="D308" s="3206">
        <v>0.15</v>
      </c>
      <c r="E308" s="3206">
        <v>0.15</v>
      </c>
      <c r="F308" s="3206">
        <v>0.13</v>
      </c>
      <c r="G308" s="3207">
        <v>0.15</v>
      </c>
    </row>
    <row r="309" spans="1:7">
      <c r="A309" s="3216" t="s">
        <v>1154</v>
      </c>
      <c r="B309" s="3205" t="s">
        <v>3127</v>
      </c>
      <c r="C309" s="3206">
        <v>0.15</v>
      </c>
      <c r="D309" s="3206">
        <v>0.15</v>
      </c>
      <c r="E309" s="3206">
        <v>0.15</v>
      </c>
      <c r="F309" s="3206">
        <v>0.14099999999999999</v>
      </c>
      <c r="G309" s="3207">
        <v>0.15</v>
      </c>
    </row>
    <row r="310" spans="1:7">
      <c r="A310" s="3216" t="s">
        <v>1154</v>
      </c>
      <c r="B310" s="3205" t="s">
        <v>2956</v>
      </c>
      <c r="C310" s="3206">
        <v>0.15</v>
      </c>
      <c r="D310" s="3206">
        <v>0.15</v>
      </c>
      <c r="E310" s="3206">
        <v>0.15</v>
      </c>
      <c r="F310" s="3206">
        <v>0.15</v>
      </c>
      <c r="G310" s="3207">
        <v>0.15</v>
      </c>
    </row>
    <row r="311" spans="1:7">
      <c r="A311" s="3216" t="s">
        <v>1154</v>
      </c>
      <c r="B311" s="3205" t="s">
        <v>3128</v>
      </c>
      <c r="C311" s="3206">
        <v>0.13200000000000001</v>
      </c>
      <c r="D311" s="3206">
        <v>0.13300000000000001</v>
      </c>
      <c r="E311" s="3206">
        <v>0.14499999999999999</v>
      </c>
      <c r="F311" s="3206">
        <v>0.14199999999999999</v>
      </c>
      <c r="G311" s="3207">
        <v>0.14000000000000001</v>
      </c>
    </row>
    <row r="312" spans="1:7">
      <c r="A312" s="3216" t="s">
        <v>1154</v>
      </c>
      <c r="B312" s="3205" t="s">
        <v>2958</v>
      </c>
      <c r="C312" s="3206">
        <v>0.13800000000000001</v>
      </c>
      <c r="D312" s="3206">
        <v>0.14000000000000001</v>
      </c>
      <c r="E312" s="3206">
        <v>0.14599999999999999</v>
      </c>
      <c r="F312" s="3206">
        <v>0.14899999999999999</v>
      </c>
      <c r="G312" s="3207">
        <v>0.14199999999999999</v>
      </c>
    </row>
    <row r="313" spans="1:7">
      <c r="A313" s="3216" t="s">
        <v>1154</v>
      </c>
      <c r="B313" s="3205" t="s">
        <v>2959</v>
      </c>
      <c r="C313" s="3206">
        <v>0.125</v>
      </c>
      <c r="D313" s="3206">
        <v>0.127</v>
      </c>
      <c r="E313" s="3206">
        <v>0.14399999999999999</v>
      </c>
      <c r="F313" s="3206">
        <v>0.115</v>
      </c>
      <c r="G313" s="3207">
        <v>0.13600000000000001</v>
      </c>
    </row>
    <row r="314" spans="1:7">
      <c r="A314" s="3216" t="s">
        <v>1154</v>
      </c>
      <c r="B314" s="3205" t="s">
        <v>3129</v>
      </c>
      <c r="C314" s="3222"/>
      <c r="D314" s="3222"/>
      <c r="E314" s="3222"/>
      <c r="F314" s="3206">
        <v>0.05</v>
      </c>
      <c r="G314" s="3223"/>
    </row>
    <row r="315" spans="1:7">
      <c r="A315" s="3216" t="s">
        <v>1154</v>
      </c>
      <c r="B315" s="3205" t="s">
        <v>3130</v>
      </c>
      <c r="C315" s="3222"/>
      <c r="D315" s="3222"/>
      <c r="E315" s="3222"/>
      <c r="F315" s="3206">
        <v>0.05</v>
      </c>
      <c r="G315" s="3223"/>
    </row>
    <row r="316" spans="1:7">
      <c r="A316" s="3216" t="s">
        <v>1154</v>
      </c>
      <c r="B316" s="3205" t="s">
        <v>3131</v>
      </c>
      <c r="C316" s="3217"/>
      <c r="D316" s="3217"/>
      <c r="E316" s="3217"/>
      <c r="F316" s="3206">
        <v>0.05</v>
      </c>
      <c r="G316" s="3223"/>
    </row>
    <row r="317" spans="1:7">
      <c r="A317" s="3216" t="s">
        <v>1154</v>
      </c>
      <c r="B317" s="3205" t="s">
        <v>3132</v>
      </c>
      <c r="C317" s="3217"/>
      <c r="D317" s="3217"/>
      <c r="E317" s="3217"/>
      <c r="F317" s="3206">
        <v>0.05</v>
      </c>
      <c r="G317" s="3223"/>
    </row>
    <row r="318" spans="1:7">
      <c r="A318" s="3216" t="s">
        <v>1154</v>
      </c>
      <c r="B318" s="3205" t="s">
        <v>3133</v>
      </c>
      <c r="C318" s="3217"/>
      <c r="D318" s="3217"/>
      <c r="E318" s="3217"/>
      <c r="F318" s="3206">
        <v>0.05</v>
      </c>
      <c r="G318" s="3223"/>
    </row>
    <row r="319" spans="1:7">
      <c r="A319" s="3216" t="s">
        <v>1154</v>
      </c>
      <c r="B319" s="3205" t="s">
        <v>3134</v>
      </c>
      <c r="C319" s="3217"/>
      <c r="D319" s="3217"/>
      <c r="E319" s="3217"/>
      <c r="F319" s="3206">
        <v>0.05</v>
      </c>
      <c r="G319" s="3223"/>
    </row>
    <row r="320" spans="1:7">
      <c r="A320" s="3216" t="s">
        <v>1154</v>
      </c>
      <c r="B320" s="3205" t="s">
        <v>3135</v>
      </c>
      <c r="C320" s="3217"/>
      <c r="D320" s="3217"/>
      <c r="E320" s="3217"/>
      <c r="F320" s="3206">
        <v>0.05</v>
      </c>
      <c r="G320" s="3223"/>
    </row>
    <row r="321" spans="1:7">
      <c r="A321" s="3216" t="s">
        <v>1154</v>
      </c>
      <c r="B321" s="3205" t="s">
        <v>3136</v>
      </c>
      <c r="C321" s="3217"/>
      <c r="D321" s="3217"/>
      <c r="E321" s="3217"/>
      <c r="F321" s="3206">
        <v>0.05</v>
      </c>
      <c r="G321" s="3223"/>
    </row>
    <row r="322" spans="1:7">
      <c r="A322" s="3216" t="s">
        <v>1154</v>
      </c>
      <c r="B322" s="3205" t="s">
        <v>3137</v>
      </c>
      <c r="C322" s="3217"/>
      <c r="D322" s="3217"/>
      <c r="E322" s="3217"/>
      <c r="F322" s="3206">
        <v>0.05</v>
      </c>
      <c r="G322" s="3223"/>
    </row>
    <row r="323" spans="1:7">
      <c r="A323" s="3216" t="s">
        <v>1154</v>
      </c>
      <c r="B323" s="3205" t="s">
        <v>3138</v>
      </c>
      <c r="C323" s="3217"/>
      <c r="D323" s="3217"/>
      <c r="E323" s="3217"/>
      <c r="F323" s="3206">
        <v>0.05</v>
      </c>
      <c r="G323" s="3223"/>
    </row>
    <row r="324" spans="1:7">
      <c r="A324" s="3216" t="s">
        <v>1154</v>
      </c>
      <c r="B324" s="3205" t="s">
        <v>3139</v>
      </c>
      <c r="C324" s="3217"/>
      <c r="D324" s="3217"/>
      <c r="E324" s="3217"/>
      <c r="F324" s="3206">
        <v>0.05</v>
      </c>
      <c r="G324" s="3223"/>
    </row>
    <row r="325" spans="1:7">
      <c r="A325" s="3216" t="s">
        <v>1154</v>
      </c>
      <c r="B325" s="3205" t="s">
        <v>3140</v>
      </c>
      <c r="C325" s="3217"/>
      <c r="D325" s="3217"/>
      <c r="E325" s="3217"/>
      <c r="F325" s="3206">
        <v>0.05</v>
      </c>
      <c r="G325" s="3223"/>
    </row>
    <row r="326" spans="1:7" ht="14.25" thickBot="1">
      <c r="A326" s="3219" t="s">
        <v>1154</v>
      </c>
      <c r="B326" s="3209" t="s">
        <v>3141</v>
      </c>
      <c r="C326" s="3211"/>
      <c r="D326" s="3211"/>
      <c r="E326" s="3211"/>
      <c r="F326" s="3210">
        <v>0.05</v>
      </c>
      <c r="G326" s="3224"/>
    </row>
    <row r="327" spans="1:7">
      <c r="A327" s="3215" t="s">
        <v>1155</v>
      </c>
      <c r="B327" s="3201" t="s">
        <v>3142</v>
      </c>
      <c r="C327" s="3202">
        <v>0.15</v>
      </c>
      <c r="D327" s="3202">
        <v>0.15</v>
      </c>
      <c r="E327" s="3202">
        <v>0.15</v>
      </c>
      <c r="F327" s="3202">
        <v>0.15</v>
      </c>
      <c r="G327" s="3203">
        <v>0.15</v>
      </c>
    </row>
    <row r="328" spans="1:7">
      <c r="A328" s="3216" t="s">
        <v>1155</v>
      </c>
      <c r="B328" s="3205" t="s">
        <v>979</v>
      </c>
      <c r="C328" s="3206">
        <v>0.15</v>
      </c>
      <c r="D328" s="3206">
        <v>0.15</v>
      </c>
      <c r="E328" s="3206">
        <v>0.15</v>
      </c>
      <c r="F328" s="3206">
        <v>0.126</v>
      </c>
      <c r="G328" s="3207">
        <v>0.15</v>
      </c>
    </row>
    <row r="329" spans="1:7">
      <c r="A329" s="3216" t="s">
        <v>1155</v>
      </c>
      <c r="B329" s="3205" t="s">
        <v>3143</v>
      </c>
      <c r="C329" s="3206">
        <v>0.15</v>
      </c>
      <c r="D329" s="3206">
        <v>0.15</v>
      </c>
      <c r="E329" s="3206">
        <v>0.15</v>
      </c>
      <c r="F329" s="3206">
        <v>0.15</v>
      </c>
      <c r="G329" s="3207">
        <v>0.15</v>
      </c>
    </row>
    <row r="330" spans="1:7">
      <c r="A330" s="3216" t="s">
        <v>1155</v>
      </c>
      <c r="B330" s="3205" t="s">
        <v>3144</v>
      </c>
      <c r="C330" s="3206">
        <v>0.15</v>
      </c>
      <c r="D330" s="3206">
        <v>0.15</v>
      </c>
      <c r="E330" s="3206">
        <v>0.15</v>
      </c>
      <c r="F330" s="3206">
        <v>0.15</v>
      </c>
      <c r="G330" s="3207">
        <v>0.15</v>
      </c>
    </row>
    <row r="331" spans="1:7">
      <c r="A331" s="3216" t="s">
        <v>1155</v>
      </c>
      <c r="B331" s="3205" t="s">
        <v>1006</v>
      </c>
      <c r="C331" s="3206">
        <v>0.15</v>
      </c>
      <c r="D331" s="3206">
        <v>0.15</v>
      </c>
      <c r="E331" s="3206">
        <v>0.15</v>
      </c>
      <c r="F331" s="3206">
        <v>0.15</v>
      </c>
      <c r="G331" s="3207">
        <v>0.15</v>
      </c>
    </row>
    <row r="332" spans="1:7">
      <c r="A332" s="3216" t="s">
        <v>1155</v>
      </c>
      <c r="B332" s="3205" t="s">
        <v>2976</v>
      </c>
      <c r="C332" s="3206">
        <v>0.15</v>
      </c>
      <c r="D332" s="3206">
        <v>0.15</v>
      </c>
      <c r="E332" s="3206">
        <v>0.15</v>
      </c>
      <c r="F332" s="3206">
        <v>0.15</v>
      </c>
      <c r="G332" s="3207">
        <v>0.15</v>
      </c>
    </row>
    <row r="333" spans="1:7">
      <c r="A333" s="3216" t="s">
        <v>1155</v>
      </c>
      <c r="B333" s="3205" t="s">
        <v>3145</v>
      </c>
      <c r="C333" s="3206">
        <v>0.14899999999999999</v>
      </c>
      <c r="D333" s="3206">
        <v>0.14899999999999999</v>
      </c>
      <c r="E333" s="3206">
        <v>0.15</v>
      </c>
      <c r="F333" s="3206">
        <v>0.11600000000000001</v>
      </c>
      <c r="G333" s="3207">
        <v>0.15</v>
      </c>
    </row>
    <row r="334" spans="1:7">
      <c r="A334" s="3216" t="s">
        <v>1155</v>
      </c>
      <c r="B334" s="3205" t="s">
        <v>1028</v>
      </c>
      <c r="C334" s="3206">
        <v>0.15</v>
      </c>
      <c r="D334" s="3206">
        <v>0.15</v>
      </c>
      <c r="E334" s="3206">
        <v>0.15</v>
      </c>
      <c r="F334" s="3206">
        <v>0.13</v>
      </c>
      <c r="G334" s="3207">
        <v>0.15</v>
      </c>
    </row>
    <row r="335" spans="1:7">
      <c r="A335" s="3216" t="s">
        <v>1155</v>
      </c>
      <c r="B335" s="3205" t="s">
        <v>1038</v>
      </c>
      <c r="C335" s="3206">
        <v>0.15</v>
      </c>
      <c r="D335" s="3206">
        <v>0.15</v>
      </c>
      <c r="E335" s="3206">
        <v>0.15</v>
      </c>
      <c r="F335" s="3206">
        <v>0.14399999999999999</v>
      </c>
      <c r="G335" s="3207">
        <v>0.15</v>
      </c>
    </row>
    <row r="336" spans="1:7">
      <c r="A336" s="3216" t="s">
        <v>1155</v>
      </c>
      <c r="B336" s="3205" t="s">
        <v>2978</v>
      </c>
      <c r="C336" s="3206">
        <v>0.15</v>
      </c>
      <c r="D336" s="3206">
        <v>0.15</v>
      </c>
      <c r="E336" s="3206">
        <v>0.15</v>
      </c>
      <c r="F336" s="3206">
        <v>0.14199999999999999</v>
      </c>
      <c r="G336" s="3207">
        <v>0.15</v>
      </c>
    </row>
    <row r="337" spans="1:7">
      <c r="A337" s="3216" t="s">
        <v>1155</v>
      </c>
      <c r="B337" s="3205" t="s">
        <v>3146</v>
      </c>
      <c r="C337" s="3206">
        <v>0.15</v>
      </c>
      <c r="D337" s="3206">
        <v>0.15</v>
      </c>
      <c r="E337" s="3206">
        <v>0.15</v>
      </c>
      <c r="F337" s="3206">
        <v>0.14499999999999999</v>
      </c>
      <c r="G337" s="3207">
        <v>0.15</v>
      </c>
    </row>
    <row r="338" spans="1:7">
      <c r="A338" s="3216" t="s">
        <v>1155</v>
      </c>
      <c r="B338" s="3205" t="s">
        <v>1066</v>
      </c>
      <c r="C338" s="3206">
        <v>0.15</v>
      </c>
      <c r="D338" s="3206">
        <v>0.15</v>
      </c>
      <c r="E338" s="3206">
        <v>0.15</v>
      </c>
      <c r="F338" s="3206">
        <v>0.15</v>
      </c>
      <c r="G338" s="3207">
        <v>0.15</v>
      </c>
    </row>
    <row r="339" spans="1:7">
      <c r="A339" s="3216" t="s">
        <v>1155</v>
      </c>
      <c r="B339" s="3205" t="s">
        <v>1074</v>
      </c>
      <c r="C339" s="3206">
        <v>0.15</v>
      </c>
      <c r="D339" s="3206">
        <v>0.15</v>
      </c>
      <c r="E339" s="3206">
        <v>0.15</v>
      </c>
      <c r="F339" s="3206">
        <v>0.14699999999999999</v>
      </c>
      <c r="G339" s="3207">
        <v>0.15</v>
      </c>
    </row>
    <row r="340" spans="1:7">
      <c r="A340" s="3216" t="s">
        <v>1155</v>
      </c>
      <c r="B340" s="3205" t="s">
        <v>3147</v>
      </c>
      <c r="C340" s="3206">
        <v>0.14599999999999999</v>
      </c>
      <c r="D340" s="3206">
        <v>0.14599999999999999</v>
      </c>
      <c r="E340" s="3206">
        <v>0.15</v>
      </c>
      <c r="F340" s="3206">
        <v>0.14099999999999999</v>
      </c>
      <c r="G340" s="3207">
        <v>0.14699999999999999</v>
      </c>
    </row>
    <row r="341" spans="1:7">
      <c r="A341" s="3216" t="s">
        <v>1155</v>
      </c>
      <c r="B341" s="3205" t="s">
        <v>1052</v>
      </c>
      <c r="C341" s="3206">
        <v>0.126</v>
      </c>
      <c r="D341" s="3206">
        <v>0.124</v>
      </c>
      <c r="E341" s="3206">
        <v>0.14099999999999999</v>
      </c>
      <c r="F341" s="3206">
        <v>0.14399999999999999</v>
      </c>
      <c r="G341" s="3207">
        <v>0.13</v>
      </c>
    </row>
    <row r="342" spans="1:7">
      <c r="A342" s="3216" t="s">
        <v>1155</v>
      </c>
      <c r="B342" s="3205" t="s">
        <v>3148</v>
      </c>
      <c r="C342" s="3206">
        <v>0.15</v>
      </c>
      <c r="D342" s="3206">
        <v>0.15</v>
      </c>
      <c r="E342" s="3206">
        <v>0.15</v>
      </c>
      <c r="F342" s="3206">
        <v>0.14399999999999999</v>
      </c>
      <c r="G342" s="3207">
        <v>0.15</v>
      </c>
    </row>
    <row r="343" spans="1:7">
      <c r="A343" s="3216" t="s">
        <v>1155</v>
      </c>
      <c r="B343" s="3205" t="s">
        <v>1103</v>
      </c>
      <c r="C343" s="3206">
        <v>0.15</v>
      </c>
      <c r="D343" s="3206">
        <v>0.15</v>
      </c>
      <c r="E343" s="3206">
        <v>0.15</v>
      </c>
      <c r="F343" s="3206">
        <v>0.128</v>
      </c>
      <c r="G343" s="3207">
        <v>0.15</v>
      </c>
    </row>
    <row r="344" spans="1:7">
      <c r="A344" s="3216" t="s">
        <v>1155</v>
      </c>
      <c r="B344" s="3205" t="s">
        <v>1111</v>
      </c>
      <c r="C344" s="3206">
        <v>0.15</v>
      </c>
      <c r="D344" s="3206">
        <v>0.15</v>
      </c>
      <c r="E344" s="3206">
        <v>0.15</v>
      </c>
      <c r="F344" s="3206">
        <v>0.14799999999999999</v>
      </c>
      <c r="G344" s="3207">
        <v>0.15</v>
      </c>
    </row>
    <row r="345" spans="1:7">
      <c r="A345" s="3216" t="s">
        <v>1155</v>
      </c>
      <c r="B345" s="3205" t="s">
        <v>2982</v>
      </c>
      <c r="C345" s="3206">
        <v>0.15</v>
      </c>
      <c r="D345" s="3206">
        <v>0.15</v>
      </c>
      <c r="E345" s="3206">
        <v>0.15</v>
      </c>
      <c r="F345" s="3206">
        <v>0.13800000000000001</v>
      </c>
      <c r="G345" s="3207">
        <v>0.15</v>
      </c>
    </row>
    <row r="346" spans="1:7">
      <c r="A346" s="3216" t="s">
        <v>1155</v>
      </c>
      <c r="B346" s="3205" t="s">
        <v>3149</v>
      </c>
      <c r="C346" s="3206">
        <v>0.15</v>
      </c>
      <c r="D346" s="3206">
        <v>0.15</v>
      </c>
      <c r="E346" s="3206">
        <v>0.15</v>
      </c>
      <c r="F346" s="3206">
        <v>0.14399999999999999</v>
      </c>
      <c r="G346" s="3207">
        <v>0.15</v>
      </c>
    </row>
    <row r="347" spans="1:7">
      <c r="A347" s="3216" t="s">
        <v>1155</v>
      </c>
      <c r="B347" s="3205" t="s">
        <v>1089</v>
      </c>
      <c r="C347" s="3206">
        <v>0.15</v>
      </c>
      <c r="D347" s="3206">
        <v>0.15</v>
      </c>
      <c r="E347" s="3206">
        <v>0.15</v>
      </c>
      <c r="F347" s="3206">
        <v>0.14599999999999999</v>
      </c>
      <c r="G347" s="3207">
        <v>0.15</v>
      </c>
    </row>
    <row r="348" spans="1:7">
      <c r="A348" s="3216" t="s">
        <v>1155</v>
      </c>
      <c r="B348" s="3205" t="s">
        <v>2984</v>
      </c>
      <c r="C348" s="3206">
        <v>0.15</v>
      </c>
      <c r="D348" s="3206">
        <v>0.15</v>
      </c>
      <c r="E348" s="3206">
        <v>0.15</v>
      </c>
      <c r="F348" s="3206">
        <v>0.14399999999999999</v>
      </c>
      <c r="G348" s="3207">
        <v>0.15</v>
      </c>
    </row>
    <row r="349" spans="1:7">
      <c r="A349" s="3216" t="s">
        <v>1155</v>
      </c>
      <c r="B349" s="3205" t="s">
        <v>2985</v>
      </c>
      <c r="C349" s="3206">
        <v>0.15</v>
      </c>
      <c r="D349" s="3206">
        <v>0.15</v>
      </c>
      <c r="E349" s="3206">
        <v>0.15</v>
      </c>
      <c r="F349" s="3206">
        <v>0.15</v>
      </c>
      <c r="G349" s="3207">
        <v>0.15</v>
      </c>
    </row>
    <row r="350" spans="1:7">
      <c r="A350" s="3216" t="s">
        <v>1155</v>
      </c>
      <c r="B350" s="3205" t="s">
        <v>3150</v>
      </c>
      <c r="C350" s="3206">
        <v>0.15</v>
      </c>
      <c r="D350" s="3206">
        <v>0.15</v>
      </c>
      <c r="E350" s="3206">
        <v>0.15</v>
      </c>
      <c r="F350" s="3206">
        <v>0.14699999999999999</v>
      </c>
      <c r="G350" s="3207">
        <v>0.15</v>
      </c>
    </row>
    <row r="351" spans="1:7">
      <c r="A351" s="3216" t="s">
        <v>1155</v>
      </c>
      <c r="B351" s="3205" t="s">
        <v>2987</v>
      </c>
      <c r="C351" s="3206">
        <v>0.15</v>
      </c>
      <c r="D351" s="3206">
        <v>0.15</v>
      </c>
      <c r="E351" s="3206">
        <v>0.15</v>
      </c>
      <c r="F351" s="3206">
        <v>0.13</v>
      </c>
      <c r="G351" s="3207">
        <v>0.15</v>
      </c>
    </row>
    <row r="352" spans="1:7">
      <c r="A352" s="3216" t="s">
        <v>1155</v>
      </c>
      <c r="B352" s="3205" t="s">
        <v>2988</v>
      </c>
      <c r="C352" s="3206">
        <v>0.15</v>
      </c>
      <c r="D352" s="3206">
        <v>0.15</v>
      </c>
      <c r="E352" s="3206">
        <v>0.15</v>
      </c>
      <c r="F352" s="3206">
        <v>0.14599999999999999</v>
      </c>
      <c r="G352" s="3207">
        <v>0.15</v>
      </c>
    </row>
    <row r="353" spans="1:7">
      <c r="A353" s="3216" t="s">
        <v>1155</v>
      </c>
      <c r="B353" s="3205" t="s">
        <v>3151</v>
      </c>
      <c r="C353" s="3206">
        <v>0.15</v>
      </c>
      <c r="D353" s="3206">
        <v>0.15</v>
      </c>
      <c r="E353" s="3206">
        <v>0.15</v>
      </c>
      <c r="F353" s="3206">
        <v>0.14499999999999999</v>
      </c>
      <c r="G353" s="3207">
        <v>0.15</v>
      </c>
    </row>
    <row r="354" spans="1:7">
      <c r="A354" s="3216" t="s">
        <v>1155</v>
      </c>
      <c r="B354" s="3205" t="s">
        <v>1127</v>
      </c>
      <c r="C354" s="3206">
        <v>0.15</v>
      </c>
      <c r="D354" s="3206">
        <v>0.15</v>
      </c>
      <c r="E354" s="3206">
        <v>0.15</v>
      </c>
      <c r="F354" s="3206">
        <v>0.14099999999999999</v>
      </c>
      <c r="G354" s="3207">
        <v>0.15</v>
      </c>
    </row>
    <row r="355" spans="1:7">
      <c r="A355" s="3216" t="s">
        <v>1155</v>
      </c>
      <c r="B355" s="3205" t="s">
        <v>2990</v>
      </c>
      <c r="C355" s="3206">
        <v>0.15</v>
      </c>
      <c r="D355" s="3206">
        <v>0.15</v>
      </c>
      <c r="E355" s="3206">
        <v>0.15</v>
      </c>
      <c r="F355" s="3206">
        <v>0.15</v>
      </c>
      <c r="G355" s="3207">
        <v>0.15</v>
      </c>
    </row>
    <row r="356" spans="1:7">
      <c r="A356" s="3216" t="s">
        <v>1155</v>
      </c>
      <c r="B356" s="3205" t="s">
        <v>2991</v>
      </c>
      <c r="C356" s="3206">
        <v>0.15</v>
      </c>
      <c r="D356" s="3206">
        <v>0.15</v>
      </c>
      <c r="E356" s="3206">
        <v>0.15</v>
      </c>
      <c r="F356" s="3206">
        <v>0.15</v>
      </c>
      <c r="G356" s="3207">
        <v>0.15</v>
      </c>
    </row>
    <row r="357" spans="1:7" ht="14.25" thickBot="1">
      <c r="A357" s="3219" t="s">
        <v>1155</v>
      </c>
      <c r="B357" s="3209" t="s">
        <v>3152</v>
      </c>
      <c r="C357" s="3210">
        <v>0.126</v>
      </c>
      <c r="D357" s="3210">
        <v>0.127</v>
      </c>
      <c r="E357" s="3210">
        <v>0.14299999999999999</v>
      </c>
      <c r="F357" s="3210">
        <v>0.125</v>
      </c>
      <c r="G357" s="3212">
        <v>0.129</v>
      </c>
    </row>
    <row r="358" spans="1:7">
      <c r="A358" s="3215" t="s">
        <v>3153</v>
      </c>
      <c r="B358" s="3201" t="s">
        <v>3154</v>
      </c>
      <c r="C358" s="3202">
        <v>0.15</v>
      </c>
      <c r="D358" s="3202">
        <v>0.15</v>
      </c>
      <c r="E358" s="3202">
        <v>0.15</v>
      </c>
      <c r="F358" s="3202">
        <v>0.15</v>
      </c>
      <c r="G358" s="3203">
        <v>0.15</v>
      </c>
    </row>
    <row r="359" spans="1:7">
      <c r="A359" s="3216" t="s">
        <v>3153</v>
      </c>
      <c r="B359" s="3205" t="s">
        <v>3155</v>
      </c>
      <c r="C359" s="3206">
        <v>0.1</v>
      </c>
      <c r="D359" s="3206">
        <v>0.1</v>
      </c>
      <c r="E359" s="3206">
        <v>0.1</v>
      </c>
      <c r="F359" s="3206">
        <v>0.1</v>
      </c>
      <c r="G359" s="3207">
        <v>0.1</v>
      </c>
    </row>
    <row r="360" spans="1:7">
      <c r="A360" s="3216" t="s">
        <v>3153</v>
      </c>
      <c r="B360" s="3205" t="s">
        <v>3156</v>
      </c>
      <c r="C360" s="3206">
        <v>0.15</v>
      </c>
      <c r="D360" s="3206">
        <v>0.15</v>
      </c>
      <c r="E360" s="3206">
        <v>0.15</v>
      </c>
      <c r="F360" s="3206">
        <v>0.14899999999999999</v>
      </c>
      <c r="G360" s="3207">
        <v>0.15</v>
      </c>
    </row>
    <row r="361" spans="1:7">
      <c r="A361" s="3216" t="s">
        <v>3153</v>
      </c>
      <c r="B361" s="3205" t="s">
        <v>997</v>
      </c>
      <c r="C361" s="3206">
        <v>0.15</v>
      </c>
      <c r="D361" s="3206">
        <v>0.15</v>
      </c>
      <c r="E361" s="3206">
        <v>0.15</v>
      </c>
      <c r="F361" s="3206">
        <v>0.115</v>
      </c>
      <c r="G361" s="3207">
        <v>0.15</v>
      </c>
    </row>
    <row r="362" spans="1:7">
      <c r="A362" s="3216" t="s">
        <v>3153</v>
      </c>
      <c r="B362" s="3205" t="s">
        <v>3157</v>
      </c>
      <c r="C362" s="3206">
        <v>0.15</v>
      </c>
      <c r="D362" s="3206">
        <v>0.15</v>
      </c>
      <c r="E362" s="3206">
        <v>0.15</v>
      </c>
      <c r="F362" s="3206">
        <v>0.106</v>
      </c>
      <c r="G362" s="3207">
        <v>0.15</v>
      </c>
    </row>
    <row r="363" spans="1:7">
      <c r="A363" s="3216" t="s">
        <v>3153</v>
      </c>
      <c r="B363" s="3205" t="s">
        <v>2997</v>
      </c>
      <c r="C363" s="3206">
        <v>0.15</v>
      </c>
      <c r="D363" s="3206">
        <v>0.15</v>
      </c>
      <c r="E363" s="3206">
        <v>0.15</v>
      </c>
      <c r="F363" s="3206">
        <v>0.14699999999999999</v>
      </c>
      <c r="G363" s="3207">
        <v>0.15</v>
      </c>
    </row>
    <row r="364" spans="1:7">
      <c r="A364" s="3216" t="s">
        <v>3153</v>
      </c>
      <c r="B364" s="3205" t="s">
        <v>3158</v>
      </c>
      <c r="C364" s="3206">
        <v>0.15</v>
      </c>
      <c r="D364" s="3206">
        <v>0.15</v>
      </c>
      <c r="E364" s="3206">
        <v>0.15</v>
      </c>
      <c r="F364" s="3206">
        <v>0.14799999999999999</v>
      </c>
      <c r="G364" s="3207">
        <v>0.15</v>
      </c>
    </row>
    <row r="365" spans="1:7">
      <c r="A365" s="3216" t="s">
        <v>3153</v>
      </c>
      <c r="B365" s="3205" t="s">
        <v>1045</v>
      </c>
      <c r="C365" s="3206">
        <v>0.15</v>
      </c>
      <c r="D365" s="3206">
        <v>0.15</v>
      </c>
      <c r="E365" s="3206">
        <v>0.15</v>
      </c>
      <c r="F365" s="3206">
        <v>0.15</v>
      </c>
      <c r="G365" s="3207">
        <v>0.15</v>
      </c>
    </row>
    <row r="366" spans="1:7">
      <c r="A366" s="3216" t="s">
        <v>3153</v>
      </c>
      <c r="B366" s="3205" t="s">
        <v>2999</v>
      </c>
      <c r="C366" s="3206">
        <v>0.15</v>
      </c>
      <c r="D366" s="3206">
        <v>0.15</v>
      </c>
      <c r="E366" s="3206">
        <v>0.15</v>
      </c>
      <c r="F366" s="3206">
        <v>0.15</v>
      </c>
      <c r="G366" s="3207">
        <v>0.15</v>
      </c>
    </row>
    <row r="367" spans="1:7">
      <c r="A367" s="3216" t="s">
        <v>3153</v>
      </c>
      <c r="B367" s="3205" t="s">
        <v>3159</v>
      </c>
      <c r="C367" s="3206">
        <v>0.15</v>
      </c>
      <c r="D367" s="3206">
        <v>0.15</v>
      </c>
      <c r="E367" s="3206">
        <v>0.15</v>
      </c>
      <c r="F367" s="3206">
        <v>0.14699999999999999</v>
      </c>
      <c r="G367" s="3207">
        <v>0.15</v>
      </c>
    </row>
    <row r="368" spans="1:7">
      <c r="A368" s="3216" t="s">
        <v>3153</v>
      </c>
      <c r="B368" s="3205" t="s">
        <v>3160</v>
      </c>
      <c r="C368" s="3206">
        <v>0.15</v>
      </c>
      <c r="D368" s="3206">
        <v>0.15</v>
      </c>
      <c r="E368" s="3206">
        <v>0.15</v>
      </c>
      <c r="F368" s="3206">
        <v>0.13600000000000001</v>
      </c>
      <c r="G368" s="3207">
        <v>0.15</v>
      </c>
    </row>
    <row r="369" spans="1:7">
      <c r="A369" s="3216" t="s">
        <v>3153</v>
      </c>
      <c r="B369" s="3205" t="s">
        <v>1059</v>
      </c>
      <c r="C369" s="3206">
        <v>0.15</v>
      </c>
      <c r="D369" s="3206">
        <v>0.15</v>
      </c>
      <c r="E369" s="3206">
        <v>0.15</v>
      </c>
      <c r="F369" s="3206">
        <v>0.14399999999999999</v>
      </c>
      <c r="G369" s="3207">
        <v>0.15</v>
      </c>
    </row>
    <row r="370" spans="1:7">
      <c r="A370" s="3216" t="s">
        <v>3153</v>
      </c>
      <c r="B370" s="3205" t="s">
        <v>1067</v>
      </c>
      <c r="C370" s="3206">
        <v>0.15</v>
      </c>
      <c r="D370" s="3206">
        <v>0.15</v>
      </c>
      <c r="E370" s="3206">
        <v>0.15</v>
      </c>
      <c r="F370" s="3206">
        <v>0.14599999999999999</v>
      </c>
      <c r="G370" s="3207">
        <v>0.15</v>
      </c>
    </row>
    <row r="371" spans="1:7">
      <c r="A371" s="3216" t="s">
        <v>3153</v>
      </c>
      <c r="B371" s="3205" t="s">
        <v>1075</v>
      </c>
      <c r="C371" s="3206">
        <v>0.15</v>
      </c>
      <c r="D371" s="3206">
        <v>0.15</v>
      </c>
      <c r="E371" s="3206">
        <v>0.15</v>
      </c>
      <c r="F371" s="3206">
        <v>0.12</v>
      </c>
      <c r="G371" s="3207">
        <v>0.15</v>
      </c>
    </row>
    <row r="372" spans="1:7">
      <c r="A372" s="3216" t="s">
        <v>3153</v>
      </c>
      <c r="B372" s="3205" t="s">
        <v>3161</v>
      </c>
      <c r="C372" s="3206">
        <v>0.15</v>
      </c>
      <c r="D372" s="3206">
        <v>0.15</v>
      </c>
      <c r="E372" s="3206">
        <v>0.15</v>
      </c>
      <c r="F372" s="3206">
        <v>0.14299999999999999</v>
      </c>
      <c r="G372" s="3207">
        <v>0.15</v>
      </c>
    </row>
    <row r="373" spans="1:7">
      <c r="A373" s="3216" t="s">
        <v>3153</v>
      </c>
      <c r="B373" s="3205" t="s">
        <v>1104</v>
      </c>
      <c r="C373" s="3206">
        <v>0.15</v>
      </c>
      <c r="D373" s="3206">
        <v>0.15</v>
      </c>
      <c r="E373" s="3206">
        <v>0.15</v>
      </c>
      <c r="F373" s="3206">
        <v>0.14599999999999999</v>
      </c>
      <c r="G373" s="3207">
        <v>0.15</v>
      </c>
    </row>
    <row r="374" spans="1:7">
      <c r="A374" s="3216" t="s">
        <v>3153</v>
      </c>
      <c r="B374" s="3205" t="s">
        <v>1112</v>
      </c>
      <c r="C374" s="3206">
        <v>0.15</v>
      </c>
      <c r="D374" s="3206">
        <v>0.15</v>
      </c>
      <c r="E374" s="3206">
        <v>0.15</v>
      </c>
      <c r="F374" s="3206">
        <v>0.14399999999999999</v>
      </c>
      <c r="G374" s="3207">
        <v>0.15</v>
      </c>
    </row>
    <row r="375" spans="1:7">
      <c r="A375" s="3216" t="s">
        <v>3153</v>
      </c>
      <c r="B375" s="3205" t="s">
        <v>3162</v>
      </c>
      <c r="C375" s="3206">
        <v>0.15</v>
      </c>
      <c r="D375" s="3206">
        <v>0.15</v>
      </c>
      <c r="E375" s="3206">
        <v>0.15</v>
      </c>
      <c r="F375" s="3206">
        <v>0.13</v>
      </c>
      <c r="G375" s="3207">
        <v>0.15</v>
      </c>
    </row>
    <row r="376" spans="1:7">
      <c r="A376" s="3216" t="s">
        <v>3153</v>
      </c>
      <c r="B376" s="3205" t="s">
        <v>1124</v>
      </c>
      <c r="C376" s="3206">
        <v>0.15</v>
      </c>
      <c r="D376" s="3206">
        <v>0.15</v>
      </c>
      <c r="E376" s="3206">
        <v>0.15</v>
      </c>
      <c r="F376" s="3206">
        <v>0.14199999999999999</v>
      </c>
      <c r="G376" s="3207">
        <v>0.15</v>
      </c>
    </row>
    <row r="377" spans="1:7" ht="14.25" thickBot="1">
      <c r="A377" s="3219" t="s">
        <v>3153</v>
      </c>
      <c r="B377" s="3209" t="s">
        <v>3004</v>
      </c>
      <c r="C377" s="3210">
        <v>0.15</v>
      </c>
      <c r="D377" s="3210">
        <v>0.15</v>
      </c>
      <c r="E377" s="3210">
        <v>0.15</v>
      </c>
      <c r="F377" s="3210">
        <v>0.14000000000000001</v>
      </c>
      <c r="G377" s="3212">
        <v>0.15</v>
      </c>
    </row>
    <row r="378" spans="1:7">
      <c r="A378" s="3215" t="s">
        <v>3163</v>
      </c>
      <c r="B378" s="3201" t="s">
        <v>3164</v>
      </c>
      <c r="C378" s="3202">
        <v>0.15</v>
      </c>
      <c r="D378" s="3202">
        <v>0.15</v>
      </c>
      <c r="E378" s="3202">
        <v>0.15</v>
      </c>
      <c r="F378" s="3202">
        <v>0.107</v>
      </c>
      <c r="G378" s="3203">
        <v>0.15</v>
      </c>
    </row>
    <row r="379" spans="1:7">
      <c r="A379" s="3216" t="s">
        <v>3163</v>
      </c>
      <c r="B379" s="3205" t="s">
        <v>3165</v>
      </c>
      <c r="C379" s="3206">
        <v>0.15</v>
      </c>
      <c r="D379" s="3206">
        <v>0.15</v>
      </c>
      <c r="E379" s="3206">
        <v>0.15</v>
      </c>
      <c r="F379" s="3206">
        <v>0.115</v>
      </c>
      <c r="G379" s="3207">
        <v>0.14899999999999999</v>
      </c>
    </row>
    <row r="380" spans="1:7">
      <c r="A380" s="3216" t="s">
        <v>3166</v>
      </c>
      <c r="B380" s="3205" t="s">
        <v>3167</v>
      </c>
      <c r="C380" s="3206">
        <v>0.15</v>
      </c>
      <c r="D380" s="3206">
        <v>0.15</v>
      </c>
      <c r="E380" s="3206">
        <v>0.15</v>
      </c>
      <c r="F380" s="3206">
        <v>0.1</v>
      </c>
      <c r="G380" s="3207">
        <v>0.14799999999999999</v>
      </c>
    </row>
    <row r="381" spans="1:7">
      <c r="A381" s="3216" t="s">
        <v>3166</v>
      </c>
      <c r="B381" s="3205" t="s">
        <v>3168</v>
      </c>
      <c r="C381" s="3206">
        <v>0.15</v>
      </c>
      <c r="D381" s="3206">
        <v>0.15</v>
      </c>
      <c r="E381" s="3206">
        <v>0.15</v>
      </c>
      <c r="F381" s="3206">
        <v>0.126</v>
      </c>
      <c r="G381" s="3207">
        <v>0.15</v>
      </c>
    </row>
    <row r="382" spans="1:7">
      <c r="A382" s="3216" t="s">
        <v>3166</v>
      </c>
      <c r="B382" s="3205" t="s">
        <v>3169</v>
      </c>
      <c r="C382" s="3206">
        <v>0.15</v>
      </c>
      <c r="D382" s="3206">
        <v>0.15</v>
      </c>
      <c r="E382" s="3206">
        <v>0.15</v>
      </c>
      <c r="F382" s="3206">
        <v>0.15</v>
      </c>
      <c r="G382" s="3207">
        <v>0.15</v>
      </c>
    </row>
    <row r="383" spans="1:7">
      <c r="A383" s="3216" t="s">
        <v>3166</v>
      </c>
      <c r="B383" s="3205" t="s">
        <v>3170</v>
      </c>
      <c r="C383" s="3206">
        <v>0.15</v>
      </c>
      <c r="D383" s="3206">
        <v>0.15</v>
      </c>
      <c r="E383" s="3206">
        <v>0.15</v>
      </c>
      <c r="F383" s="3206">
        <v>0.14699999999999999</v>
      </c>
      <c r="G383" s="3207">
        <v>0.15</v>
      </c>
    </row>
    <row r="384" spans="1:7" ht="14.25" thickBot="1">
      <c r="A384" s="3226" t="s">
        <v>3166</v>
      </c>
      <c r="B384" s="3227" t="s">
        <v>3171</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689" t="s">
        <v>1856</v>
      </c>
      <c r="C1" s="3689"/>
      <c r="D1" s="3689"/>
      <c r="E1" s="3689"/>
      <c r="F1" s="3689"/>
      <c r="G1" s="3688" t="s">
        <v>1857</v>
      </c>
      <c r="H1" s="3688"/>
      <c r="I1" s="3688"/>
      <c r="J1" s="3688"/>
      <c r="K1" s="3688"/>
      <c r="L1" s="3688"/>
      <c r="N1" s="3688" t="s">
        <v>1858</v>
      </c>
      <c r="O1" s="3688"/>
      <c r="P1" s="3688"/>
      <c r="Q1" s="3688"/>
      <c r="S1" s="3688" t="s">
        <v>1859</v>
      </c>
      <c r="T1" s="3688"/>
      <c r="U1" s="3688"/>
      <c r="V1" s="3688"/>
      <c r="X1" s="3687" t="s">
        <v>1919</v>
      </c>
      <c r="Y1" s="3688"/>
      <c r="Z1" s="3688"/>
      <c r="AA1" s="3688"/>
      <c r="AB1" s="3688"/>
      <c r="AD1" s="3687" t="s">
        <v>1923</v>
      </c>
      <c r="AE1" s="3688"/>
      <c r="AF1" s="3688"/>
      <c r="AG1" s="3688"/>
      <c r="AH1" s="3688"/>
    </row>
    <row r="2" spans="1:34" s="2421" customFormat="1" ht="14.25" thickBot="1">
      <c r="B2" s="2422" t="s">
        <v>1860</v>
      </c>
      <c r="C2" s="2422" t="s">
        <v>1921</v>
      </c>
      <c r="D2" s="2423" t="s">
        <v>1177</v>
      </c>
      <c r="E2" s="2423" t="s">
        <v>1467</v>
      </c>
      <c r="F2" s="2422" t="s">
        <v>1922</v>
      </c>
      <c r="G2" s="2424"/>
      <c r="I2" s="2422" t="s">
        <v>2205</v>
      </c>
      <c r="J2" s="2423" t="s">
        <v>2207</v>
      </c>
      <c r="K2" s="2423" t="s">
        <v>2208</v>
      </c>
      <c r="L2" s="2422" t="s">
        <v>2209</v>
      </c>
      <c r="N2" s="2422" t="s">
        <v>1860</v>
      </c>
      <c r="O2" s="2423" t="s">
        <v>2206</v>
      </c>
      <c r="P2" s="2423" t="s">
        <v>1467</v>
      </c>
      <c r="Q2" s="2422" t="s">
        <v>1922</v>
      </c>
      <c r="S2" s="2422" t="s">
        <v>1860</v>
      </c>
      <c r="T2" s="2423" t="s">
        <v>2206</v>
      </c>
      <c r="U2" s="2423" t="s">
        <v>1467</v>
      </c>
      <c r="V2" s="2422" t="s">
        <v>1922</v>
      </c>
      <c r="X2" s="2422" t="s">
        <v>1860</v>
      </c>
      <c r="Y2" s="2422" t="s">
        <v>1921</v>
      </c>
      <c r="Z2" s="2423" t="s">
        <v>1177</v>
      </c>
      <c r="AA2" s="2423" t="s">
        <v>1467</v>
      </c>
      <c r="AB2" s="2422" t="s">
        <v>1922</v>
      </c>
      <c r="AD2" s="2422" t="s">
        <v>1860</v>
      </c>
      <c r="AE2" s="2422" t="s">
        <v>1921</v>
      </c>
      <c r="AF2" s="2423" t="s">
        <v>1177</v>
      </c>
      <c r="AG2" s="2423" t="s">
        <v>1467</v>
      </c>
      <c r="AH2" s="2422" t="s">
        <v>1922</v>
      </c>
    </row>
    <row r="3" spans="1:34" s="2429" customFormat="1" ht="14.25">
      <c r="A3" s="2425" t="s">
        <v>2216</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2434</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2433</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2432</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2431</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2430</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2279</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2278</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2277</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2276</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2273</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2272</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2241</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2239</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2237</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2236</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2234</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2233</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2232</v>
      </c>
      <c r="B22" s="2452">
        <f t="shared" si="11"/>
        <v>464.37293017158942</v>
      </c>
      <c r="C22" s="2452">
        <f t="shared" si="12"/>
        <v>344.73679941385956</v>
      </c>
      <c r="D22" s="2452">
        <f t="shared" si="2"/>
        <v>344.73679941385956</v>
      </c>
      <c r="E22" s="2452">
        <f t="shared" si="3"/>
        <v>663.2377795103107</v>
      </c>
      <c r="F22" s="2453">
        <f t="shared" si="4"/>
        <v>304.75936311478398</v>
      </c>
      <c r="G22" s="3683">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2225</v>
      </c>
      <c r="B23" s="2442">
        <f t="shared" si="11"/>
        <v>459.95733971036987</v>
      </c>
      <c r="C23" s="2442">
        <f t="shared" si="12"/>
        <v>341.22221064422405</v>
      </c>
      <c r="D23" s="2442">
        <f t="shared" si="2"/>
        <v>341.22221064422405</v>
      </c>
      <c r="E23" s="2442">
        <f t="shared" si="3"/>
        <v>657.19161663724799</v>
      </c>
      <c r="F23" s="2442">
        <f t="shared" si="4"/>
        <v>300.87803644464805</v>
      </c>
      <c r="G23" s="3683"/>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2226</v>
      </c>
      <c r="B24" s="2442">
        <f t="shared" si="11"/>
        <v>453.11529869999993</v>
      </c>
      <c r="C24" s="2442">
        <f t="shared" si="12"/>
        <v>336.47787264000004</v>
      </c>
      <c r="D24" s="2442">
        <f t="shared" si="2"/>
        <v>336.47787264000004</v>
      </c>
      <c r="E24" s="2442">
        <f t="shared" si="3"/>
        <v>647.35186823999993</v>
      </c>
      <c r="F24" s="2442">
        <f t="shared" si="4"/>
        <v>295.73229452000004</v>
      </c>
      <c r="G24" s="3683"/>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2222</v>
      </c>
      <c r="B25" s="2442">
        <f t="shared" si="11"/>
        <v>446.46299999999997</v>
      </c>
      <c r="C25" s="2442">
        <f t="shared" si="12"/>
        <v>333.27840000000003</v>
      </c>
      <c r="D25" s="2442">
        <f t="shared" ref="D25:D30" si="13">C25</f>
        <v>333.27840000000003</v>
      </c>
      <c r="E25" s="2442">
        <f t="shared" si="3"/>
        <v>637.28279999999995</v>
      </c>
      <c r="F25" s="2442">
        <f t="shared" si="4"/>
        <v>288.68830000000003</v>
      </c>
      <c r="G25" s="3684"/>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2215</v>
      </c>
      <c r="B26" s="2452">
        <v>439</v>
      </c>
      <c r="C26" s="2452">
        <v>327</v>
      </c>
      <c r="D26" s="2452">
        <f t="shared" si="13"/>
        <v>327</v>
      </c>
      <c r="E26" s="2452">
        <v>627</v>
      </c>
      <c r="F26" s="2453">
        <v>283</v>
      </c>
      <c r="G26" s="3682">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2217</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83"/>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1861</v>
      </c>
      <c r="B28" s="2442">
        <f t="shared" si="16"/>
        <v>419.31181600000002</v>
      </c>
      <c r="C28" s="2442">
        <f t="shared" si="16"/>
        <v>313.95436800000004</v>
      </c>
      <c r="D28" s="2442">
        <f t="shared" si="13"/>
        <v>313.95436800000004</v>
      </c>
      <c r="E28" s="2442">
        <f t="shared" si="17"/>
        <v>596.63028431999999</v>
      </c>
      <c r="F28" s="2442">
        <f t="shared" si="17"/>
        <v>274.74220703999998</v>
      </c>
      <c r="G28" s="3683"/>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1862</v>
      </c>
      <c r="B29" s="2442">
        <f t="shared" si="16"/>
        <v>405.524</v>
      </c>
      <c r="C29" s="2442">
        <f t="shared" si="16"/>
        <v>307.79840000000002</v>
      </c>
      <c r="D29" s="2442">
        <f t="shared" si="13"/>
        <v>307.79840000000002</v>
      </c>
      <c r="E29" s="2442">
        <f t="shared" si="17"/>
        <v>574.67759999999998</v>
      </c>
      <c r="F29" s="2442">
        <f t="shared" si="17"/>
        <v>270.20280000000002</v>
      </c>
      <c r="G29" s="3684"/>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893</v>
      </c>
      <c r="B30" s="2460">
        <v>392</v>
      </c>
      <c r="C30" s="2460">
        <v>302</v>
      </c>
      <c r="D30" s="2460">
        <f t="shared" si="13"/>
        <v>302</v>
      </c>
      <c r="E30" s="2460">
        <v>553</v>
      </c>
      <c r="F30" s="2461">
        <v>266</v>
      </c>
      <c r="G30" s="3682">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892</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83"/>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882</v>
      </c>
      <c r="B32" s="2442">
        <f t="shared" si="19"/>
        <v>360.06949782209392</v>
      </c>
      <c r="C32" s="2442">
        <f t="shared" si="19"/>
        <v>289.84672674747821</v>
      </c>
      <c r="D32" s="2442">
        <f t="shared" si="20"/>
        <v>289.84672674747821</v>
      </c>
      <c r="E32" s="2442">
        <f t="shared" si="21"/>
        <v>501.06543001181495</v>
      </c>
      <c r="F32" s="2442">
        <f t="shared" si="21"/>
        <v>256.82882500744967</v>
      </c>
      <c r="G32" s="3683"/>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891</v>
      </c>
      <c r="B33" s="2442">
        <f t="shared" si="19"/>
        <v>346.720748986128</v>
      </c>
      <c r="C33" s="2442">
        <f t="shared" si="19"/>
        <v>284.30282172386285</v>
      </c>
      <c r="D33" s="2442">
        <f t="shared" si="20"/>
        <v>284.30282172386285</v>
      </c>
      <c r="E33" s="2442">
        <f t="shared" si="21"/>
        <v>479.58023546306947</v>
      </c>
      <c r="F33" s="2442">
        <f t="shared" si="21"/>
        <v>253.25788877571213</v>
      </c>
      <c r="G33" s="3686"/>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890</v>
      </c>
      <c r="B34" s="2460">
        <v>333</v>
      </c>
      <c r="C34" s="2460">
        <v>277</v>
      </c>
      <c r="D34" s="2460">
        <f t="shared" si="20"/>
        <v>277</v>
      </c>
      <c r="E34" s="2460">
        <v>459</v>
      </c>
      <c r="F34" s="2461">
        <v>249</v>
      </c>
      <c r="G34" s="3685">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889</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83"/>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888</v>
      </c>
      <c r="B36" s="2442">
        <f t="shared" si="23"/>
        <v>322.34053690220776</v>
      </c>
      <c r="C36" s="2442">
        <f t="shared" si="23"/>
        <v>271.46160770422546</v>
      </c>
      <c r="D36" s="2442">
        <f t="shared" si="20"/>
        <v>271.46160770422546</v>
      </c>
      <c r="E36" s="2442">
        <f t="shared" si="24"/>
        <v>442.69434542172456</v>
      </c>
      <c r="F36" s="2442">
        <f t="shared" si="24"/>
        <v>241.34030753190925</v>
      </c>
      <c r="G36" s="3683"/>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887</v>
      </c>
      <c r="B37" s="2442">
        <f t="shared" si="23"/>
        <v>319.87748030386797</v>
      </c>
      <c r="C37" s="2442">
        <f t="shared" si="23"/>
        <v>269.60135833173649</v>
      </c>
      <c r="D37" s="2442">
        <f t="shared" si="20"/>
        <v>269.60135833173649</v>
      </c>
      <c r="E37" s="2442">
        <f t="shared" si="24"/>
        <v>439.18089823583784</v>
      </c>
      <c r="F37" s="2442">
        <f t="shared" si="24"/>
        <v>239.23503918706311</v>
      </c>
      <c r="G37" s="3686"/>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886</v>
      </c>
      <c r="B38" s="2467">
        <v>318</v>
      </c>
      <c r="C38" s="2467">
        <v>268</v>
      </c>
      <c r="D38" s="2467">
        <f t="shared" si="20"/>
        <v>268</v>
      </c>
      <c r="E38" s="2467">
        <v>437</v>
      </c>
      <c r="F38" s="2468">
        <v>237</v>
      </c>
      <c r="G38" s="3685">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885</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83"/>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884</v>
      </c>
      <c r="B40" s="2442">
        <f t="shared" si="25"/>
        <v>314.72141172386546</v>
      </c>
      <c r="C40" s="2442">
        <f t="shared" si="25"/>
        <v>263.03901319069001</v>
      </c>
      <c r="D40" s="2442">
        <f t="shared" si="20"/>
        <v>263.03901319069001</v>
      </c>
      <c r="E40" s="2442">
        <f t="shared" si="26"/>
        <v>433.65745506782821</v>
      </c>
      <c r="F40" s="2442">
        <f t="shared" si="26"/>
        <v>233.23005080045735</v>
      </c>
      <c r="G40" s="3683"/>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883</v>
      </c>
      <c r="B41" s="2472">
        <f t="shared" si="25"/>
        <v>307.34512863658733</v>
      </c>
      <c r="C41" s="2472">
        <f t="shared" si="25"/>
        <v>257.80556031626975</v>
      </c>
      <c r="D41" s="2472">
        <f t="shared" si="20"/>
        <v>257.80556031626975</v>
      </c>
      <c r="E41" s="2472">
        <f t="shared" si="26"/>
        <v>422.70928459677179</v>
      </c>
      <c r="F41" s="2472">
        <f t="shared" si="26"/>
        <v>229.73803270336617</v>
      </c>
      <c r="G41" s="3686"/>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1920</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1863</v>
      </c>
      <c r="B42" s="2460">
        <v>299</v>
      </c>
      <c r="C42" s="2460">
        <v>252</v>
      </c>
      <c r="D42" s="2460">
        <f t="shared" si="20"/>
        <v>252</v>
      </c>
      <c r="E42" s="2460">
        <v>409</v>
      </c>
      <c r="F42" s="2461">
        <v>227</v>
      </c>
      <c r="G42" s="3690">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1864</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91"/>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1865</v>
      </c>
      <c r="B44" s="2442">
        <f t="shared" si="27"/>
        <v>288.2649053828776</v>
      </c>
      <c r="C44" s="2442">
        <f t="shared" si="27"/>
        <v>243.64564425013293</v>
      </c>
      <c r="D44" s="2442">
        <f t="shared" si="20"/>
        <v>243.64564425013293</v>
      </c>
      <c r="E44" s="2442">
        <f t="shared" si="28"/>
        <v>393.31080825986544</v>
      </c>
      <c r="F44" s="2442">
        <f t="shared" si="28"/>
        <v>223.07903790551154</v>
      </c>
      <c r="G44" s="3691"/>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1866</v>
      </c>
      <c r="B45" s="2442">
        <f t="shared" si="27"/>
        <v>282.50186729015837</v>
      </c>
      <c r="C45" s="2442">
        <f t="shared" si="27"/>
        <v>238.09796174155468</v>
      </c>
      <c r="D45" s="2442">
        <f t="shared" si="20"/>
        <v>238.09796174155468</v>
      </c>
      <c r="E45" s="2442">
        <f t="shared" si="28"/>
        <v>385.33438646014054</v>
      </c>
      <c r="F45" s="2442">
        <f t="shared" si="28"/>
        <v>221.55034055567739</v>
      </c>
      <c r="G45" s="3692"/>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1867</v>
      </c>
      <c r="B46" s="2486">
        <v>278</v>
      </c>
      <c r="C46" s="2486">
        <v>234</v>
      </c>
      <c r="D46" s="2486">
        <f t="shared" si="20"/>
        <v>234</v>
      </c>
      <c r="E46" s="2486">
        <v>379</v>
      </c>
      <c r="F46" s="2487">
        <v>220</v>
      </c>
      <c r="G46" s="3685">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1868</v>
      </c>
      <c r="B47" s="2442">
        <f>B46/(1+N46)</f>
        <v>275.49301357645425</v>
      </c>
      <c r="C47" s="2442">
        <f>C46/(1+O46)</f>
        <v>232.41954707985698</v>
      </c>
      <c r="D47" s="2442">
        <f t="shared" si="20"/>
        <v>232.41954707985698</v>
      </c>
      <c r="E47" s="2442">
        <f t="shared" ref="E47:F49" si="29">E46/(1+P46)</f>
        <v>375.32184591008121</v>
      </c>
      <c r="F47" s="2442">
        <f t="shared" si="29"/>
        <v>218.03766105054513</v>
      </c>
      <c r="G47" s="3683"/>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1869</v>
      </c>
      <c r="B48" s="2442">
        <f>B47/(1+N47)</f>
        <v>275.24529281292263</v>
      </c>
      <c r="C48" s="2442">
        <f>C47/(1+O47)</f>
        <v>231.74747938962707</v>
      </c>
      <c r="D48" s="2442">
        <f t="shared" si="20"/>
        <v>231.74747938962707</v>
      </c>
      <c r="E48" s="2442">
        <f t="shared" si="29"/>
        <v>375.35938184826603</v>
      </c>
      <c r="F48" s="2442">
        <f t="shared" si="29"/>
        <v>216.78033510692495</v>
      </c>
      <c r="G48" s="3683"/>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1870</v>
      </c>
      <c r="B49" s="2442">
        <f>B48/(1+N48)</f>
        <v>275.19025476197027</v>
      </c>
      <c r="C49" s="2488">
        <v>232</v>
      </c>
      <c r="D49" s="2488">
        <f t="shared" si="20"/>
        <v>232</v>
      </c>
      <c r="E49" s="2442">
        <f t="shared" si="29"/>
        <v>375.65990977608692</v>
      </c>
      <c r="F49" s="2442">
        <f t="shared" si="29"/>
        <v>214.12518283971252</v>
      </c>
      <c r="G49" s="3686"/>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1871</v>
      </c>
      <c r="B50" s="2460">
        <v>275</v>
      </c>
      <c r="C50" s="2460">
        <v>232</v>
      </c>
      <c r="D50" s="2460">
        <f t="shared" si="20"/>
        <v>232</v>
      </c>
      <c r="E50" s="2460">
        <v>376</v>
      </c>
      <c r="F50" s="2461">
        <v>213</v>
      </c>
      <c r="G50" s="3685">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1872</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83">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1873</v>
      </c>
      <c r="B52" s="2442">
        <f t="shared" si="30"/>
        <v>275.19335084830601</v>
      </c>
      <c r="C52" s="2442">
        <f t="shared" si="30"/>
        <v>230.18088050139744</v>
      </c>
      <c r="D52" s="2442">
        <f t="shared" si="20"/>
        <v>230.18088050139744</v>
      </c>
      <c r="E52" s="2442">
        <f t="shared" si="31"/>
        <v>377.58482925212331</v>
      </c>
      <c r="F52" s="2442">
        <f t="shared" si="31"/>
        <v>210.90687997847917</v>
      </c>
      <c r="G52" s="3683">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1874</v>
      </c>
      <c r="B53" s="2442">
        <f t="shared" si="30"/>
        <v>276.29854502841971</v>
      </c>
      <c r="C53" s="2442">
        <f t="shared" si="30"/>
        <v>229.79023709833027</v>
      </c>
      <c r="D53" s="2442">
        <f t="shared" si="20"/>
        <v>229.79023709833027</v>
      </c>
      <c r="E53" s="2442">
        <f t="shared" si="31"/>
        <v>379.78759731655936</v>
      </c>
      <c r="F53" s="2442">
        <f t="shared" si="31"/>
        <v>211.32953905659235</v>
      </c>
      <c r="G53" s="3686">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1875</v>
      </c>
      <c r="B54" s="2460">
        <v>269</v>
      </c>
      <c r="C54" s="2460">
        <v>221</v>
      </c>
      <c r="D54" s="2460">
        <f t="shared" si="20"/>
        <v>221</v>
      </c>
      <c r="E54" s="2460">
        <v>373</v>
      </c>
      <c r="F54" s="2461">
        <v>196</v>
      </c>
      <c r="G54" s="3685">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1876</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83">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1877</v>
      </c>
      <c r="B56" s="2442">
        <f t="shared" si="32"/>
        <v>242.95398227588385</v>
      </c>
      <c r="C56" s="2442">
        <f t="shared" si="32"/>
        <v>199.59137053614126</v>
      </c>
      <c r="D56" s="2442">
        <f t="shared" si="20"/>
        <v>199.59137053614126</v>
      </c>
      <c r="E56" s="2442">
        <f t="shared" si="33"/>
        <v>335.92189522342125</v>
      </c>
      <c r="F56" s="2442">
        <f t="shared" si="33"/>
        <v>183.10139991109489</v>
      </c>
      <c r="G56" s="3683">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1878</v>
      </c>
      <c r="B57" s="2442">
        <f t="shared" si="32"/>
        <v>232.06990378821649</v>
      </c>
      <c r="C57" s="2442">
        <f t="shared" si="32"/>
        <v>192.74878854286936</v>
      </c>
      <c r="D57" s="2442">
        <f t="shared" si="20"/>
        <v>192.74878854286936</v>
      </c>
      <c r="E57" s="2442">
        <f t="shared" si="33"/>
        <v>319.71247284992984</v>
      </c>
      <c r="F57" s="2442">
        <f t="shared" si="33"/>
        <v>175.67053622862409</v>
      </c>
      <c r="G57" s="3686">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1879</v>
      </c>
      <c r="B58" s="2460">
        <v>220</v>
      </c>
      <c r="C58" s="2460">
        <v>187</v>
      </c>
      <c r="D58" s="2460">
        <f t="shared" si="20"/>
        <v>187</v>
      </c>
      <c r="E58" s="2460">
        <v>301</v>
      </c>
      <c r="F58" s="2461">
        <v>168</v>
      </c>
      <c r="G58" s="3685">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1880</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83">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1881</v>
      </c>
      <c r="B60" s="2442">
        <f t="shared" si="34"/>
        <v>210.630522469011</v>
      </c>
      <c r="C60" s="2442">
        <f t="shared" si="34"/>
        <v>181.69567812247232</v>
      </c>
      <c r="D60" s="2442">
        <f t="shared" si="20"/>
        <v>181.69567812247232</v>
      </c>
      <c r="E60" s="2442">
        <f t="shared" si="35"/>
        <v>286.13517466736738</v>
      </c>
      <c r="F60" s="2442">
        <f t="shared" si="35"/>
        <v>165.47535084591149</v>
      </c>
      <c r="G60" s="3683">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1882</v>
      </c>
      <c r="B61" s="2442">
        <f t="shared" si="34"/>
        <v>208.83454537875372</v>
      </c>
      <c r="C61" s="2442">
        <f t="shared" si="34"/>
        <v>183.77230517090351</v>
      </c>
      <c r="D61" s="2442">
        <f t="shared" si="20"/>
        <v>183.77230517090351</v>
      </c>
      <c r="E61" s="2442">
        <f t="shared" si="35"/>
        <v>281.10342338870947</v>
      </c>
      <c r="F61" s="2442">
        <f t="shared" si="35"/>
        <v>168.97309388942256</v>
      </c>
      <c r="G61" s="3686">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1883</v>
      </c>
      <c r="B62" s="2486">
        <v>214</v>
      </c>
      <c r="C62" s="2486">
        <v>188</v>
      </c>
      <c r="D62" s="2486">
        <f t="shared" si="20"/>
        <v>188</v>
      </c>
      <c r="E62" s="2486">
        <v>289</v>
      </c>
      <c r="F62" s="2487">
        <v>166</v>
      </c>
      <c r="G62" s="3685">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1884</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83">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1885</v>
      </c>
      <c r="B64" s="2442">
        <f t="shared" si="36"/>
        <v>206.31694671589116</v>
      </c>
      <c r="C64" s="2442">
        <f t="shared" si="36"/>
        <v>183.61041121036101</v>
      </c>
      <c r="D64" s="2442">
        <f t="shared" si="20"/>
        <v>183.61041121036101</v>
      </c>
      <c r="E64" s="2442">
        <f t="shared" si="37"/>
        <v>276.66850301795557</v>
      </c>
      <c r="F64" s="2442">
        <f t="shared" si="37"/>
        <v>165.1360938278614</v>
      </c>
      <c r="G64" s="3683">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1886</v>
      </c>
      <c r="B65" s="2489">
        <f t="shared" si="36"/>
        <v>196.62341248059772</v>
      </c>
      <c r="C65" s="2489">
        <f t="shared" si="36"/>
        <v>170.99125648199012</v>
      </c>
      <c r="D65" s="2489">
        <f t="shared" si="20"/>
        <v>170.99125648199012</v>
      </c>
      <c r="E65" s="2489">
        <f t="shared" si="37"/>
        <v>266.07857570490052</v>
      </c>
      <c r="F65" s="2489">
        <f t="shared" si="37"/>
        <v>154.53499328828505</v>
      </c>
      <c r="G65" s="3686">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1887</v>
      </c>
      <c r="B66" s="2460">
        <v>188</v>
      </c>
      <c r="C66" s="2460">
        <v>165</v>
      </c>
      <c r="D66" s="2460">
        <f t="shared" si="20"/>
        <v>165</v>
      </c>
      <c r="E66" s="2460">
        <v>254</v>
      </c>
      <c r="F66" s="2461">
        <v>148</v>
      </c>
      <c r="G66" s="3685">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1888</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83">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1889</v>
      </c>
      <c r="B68" s="2442">
        <f t="shared" si="40"/>
        <v>168.82017748715555</v>
      </c>
      <c r="C68" s="2442">
        <f t="shared" si="40"/>
        <v>148.06267029972753</v>
      </c>
      <c r="D68" s="2442">
        <f t="shared" si="20"/>
        <v>148.06267029972753</v>
      </c>
      <c r="E68" s="2442">
        <f t="shared" si="41"/>
        <v>216.46288379323747</v>
      </c>
      <c r="F68" s="2442">
        <f t="shared" si="41"/>
        <v>134.23529411764704</v>
      </c>
      <c r="G68" s="3683">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1890</v>
      </c>
      <c r="B69" s="2442">
        <f t="shared" si="40"/>
        <v>163.84913591779542</v>
      </c>
      <c r="C69" s="2442">
        <f t="shared" si="40"/>
        <v>145.0283378746594</v>
      </c>
      <c r="D69" s="2442">
        <f t="shared" si="20"/>
        <v>145.0283378746594</v>
      </c>
      <c r="E69" s="2442">
        <f t="shared" si="41"/>
        <v>204.95180722891567</v>
      </c>
      <c r="F69" s="2442">
        <f t="shared" si="41"/>
        <v>125.95920303605313</v>
      </c>
      <c r="G69" s="3686">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1891</v>
      </c>
      <c r="B70" s="2467">
        <v>159</v>
      </c>
      <c r="C70" s="2467">
        <v>141</v>
      </c>
      <c r="D70" s="2467">
        <f t="shared" si="20"/>
        <v>141</v>
      </c>
      <c r="E70" s="2467">
        <v>195</v>
      </c>
      <c r="F70" s="2468">
        <v>122</v>
      </c>
      <c r="G70" s="3685">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1892</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83">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1893</v>
      </c>
      <c r="B72" s="2442">
        <f t="shared" si="44"/>
        <v>146.57412060301507</v>
      </c>
      <c r="C72" s="2442">
        <f t="shared" si="44"/>
        <v>136.46831955922866</v>
      </c>
      <c r="D72" s="2442">
        <f t="shared" si="20"/>
        <v>136.46831955922866</v>
      </c>
      <c r="E72" s="2442">
        <f t="shared" si="45"/>
        <v>166.73864894795128</v>
      </c>
      <c r="F72" s="2442">
        <f t="shared" si="45"/>
        <v>115.05882352941177</v>
      </c>
      <c r="G72" s="3683">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1894</v>
      </c>
      <c r="B73" s="2442">
        <f t="shared" si="44"/>
        <v>144.04145728643215</v>
      </c>
      <c r="C73" s="2442">
        <f t="shared" si="44"/>
        <v>136.12396694214877</v>
      </c>
      <c r="D73" s="2442">
        <f t="shared" si="20"/>
        <v>136.12396694214877</v>
      </c>
      <c r="E73" s="2442">
        <f t="shared" si="45"/>
        <v>158.32225913621264</v>
      </c>
      <c r="F73" s="2442">
        <f t="shared" si="45"/>
        <v>114.04278074866311</v>
      </c>
      <c r="G73" s="3686">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1895</v>
      </c>
      <c r="B74" s="2467">
        <v>138</v>
      </c>
      <c r="C74" s="2467">
        <v>131</v>
      </c>
      <c r="D74" s="2467">
        <f t="shared" si="20"/>
        <v>131</v>
      </c>
      <c r="E74" s="2467">
        <v>155</v>
      </c>
      <c r="F74" s="2468">
        <v>114</v>
      </c>
      <c r="G74" s="3685">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1896</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83">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1897</v>
      </c>
      <c r="B76" s="2442">
        <f t="shared" si="48"/>
        <v>124.29032258064517</v>
      </c>
      <c r="C76" s="2442">
        <f t="shared" si="48"/>
        <v>123.8968609865471</v>
      </c>
      <c r="D76" s="2442">
        <f t="shared" si="20"/>
        <v>123.8968609865471</v>
      </c>
      <c r="E76" s="2442">
        <f t="shared" si="49"/>
        <v>138.00507614213197</v>
      </c>
      <c r="F76" s="2442">
        <f t="shared" si="49"/>
        <v>107.96106557377048</v>
      </c>
      <c r="G76" s="3683">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1898</v>
      </c>
      <c r="B77" s="2442">
        <f t="shared" si="48"/>
        <v>122.57204301075269</v>
      </c>
      <c r="C77" s="2442">
        <f t="shared" si="48"/>
        <v>123.4932735426009</v>
      </c>
      <c r="D77" s="2442">
        <f t="shared" si="20"/>
        <v>123.4932735426009</v>
      </c>
      <c r="E77" s="2442">
        <f t="shared" si="49"/>
        <v>129.82233502538071</v>
      </c>
      <c r="F77" s="2442">
        <f t="shared" si="49"/>
        <v>107.39446721311475</v>
      </c>
      <c r="G77" s="3686">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1899</v>
      </c>
      <c r="B78" s="2486">
        <v>121</v>
      </c>
      <c r="C78" s="2486">
        <v>122</v>
      </c>
      <c r="D78" s="2486">
        <f t="shared" si="20"/>
        <v>122</v>
      </c>
      <c r="E78" s="2486">
        <v>124</v>
      </c>
      <c r="F78" s="2487">
        <v>107</v>
      </c>
      <c r="G78" s="3685">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1900</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83">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1901</v>
      </c>
      <c r="B80" s="2442">
        <f t="shared" si="52"/>
        <v>116.99099099099099</v>
      </c>
      <c r="C80" s="2442">
        <f t="shared" si="52"/>
        <v>118.84848484848486</v>
      </c>
      <c r="D80" s="2442">
        <f t="shared" si="20"/>
        <v>118.84848484848486</v>
      </c>
      <c r="E80" s="2442">
        <f t="shared" si="53"/>
        <v>117.60960960960961</v>
      </c>
      <c r="F80" s="2442">
        <f t="shared" si="53"/>
        <v>104</v>
      </c>
      <c r="G80" s="3683">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1902</v>
      </c>
      <c r="B81" s="2489">
        <f t="shared" si="52"/>
        <v>112.48648648648648</v>
      </c>
      <c r="C81" s="2489">
        <f t="shared" si="52"/>
        <v>115.21212121212122</v>
      </c>
      <c r="D81" s="2489">
        <f t="shared" si="20"/>
        <v>115.21212121212122</v>
      </c>
      <c r="E81" s="2489">
        <f t="shared" si="53"/>
        <v>110.4024024024024</v>
      </c>
      <c r="F81" s="2489">
        <f t="shared" si="53"/>
        <v>104</v>
      </c>
      <c r="G81" s="3686">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1903</v>
      </c>
      <c r="B82" s="2506">
        <v>111</v>
      </c>
      <c r="C82" s="2506">
        <v>114</v>
      </c>
      <c r="D82" s="2506">
        <f t="shared" si="20"/>
        <v>114</v>
      </c>
      <c r="E82" s="2506">
        <v>108</v>
      </c>
      <c r="F82" s="2507">
        <v>104</v>
      </c>
      <c r="G82" s="3685">
        <v>2003</v>
      </c>
      <c r="H82" s="2496">
        <v>4</v>
      </c>
      <c r="I82" s="2508"/>
      <c r="J82" s="2508"/>
      <c r="K82" s="2508"/>
      <c r="L82" s="2508"/>
      <c r="N82" s="2509"/>
      <c r="O82" s="2508"/>
      <c r="P82" s="2508"/>
      <c r="Q82" s="2508"/>
      <c r="S82" s="2509"/>
      <c r="T82" s="2508"/>
      <c r="U82" s="2508"/>
      <c r="V82" s="2508"/>
      <c r="X82" s="2500"/>
      <c r="Y82" s="2500"/>
      <c r="Z82" s="2500"/>
    </row>
    <row r="83" spans="1:26">
      <c r="A83" s="2441" t="s">
        <v>1904</v>
      </c>
      <c r="B83" s="2510">
        <f t="shared" ref="B83:C85" si="54">B84+(B$82-B$86)/4</f>
        <v>109.75</v>
      </c>
      <c r="C83" s="2510">
        <f t="shared" si="54"/>
        <v>112.25</v>
      </c>
      <c r="D83" s="2510">
        <f t="shared" si="20"/>
        <v>112.25</v>
      </c>
      <c r="E83" s="2510">
        <f t="shared" ref="E83:F85" si="55">E84+(E$82-E$86)/4</f>
        <v>107.25</v>
      </c>
      <c r="F83" s="2510">
        <f t="shared" si="55"/>
        <v>103.5</v>
      </c>
      <c r="G83" s="3683">
        <v>2003</v>
      </c>
      <c r="H83" s="2465">
        <v>3</v>
      </c>
      <c r="I83" s="2508"/>
      <c r="J83" s="2508"/>
      <c r="K83" s="2508"/>
      <c r="L83" s="2508"/>
      <c r="X83" s="2500"/>
      <c r="Y83" s="2500"/>
      <c r="Z83" s="2500"/>
    </row>
    <row r="84" spans="1:26">
      <c r="A84" s="2441" t="s">
        <v>1905</v>
      </c>
      <c r="B84" s="2510">
        <f t="shared" si="54"/>
        <v>108.5</v>
      </c>
      <c r="C84" s="2510">
        <f t="shared" si="54"/>
        <v>110.5</v>
      </c>
      <c r="D84" s="2510">
        <f t="shared" si="20"/>
        <v>110.5</v>
      </c>
      <c r="E84" s="2510">
        <f t="shared" si="55"/>
        <v>106.5</v>
      </c>
      <c r="F84" s="2510">
        <f t="shared" si="55"/>
        <v>103</v>
      </c>
      <c r="G84" s="3683">
        <v>2003</v>
      </c>
      <c r="H84" s="2456">
        <v>2</v>
      </c>
      <c r="I84" s="2508"/>
      <c r="J84" s="2508"/>
      <c r="K84" s="2508"/>
      <c r="L84" s="2508"/>
      <c r="X84" s="2500"/>
      <c r="Y84" s="2500"/>
      <c r="Z84" s="2500"/>
    </row>
    <row r="85" spans="1:26" ht="13.5" thickBot="1">
      <c r="A85" s="2441" t="s">
        <v>1906</v>
      </c>
      <c r="B85" s="2510">
        <f t="shared" si="54"/>
        <v>107.25</v>
      </c>
      <c r="C85" s="2510">
        <f t="shared" si="54"/>
        <v>108.75</v>
      </c>
      <c r="D85" s="2510">
        <f t="shared" si="20"/>
        <v>108.75</v>
      </c>
      <c r="E85" s="2510">
        <f t="shared" si="55"/>
        <v>105.75</v>
      </c>
      <c r="F85" s="2510">
        <f t="shared" si="55"/>
        <v>102.5</v>
      </c>
      <c r="G85" s="3686">
        <v>2003</v>
      </c>
      <c r="H85" s="2511">
        <v>1</v>
      </c>
      <c r="I85" s="2508"/>
      <c r="J85" s="2508"/>
      <c r="K85" s="2508"/>
      <c r="L85" s="2508"/>
      <c r="S85" s="2444"/>
      <c r="T85" s="2440"/>
      <c r="U85" s="2440"/>
      <c r="X85" s="2500"/>
      <c r="Y85" s="2500"/>
      <c r="Z85" s="2500"/>
    </row>
    <row r="86" spans="1:26" ht="13.5" thickBot="1">
      <c r="A86" s="2441" t="s">
        <v>1907</v>
      </c>
      <c r="B86" s="2512">
        <v>106</v>
      </c>
      <c r="C86" s="2512">
        <v>107</v>
      </c>
      <c r="D86" s="2512">
        <f t="shared" si="20"/>
        <v>107</v>
      </c>
      <c r="E86" s="2512">
        <v>105</v>
      </c>
      <c r="F86" s="2513">
        <v>102</v>
      </c>
      <c r="G86" s="3685">
        <v>2002</v>
      </c>
      <c r="H86" s="2462">
        <v>4</v>
      </c>
      <c r="I86" s="2508"/>
      <c r="J86" s="2508"/>
      <c r="K86" s="2508"/>
      <c r="L86" s="2508"/>
      <c r="N86" s="2509"/>
      <c r="O86" s="2508"/>
      <c r="P86" s="2508"/>
      <c r="Q86" s="2508"/>
      <c r="S86" s="2509"/>
      <c r="T86" s="2508"/>
      <c r="U86" s="2508"/>
      <c r="V86" s="2508"/>
      <c r="X86" s="2500"/>
      <c r="Y86" s="2500"/>
      <c r="Z86" s="2500"/>
    </row>
    <row r="87" spans="1:26">
      <c r="A87" s="2441" t="s">
        <v>1908</v>
      </c>
      <c r="B87" s="2510">
        <f t="shared" ref="B87:C89" si="56">B88+(B$86-B$90)/4</f>
        <v>105</v>
      </c>
      <c r="C87" s="2510">
        <f t="shared" si="56"/>
        <v>106</v>
      </c>
      <c r="D87" s="2510">
        <f t="shared" si="20"/>
        <v>106</v>
      </c>
      <c r="E87" s="2510">
        <f t="shared" ref="E87:F89" si="57">E88+(E$86-E$90)/4</f>
        <v>104.5</v>
      </c>
      <c r="F87" s="2510">
        <f t="shared" si="57"/>
        <v>101.5</v>
      </c>
      <c r="G87" s="3683">
        <v>2002</v>
      </c>
      <c r="H87" s="2465">
        <v>3</v>
      </c>
      <c r="I87" s="2508"/>
      <c r="J87" s="2508"/>
      <c r="K87" s="2508"/>
      <c r="L87" s="2508"/>
      <c r="X87" s="2500"/>
      <c r="Y87" s="2500"/>
      <c r="Z87" s="2500"/>
    </row>
    <row r="88" spans="1:26">
      <c r="A88" s="2441" t="s">
        <v>1909</v>
      </c>
      <c r="B88" s="2510">
        <f t="shared" si="56"/>
        <v>104</v>
      </c>
      <c r="C88" s="2510">
        <f t="shared" si="56"/>
        <v>105</v>
      </c>
      <c r="D88" s="2510">
        <f t="shared" si="20"/>
        <v>105</v>
      </c>
      <c r="E88" s="2510">
        <f t="shared" si="57"/>
        <v>104</v>
      </c>
      <c r="F88" s="2510">
        <f t="shared" si="57"/>
        <v>101</v>
      </c>
      <c r="G88" s="3683">
        <v>2002</v>
      </c>
      <c r="H88" s="2456">
        <v>2</v>
      </c>
      <c r="I88" s="2508"/>
      <c r="J88" s="2508"/>
      <c r="K88" s="2508"/>
      <c r="L88" s="2508"/>
      <c r="X88" s="2500"/>
      <c r="Y88" s="2500"/>
      <c r="Z88" s="2500"/>
    </row>
    <row r="89" spans="1:26" s="2475" customFormat="1" ht="13.5" thickBot="1">
      <c r="A89" s="2471" t="s">
        <v>1910</v>
      </c>
      <c r="B89" s="2478">
        <f t="shared" si="56"/>
        <v>103</v>
      </c>
      <c r="C89" s="2478">
        <f t="shared" si="56"/>
        <v>104</v>
      </c>
      <c r="D89" s="2478">
        <f t="shared" si="20"/>
        <v>104</v>
      </c>
      <c r="E89" s="2478">
        <f t="shared" si="57"/>
        <v>103.5</v>
      </c>
      <c r="F89" s="2478">
        <f t="shared" si="57"/>
        <v>100.5</v>
      </c>
      <c r="G89" s="3686">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1911</v>
      </c>
      <c r="G92" s="2523"/>
      <c r="N92" s="2523"/>
      <c r="S92" s="2523"/>
    </row>
    <row r="93" spans="1:26" s="2522" customFormat="1">
      <c r="A93" s="2522" t="s">
        <v>1912</v>
      </c>
      <c r="G93" s="2523"/>
      <c r="N93" s="2523"/>
      <c r="S93" s="2523"/>
    </row>
    <row r="94" spans="1:26" s="2522" customFormat="1">
      <c r="A94" s="2522" t="s">
        <v>1913</v>
      </c>
      <c r="G94" s="2523"/>
      <c r="I94" s="2524"/>
      <c r="J94" s="2524"/>
      <c r="K94" s="2524"/>
      <c r="L94" s="2524"/>
      <c r="N94" s="2525"/>
      <c r="O94" s="2524"/>
      <c r="P94" s="2524"/>
      <c r="Q94" s="2524"/>
      <c r="S94" s="2525"/>
      <c r="T94" s="2524"/>
      <c r="U94" s="2524"/>
      <c r="V94" s="2524"/>
    </row>
    <row r="95" spans="1:26" s="2522" customFormat="1">
      <c r="A95" s="2522" t="s">
        <v>1914</v>
      </c>
      <c r="G95" s="2523"/>
      <c r="N95" s="2523"/>
      <c r="S95" s="2523"/>
    </row>
    <row r="102" spans="7:22" ht="13.5" thickBot="1"/>
    <row r="103" spans="7:22">
      <c r="G103" s="2439"/>
      <c r="S103" s="2526" t="s">
        <v>1915</v>
      </c>
      <c r="T103" s="2465" t="s">
        <v>1916</v>
      </c>
      <c r="U103" s="2465" t="s">
        <v>1917</v>
      </c>
      <c r="V103" s="2465" t="s">
        <v>1918</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topLeftCell="B1" zoomScale="80" zoomScaleNormal="80" workbookViewId="0">
      <selection activeCell="AE39" sqref="AE39"/>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2">
        <f>基准地价!G23</f>
        <v>45817</v>
      </c>
      <c r="B1" s="3089" t="s">
        <v>3252</v>
      </c>
      <c r="C1" s="3090"/>
      <c r="D1" s="3090"/>
      <c r="E1" s="3090"/>
      <c r="F1" s="3090"/>
      <c r="G1" s="3090"/>
      <c r="H1" s="3090"/>
      <c r="I1" s="3090"/>
      <c r="J1" s="3091"/>
      <c r="K1" s="3090" t="s">
        <v>2777</v>
      </c>
      <c r="L1" s="3090"/>
      <c r="M1" s="3090"/>
      <c r="N1" s="3090"/>
      <c r="O1" s="3090"/>
      <c r="P1" s="3090"/>
      <c r="Q1" s="3091"/>
      <c r="R1" s="3693" t="s">
        <v>2785</v>
      </c>
      <c r="S1" s="3694"/>
      <c r="T1" s="3694"/>
      <c r="U1" s="3694"/>
      <c r="V1" s="3694"/>
      <c r="W1" s="3694"/>
      <c r="X1" s="3091"/>
      <c r="Y1" s="3693" t="s">
        <v>2796</v>
      </c>
      <c r="Z1" s="3694"/>
      <c r="AA1" s="3694"/>
      <c r="AB1" s="3694"/>
      <c r="AC1" s="3694"/>
      <c r="AD1" s="3694"/>
    </row>
    <row r="2" spans="1:44" ht="14.25" thickBot="1">
      <c r="A2" s="3084"/>
      <c r="B2" s="3092"/>
      <c r="C2" s="3093"/>
      <c r="D2" s="2422" t="s">
        <v>2779</v>
      </c>
      <c r="E2" s="2423" t="s">
        <v>2780</v>
      </c>
      <c r="F2" s="2423" t="s">
        <v>2781</v>
      </c>
      <c r="G2" s="2423" t="s">
        <v>2782</v>
      </c>
      <c r="H2" s="2423" t="s">
        <v>2783</v>
      </c>
      <c r="I2" s="2423" t="s">
        <v>2725</v>
      </c>
      <c r="J2" s="3094"/>
      <c r="K2" s="2422" t="s">
        <v>2779</v>
      </c>
      <c r="L2" s="2423" t="s">
        <v>2780</v>
      </c>
      <c r="M2" s="2423" t="s">
        <v>2781</v>
      </c>
      <c r="N2" s="2423" t="s">
        <v>2782</v>
      </c>
      <c r="O2" s="2423" t="s">
        <v>2783</v>
      </c>
      <c r="P2" s="2423" t="s">
        <v>2725</v>
      </c>
      <c r="Q2" s="3094"/>
      <c r="R2" s="2422" t="s">
        <v>2786</v>
      </c>
      <c r="S2" s="2423" t="s">
        <v>2787</v>
      </c>
      <c r="T2" s="2423" t="s">
        <v>2788</v>
      </c>
      <c r="U2" s="2423" t="s">
        <v>2789</v>
      </c>
      <c r="V2" s="2423" t="s">
        <v>2790</v>
      </c>
      <c r="W2" s="2423" t="s">
        <v>2791</v>
      </c>
      <c r="X2" s="3094"/>
      <c r="Y2" s="2422" t="s">
        <v>2779</v>
      </c>
      <c r="Z2" s="2423" t="s">
        <v>1468</v>
      </c>
      <c r="AA2" s="2423" t="s">
        <v>2797</v>
      </c>
      <c r="AB2" s="2423" t="s">
        <v>1467</v>
      </c>
      <c r="AC2" s="2423" t="s">
        <v>2783</v>
      </c>
      <c r="AD2" s="2423" t="s">
        <v>2442</v>
      </c>
      <c r="AF2" t="s">
        <v>3300</v>
      </c>
      <c r="AG2" t="s">
        <v>2726</v>
      </c>
      <c r="AH2" t="s">
        <v>1210</v>
      </c>
      <c r="AI2" t="s">
        <v>849</v>
      </c>
      <c r="AJ2" t="s">
        <v>903</v>
      </c>
      <c r="AK2" t="s">
        <v>2724</v>
      </c>
      <c r="AM2" t="s">
        <v>3300</v>
      </c>
      <c r="AN2" t="s">
        <v>2726</v>
      </c>
      <c r="AO2" t="s">
        <v>1210</v>
      </c>
      <c r="AP2" t="s">
        <v>849</v>
      </c>
      <c r="AQ2" t="s">
        <v>903</v>
      </c>
      <c r="AR2" t="s">
        <v>2724</v>
      </c>
    </row>
    <row r="3" spans="1:44">
      <c r="A3" s="3085" t="s">
        <v>2768</v>
      </c>
      <c r="B3" s="3095"/>
      <c r="C3" s="3096"/>
      <c r="D3" s="3096">
        <f>ROUND(AVERAGEIF(D4:D24,"&lt;&gt;0"),2)</f>
        <v>0.39</v>
      </c>
      <c r="E3" s="3096">
        <f>ROUND(AVERAGEIF(E4:E24,"&lt;&gt;0"),2)</f>
        <v>0.21</v>
      </c>
      <c r="F3" s="3096">
        <f>ROUND(AVERAGEIF(F4:F24,"&lt;&gt;0"),2)</f>
        <v>-0.06</v>
      </c>
      <c r="G3" s="3096">
        <f>ROUND(AVERAGEIF(G4:G24,"&lt;&gt;0"),2)</f>
        <v>0.46</v>
      </c>
      <c r="H3" s="3096">
        <f>ROUND(AVERAGEIF(H4:H24,"&lt;&gt;0"),2)</f>
        <v>0.51</v>
      </c>
      <c r="I3" s="3096">
        <f>F3</f>
        <v>-0.06</v>
      </c>
      <c r="J3" s="3097"/>
      <c r="K3" s="3098">
        <f>ROUND(AVERAGEIF(K4:K24,"&lt;&gt;0"),4)</f>
        <v>3.8999999999999998E-3</v>
      </c>
      <c r="L3" s="3099">
        <f>ROUND(AVERAGEIF(L4:L24,"&lt;&gt;0"),4)</f>
        <v>2.0999999999999999E-3</v>
      </c>
      <c r="M3" s="3099">
        <f>ROUND(AVERAGEIF(M4:M24,"&lt;&gt;0"),4)</f>
        <v>-5.9999999999999995E-4</v>
      </c>
      <c r="N3" s="3099">
        <f>ROUND(AVERAGEIF(N4:N24,"&lt;&gt;0"),4)</f>
        <v>4.5999999999999999E-3</v>
      </c>
      <c r="O3" s="3099">
        <f>ROUND(AVERAGEIF(O4:O24,"&lt;&gt;0"),4)</f>
        <v>5.1000000000000004E-3</v>
      </c>
      <c r="P3" s="3099">
        <f>M3</f>
        <v>-5.9999999999999995E-4</v>
      </c>
      <c r="Q3" s="3097"/>
      <c r="R3" s="3112">
        <f>ROUND(SUMPRODUCT(PRODUCT(1+K4:K24)),4)</f>
        <v>1.0674999999999999</v>
      </c>
      <c r="S3" s="3113">
        <f>ROUND(SUMPRODUCT(PRODUCT(1+L4:L24)),4)</f>
        <v>1.0355000000000001</v>
      </c>
      <c r="T3" s="3113">
        <f>ROUND(SUMPRODUCT(PRODUCT(1+M4:M24)),4)</f>
        <v>0.98880000000000001</v>
      </c>
      <c r="U3" s="3113">
        <f>ROUND(SUMPRODUCT(PRODUCT(1+N4:N24)),4)</f>
        <v>1.0798000000000001</v>
      </c>
      <c r="V3" s="3113">
        <f>ROUND(SUMPRODUCT(PRODUCT(1+O4:O24)),4)</f>
        <v>1.0911</v>
      </c>
      <c r="W3" s="3112">
        <f>T3</f>
        <v>0.98880000000000001</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38"/>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3302</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1.0571999999999999</v>
      </c>
      <c r="S5" s="3114">
        <f>ROUND(IF(项目基本情况!$B$8="出让",SUMPRODUCT(PRODUCT(1+L5:$L$24)),SUMPRODUCT(PRODUCT(1+L5:$L$23))),4)</f>
        <v>1.0339</v>
      </c>
      <c r="T5" s="3114">
        <f>ROUND(IF(项目基本情况!$B$8="出让",SUMPRODUCT(PRODUCT(1+M5:$M$24)),SUMPRODUCT(PRODUCT(1+M5:$M$23))),4)</f>
        <v>0.99129999999999996</v>
      </c>
      <c r="U5" s="3114">
        <f>ROUND(IF(项目基本情况!$B$8="出让",SUMPRODUCT(PRODUCT(1+N5:$N$24)),SUMPRODUCT(PRODUCT(1+N5:$N$23))),4)</f>
        <v>1.0679000000000001</v>
      </c>
      <c r="V5" s="3114">
        <f>ROUND(IF(项目基本情况!$B$8="出让",SUMPRODUCT(PRODUCT(1+O5:$O$24)),SUMPRODUCT(PRODUCT(1+O5:$O$23))),4)</f>
        <v>1.0871999999999999</v>
      </c>
      <c r="W5" s="3114">
        <f t="shared" ref="W5:W11" si="7">T5</f>
        <v>0.99129999999999996</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105.72</v>
      </c>
      <c r="AG5" s="3400">
        <f t="shared" ref="AG5" si="15">$AG$24*S5</f>
        <v>103.39</v>
      </c>
      <c r="AH5" s="3400">
        <f t="shared" ref="AH5" si="16">$AH$24*T5</f>
        <v>99.13</v>
      </c>
      <c r="AI5" s="3400">
        <f t="shared" ref="AI5" si="17">$AI$24*U5</f>
        <v>106.79</v>
      </c>
      <c r="AJ5" s="3400">
        <f t="shared" ref="AJ5" si="18">$AJ$24*V5</f>
        <v>108.72</v>
      </c>
      <c r="AK5" s="3400">
        <f t="shared" ref="AK5" si="19">$AK$24*W5</f>
        <v>99.13</v>
      </c>
      <c r="AM5" s="3399">
        <v>100</v>
      </c>
      <c r="AN5" s="3399">
        <v>100</v>
      </c>
      <c r="AO5" s="3399">
        <v>100</v>
      </c>
      <c r="AP5" s="3399">
        <v>100</v>
      </c>
      <c r="AQ5" s="3399">
        <v>100</v>
      </c>
      <c r="AR5" s="3399">
        <v>100</v>
      </c>
    </row>
    <row r="6" spans="1:44">
      <c r="A6" s="3388" t="s">
        <v>3301</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1.0571999999999999</v>
      </c>
      <c r="S6" s="3114">
        <f>ROUND(IF(项目基本情况!$B$8="出让",SUMPRODUCT(PRODUCT(1+L6:$L$24)),SUMPRODUCT(PRODUCT(1+L6:$L$23))),4)</f>
        <v>1.0339</v>
      </c>
      <c r="T6" s="3114">
        <f>ROUND(IF(项目基本情况!$B$8="出让",SUMPRODUCT(PRODUCT(1+M6:$M$24)),SUMPRODUCT(PRODUCT(1+M6:$M$23))),4)</f>
        <v>0.99129999999999996</v>
      </c>
      <c r="U6" s="3114">
        <f>ROUND(IF(项目基本情况!$B$8="出让",SUMPRODUCT(PRODUCT(1+N6:$N$24)),SUMPRODUCT(PRODUCT(1+N6:$N$23))),4)</f>
        <v>1.0679000000000001</v>
      </c>
      <c r="V6" s="3114">
        <f>ROUND(IF(项目基本情况!$B$8="出让",SUMPRODUCT(PRODUCT(1+O6:$O$24)),SUMPRODUCT(PRODUCT(1+O6:$O$23))),4)</f>
        <v>1.0871999999999999</v>
      </c>
      <c r="W6" s="3114">
        <f t="shared" si="7"/>
        <v>0.99129999999999996</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105.72</v>
      </c>
      <c r="AG6" s="3400">
        <f t="shared" ref="AG6" si="33">$AG$24*S6</f>
        <v>103.39</v>
      </c>
      <c r="AH6" s="3400">
        <f t="shared" ref="AH6" si="34">$AH$24*T6</f>
        <v>99.13</v>
      </c>
      <c r="AI6" s="3400">
        <f t="shared" ref="AI6" si="35">$AI$24*U6</f>
        <v>106.79</v>
      </c>
      <c r="AJ6" s="3400">
        <f t="shared" ref="AJ6" si="36">$AJ$24*V6</f>
        <v>108.72</v>
      </c>
      <c r="AK6" s="3400">
        <f t="shared" ref="AK6" si="37">$AK$24*W6</f>
        <v>99.13</v>
      </c>
      <c r="AM6" s="3400">
        <f>AM5/(1+D5/100)</f>
        <v>100</v>
      </c>
      <c r="AN6" s="3400">
        <f t="shared" ref="AN6:AR6" si="38">AN5/(1+E5/100)</f>
        <v>100</v>
      </c>
      <c r="AO6" s="3400">
        <f t="shared" si="38"/>
        <v>100</v>
      </c>
      <c r="AP6" s="3400">
        <f t="shared" si="38"/>
        <v>100</v>
      </c>
      <c r="AQ6" s="3400">
        <f t="shared" si="38"/>
        <v>100</v>
      </c>
      <c r="AR6" s="3400">
        <f t="shared" si="38"/>
        <v>100</v>
      </c>
    </row>
    <row r="7" spans="1:44">
      <c r="A7" s="3087" t="s">
        <v>3303</v>
      </c>
      <c r="B7" s="3138">
        <v>2025</v>
      </c>
      <c r="C7" s="3139">
        <v>2</v>
      </c>
      <c r="D7" s="3139">
        <v>0</v>
      </c>
      <c r="E7" s="3139">
        <v>0</v>
      </c>
      <c r="F7" s="3139">
        <v>0</v>
      </c>
      <c r="G7" s="3139">
        <v>0</v>
      </c>
      <c r="H7" s="3140">
        <v>0</v>
      </c>
      <c r="I7" s="3141">
        <f t="shared" ref="I7" si="39">F7</f>
        <v>0</v>
      </c>
      <c r="J7" s="3106"/>
      <c r="K7" s="3107">
        <f t="shared" ref="K7" si="40">D7/100</f>
        <v>0</v>
      </c>
      <c r="L7" s="3108">
        <f t="shared" ref="L7" si="41">E7/100</f>
        <v>0</v>
      </c>
      <c r="M7" s="3108">
        <f t="shared" ref="M7" si="42">F7/100</f>
        <v>0</v>
      </c>
      <c r="N7" s="3108">
        <f t="shared" ref="N7" si="43">G7/100</f>
        <v>0</v>
      </c>
      <c r="O7" s="3108">
        <f t="shared" ref="O7" si="44">H7/100</f>
        <v>0</v>
      </c>
      <c r="P7" s="3108">
        <f t="shared" si="6"/>
        <v>0</v>
      </c>
      <c r="Q7" s="3106"/>
      <c r="R7" s="3106">
        <f>ROUND(IF(项目基本情况!$B$8="出让",SUMPRODUCT(PRODUCT(1+K7:$K$24)),SUMPRODUCT(PRODUCT(1+K7:$K$23))),4)</f>
        <v>1.0571999999999999</v>
      </c>
      <c r="S7" s="3106">
        <f>ROUND(IF(项目基本情况!$B$8="出让",SUMPRODUCT(PRODUCT(1+L7:$L$24)),SUMPRODUCT(PRODUCT(1+L7:$L$23))),4)</f>
        <v>1.0339</v>
      </c>
      <c r="T7" s="3106">
        <f>ROUND(IF(项目基本情况!$B$8="出让",SUMPRODUCT(PRODUCT(1+M7:$M$24)),SUMPRODUCT(PRODUCT(1+M7:$M$23))),4)</f>
        <v>0.99129999999999996</v>
      </c>
      <c r="U7" s="3106">
        <f>ROUND(IF(项目基本情况!$B$8="出让",SUMPRODUCT(PRODUCT(1+N7:$N$24)),SUMPRODUCT(PRODUCT(1+N7:$N$23))),4)</f>
        <v>1.0679000000000001</v>
      </c>
      <c r="V7" s="3106">
        <f>ROUND(IF(项目基本情况!$B$8="出让",SUMPRODUCT(PRODUCT(1+O7:$O$24)),SUMPRODUCT(PRODUCT(1+O7:$O$23))),4)</f>
        <v>1.0871999999999999</v>
      </c>
      <c r="W7" s="3106">
        <f t="shared" si="7"/>
        <v>0.99129999999999996</v>
      </c>
      <c r="X7" s="3103"/>
      <c r="Y7" s="3105">
        <f t="shared" ref="Y7" si="45">IF(D7=0,0,ROUND(AVERAGE(D7:D20)/100,4))</f>
        <v>0</v>
      </c>
      <c r="Z7" s="3105">
        <f t="shared" ref="Z7" si="46">IF(E7=0,0,ROUND(AVERAGE(E7:E20)/100,4))</f>
        <v>0</v>
      </c>
      <c r="AA7" s="3105">
        <f t="shared" ref="AA7" si="47">IF(F7=0,0,ROUND(AVERAGE(F7:F20)/100,4))</f>
        <v>0</v>
      </c>
      <c r="AB7" s="3105">
        <f t="shared" ref="AB7" si="48">IF(G7=0,0,ROUND(AVERAGE(G7:G20)/100,4))</f>
        <v>0</v>
      </c>
      <c r="AC7" s="3105">
        <f t="shared" ref="AC7" si="49">IF(H7=0,0,ROUND(AVERAGE(H7:H20)/100,4))</f>
        <v>0</v>
      </c>
      <c r="AD7" s="3105">
        <f t="shared" ref="AD7" si="50">AA7</f>
        <v>0</v>
      </c>
      <c r="AF7" s="3400">
        <f t="shared" ref="AF7" si="51">$AF$24*R7</f>
        <v>105.72</v>
      </c>
      <c r="AG7" s="3400">
        <f t="shared" ref="AG7" si="52">$AG$24*S7</f>
        <v>103.39</v>
      </c>
      <c r="AH7" s="3400">
        <f t="shared" ref="AH7" si="53">$AH$24*T7</f>
        <v>99.13</v>
      </c>
      <c r="AI7" s="3400">
        <f t="shared" ref="AI7" si="54">$AI$24*U7</f>
        <v>106.79</v>
      </c>
      <c r="AJ7" s="3400">
        <f t="shared" ref="AJ7" si="55">$AJ$24*V7</f>
        <v>108.72</v>
      </c>
      <c r="AK7" s="3400">
        <f t="shared" ref="AK7" si="56">$AK$24*W7</f>
        <v>99.13</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3249</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100</v>
      </c>
      <c r="AN8" s="3400">
        <f t="shared" si="58"/>
        <v>100</v>
      </c>
      <c r="AO8" s="3400">
        <f t="shared" si="59"/>
        <v>100</v>
      </c>
      <c r="AP8" s="3400">
        <f t="shared" si="60"/>
        <v>100</v>
      </c>
      <c r="AQ8" s="3400">
        <f t="shared" si="61"/>
        <v>100</v>
      </c>
      <c r="AR8" s="3400">
        <f t="shared" si="62"/>
        <v>100</v>
      </c>
    </row>
    <row r="9" spans="1:44">
      <c r="A9" s="3388" t="s">
        <v>3304</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99.433230585661718</v>
      </c>
      <c r="AN9" s="3400">
        <f t="shared" si="58"/>
        <v>100.57326762546515</v>
      </c>
      <c r="AO9" s="3400">
        <f t="shared" si="59"/>
        <v>100.90817356205852</v>
      </c>
      <c r="AP9" s="3400">
        <f t="shared" si="60"/>
        <v>98.892405063291136</v>
      </c>
      <c r="AQ9" s="3400">
        <f t="shared" si="61"/>
        <v>99.581756622186816</v>
      </c>
      <c r="AR9" s="3400">
        <f t="shared" si="62"/>
        <v>100.90817356205852</v>
      </c>
    </row>
    <row r="10" spans="1:44">
      <c r="A10" s="3388" t="s">
        <v>3244</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100.45790117767399</v>
      </c>
      <c r="AN10" s="3400">
        <f t="shared" si="58"/>
        <v>101.05834769439826</v>
      </c>
      <c r="AO10" s="3400">
        <f t="shared" si="59"/>
        <v>101.670703840865</v>
      </c>
      <c r="AP10" s="3400">
        <f t="shared" si="60"/>
        <v>99.941793899233076</v>
      </c>
      <c r="AQ10" s="3400">
        <f t="shared" si="61"/>
        <v>99.502154898268216</v>
      </c>
      <c r="AR10" s="3400">
        <f t="shared" si="62"/>
        <v>101.670703840865</v>
      </c>
    </row>
    <row r="11" spans="1:44">
      <c r="A11" s="3086" t="s">
        <v>3250</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101.66774737139357</v>
      </c>
      <c r="AN11" s="3400">
        <f t="shared" si="58"/>
        <v>101.53556484918946</v>
      </c>
      <c r="AO11" s="3400">
        <f t="shared" si="59"/>
        <v>101.9664064194815</v>
      </c>
      <c r="AP11" s="3400">
        <f t="shared" si="60"/>
        <v>100.68687678746028</v>
      </c>
      <c r="AQ11" s="3400">
        <f t="shared" si="61"/>
        <v>99.711549151486338</v>
      </c>
      <c r="AR11" s="3400">
        <f t="shared" si="62"/>
        <v>101.9664064194815</v>
      </c>
    </row>
    <row r="12" spans="1:44">
      <c r="A12" s="3086" t="s">
        <v>3247</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102.27114713951673</v>
      </c>
      <c r="AN12" s="3400">
        <f t="shared" si="58"/>
        <v>101.74923824951344</v>
      </c>
      <c r="AO12" s="3400">
        <f t="shared" si="59"/>
        <v>103.3932330353696</v>
      </c>
      <c r="AP12" s="3400">
        <f t="shared" si="60"/>
        <v>101.95107005615662</v>
      </c>
      <c r="AQ12" s="3400">
        <f t="shared" si="61"/>
        <v>99.373678644096401</v>
      </c>
      <c r="AR12" s="3400">
        <f t="shared" si="62"/>
        <v>103.3932330353696</v>
      </c>
    </row>
    <row r="13" spans="1:44">
      <c r="A13" s="3086" t="s">
        <v>3242</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102.18939562301833</v>
      </c>
      <c r="AN13" s="3400">
        <f t="shared" si="58"/>
        <v>101.28333490893236</v>
      </c>
      <c r="AO13" s="3400">
        <f t="shared" si="59"/>
        <v>103.55892731908014</v>
      </c>
      <c r="AP13" s="3400">
        <f t="shared" si="60"/>
        <v>101.68668467599903</v>
      </c>
      <c r="AQ13" s="3400">
        <f t="shared" si="61"/>
        <v>98.79081284829148</v>
      </c>
      <c r="AR13" s="3400">
        <f t="shared" si="62"/>
        <v>103.55892731908014</v>
      </c>
    </row>
    <row r="14" spans="1:44">
      <c r="A14" s="3086" t="s">
        <v>3241</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101.99560397546495</v>
      </c>
      <c r="AN14" s="3400">
        <f t="shared" si="58"/>
        <v>101.04083690037147</v>
      </c>
      <c r="AO14" s="3400">
        <f t="shared" si="59"/>
        <v>103.72488713850174</v>
      </c>
      <c r="AP14" s="3400">
        <f t="shared" si="60"/>
        <v>101.51411068782971</v>
      </c>
      <c r="AQ14" s="3400">
        <f t="shared" si="61"/>
        <v>98.191842608380355</v>
      </c>
      <c r="AR14" s="3400">
        <f t="shared" si="62"/>
        <v>103.72488713850174</v>
      </c>
    </row>
    <row r="15" spans="1:44">
      <c r="A15" s="3086" t="s">
        <v>3239</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101.74125084834409</v>
      </c>
      <c r="AN15" s="3400">
        <f t="shared" si="58"/>
        <v>100.53814616952387</v>
      </c>
      <c r="AO15" s="3400">
        <f t="shared" si="59"/>
        <v>103.40433370401927</v>
      </c>
      <c r="AP15" s="3400">
        <f t="shared" si="60"/>
        <v>101.30137779446135</v>
      </c>
      <c r="AQ15" s="3400">
        <f t="shared" si="61"/>
        <v>97.771425478821428</v>
      </c>
      <c r="AR15" s="3400">
        <f t="shared" si="62"/>
        <v>103.40433370401927</v>
      </c>
    </row>
    <row r="16" spans="1:44">
      <c r="A16" s="3086" t="s">
        <v>3237</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100.82375468074926</v>
      </c>
      <c r="AN16" s="3400">
        <f t="shared" si="58"/>
        <v>99.878945131654959</v>
      </c>
      <c r="AO16" s="3400">
        <f t="shared" si="59"/>
        <v>102.92060685181573</v>
      </c>
      <c r="AP16" s="3400">
        <f t="shared" si="60"/>
        <v>100.33813172985474</v>
      </c>
      <c r="AQ16" s="3400">
        <f t="shared" si="61"/>
        <v>97.082142268713554</v>
      </c>
      <c r="AR16" s="3400">
        <f t="shared" si="62"/>
        <v>102.92060685181573</v>
      </c>
    </row>
    <row r="17" spans="1:44">
      <c r="A17" s="3086" t="s">
        <v>3235</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99.934339063087791</v>
      </c>
      <c r="AN17" s="3400">
        <f t="shared" si="58"/>
        <v>99.145270132673176</v>
      </c>
      <c r="AO17" s="3400">
        <f t="shared" si="59"/>
        <v>102.3372843311283</v>
      </c>
      <c r="AP17" s="3400">
        <f t="shared" si="60"/>
        <v>99.423436117573061</v>
      </c>
      <c r="AQ17" s="3400">
        <f t="shared" si="61"/>
        <v>96.599146536033402</v>
      </c>
      <c r="AR17" s="3400">
        <f t="shared" si="62"/>
        <v>102.3372843311283</v>
      </c>
    </row>
    <row r="18" spans="1:44">
      <c r="A18" s="3086" t="s">
        <v>3232</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99.318563966495518</v>
      </c>
      <c r="AN18" s="3400">
        <f t="shared" si="58"/>
        <v>98.947375381909353</v>
      </c>
      <c r="AO18" s="3400">
        <f t="shared" si="59"/>
        <v>102.22483701041683</v>
      </c>
      <c r="AP18" s="3400">
        <f t="shared" si="60"/>
        <v>98.742115520481747</v>
      </c>
      <c r="AQ18" s="3400">
        <f t="shared" si="61"/>
        <v>96.089870223847001</v>
      </c>
      <c r="AR18" s="3400">
        <f t="shared" si="62"/>
        <v>102.22483701041683</v>
      </c>
    </row>
    <row r="19" spans="1:44">
      <c r="A19" s="3086" t="s">
        <v>3233</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98.667359394491882</v>
      </c>
      <c r="AN19" s="3400">
        <f t="shared" si="58"/>
        <v>98.631753769845844</v>
      </c>
      <c r="AO19" s="3400">
        <f t="shared" si="59"/>
        <v>101.99025941376517</v>
      </c>
      <c r="AP19" s="3400">
        <f t="shared" si="60"/>
        <v>98.036254488166932</v>
      </c>
      <c r="AQ19" s="3400">
        <f t="shared" si="61"/>
        <v>95.488293971824504</v>
      </c>
      <c r="AR19" s="3400">
        <f t="shared" si="62"/>
        <v>101.99025941376517</v>
      </c>
    </row>
    <row r="20" spans="1:44">
      <c r="A20" s="3086" t="s">
        <v>2769</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97.758208059538163</v>
      </c>
      <c r="AN20" s="3400">
        <f t="shared" si="58"/>
        <v>98.484027728253452</v>
      </c>
      <c r="AO20" s="3400">
        <f t="shared" si="59"/>
        <v>101.98006140762442</v>
      </c>
      <c r="AP20" s="3400">
        <f t="shared" si="60"/>
        <v>97.017570003134026</v>
      </c>
      <c r="AQ20" s="3400">
        <f t="shared" si="61"/>
        <v>94.468039149015155</v>
      </c>
      <c r="AR20" s="3400">
        <f t="shared" si="62"/>
        <v>101.98006140762442</v>
      </c>
    </row>
    <row r="21" spans="1:44">
      <c r="A21" s="3086" t="s">
        <v>2770</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96.895835126908679</v>
      </c>
      <c r="AN21" s="3400">
        <f t="shared" si="58"/>
        <v>98.0525963045136</v>
      </c>
      <c r="AO21" s="3400">
        <f t="shared" si="59"/>
        <v>101.60412614090308</v>
      </c>
      <c r="AP21" s="3400">
        <f t="shared" si="60"/>
        <v>96.095057451598677</v>
      </c>
      <c r="AQ21" s="3400">
        <f t="shared" si="61"/>
        <v>93.867288502598527</v>
      </c>
      <c r="AR21" s="3400">
        <f t="shared" si="62"/>
        <v>101.60412614090308</v>
      </c>
    </row>
    <row r="22" spans="1:44">
      <c r="A22" s="3086" t="s">
        <v>2771</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95.907982903007706</v>
      </c>
      <c r="AN22" s="3400">
        <f t="shared" si="58"/>
        <v>97.81783350410376</v>
      </c>
      <c r="AO22" s="3400">
        <f t="shared" si="59"/>
        <v>101.53305300380042</v>
      </c>
      <c r="AP22" s="3400">
        <f t="shared" si="60"/>
        <v>94.983747604624568</v>
      </c>
      <c r="AQ22" s="3400">
        <f t="shared" si="61"/>
        <v>93.353842369565911</v>
      </c>
      <c r="AR22" s="3400">
        <f t="shared" si="62"/>
        <v>101.53305300380042</v>
      </c>
    </row>
    <row r="23" spans="1:44">
      <c r="A23" s="3086" t="s">
        <v>2772</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95.459324079832498</v>
      </c>
      <c r="AN23" s="3400">
        <f t="shared" si="58"/>
        <v>97.418417990343357</v>
      </c>
      <c r="AO23" s="3400">
        <f t="shared" si="59"/>
        <v>101.28995710674424</v>
      </c>
      <c r="AP23" s="3400">
        <f t="shared" si="60"/>
        <v>94.530003587405034</v>
      </c>
      <c r="AQ23" s="3400">
        <f t="shared" si="61"/>
        <v>92.907884523851436</v>
      </c>
      <c r="AR23" s="3400">
        <f t="shared" si="62"/>
        <v>101.28995710674424</v>
      </c>
    </row>
    <row r="24" spans="1:44" ht="14.25" thickBot="1">
      <c r="A24" s="3088" t="s">
        <v>2773</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94.589104320087685</v>
      </c>
      <c r="AN24" s="3400">
        <f t="shared" si="58"/>
        <v>96.722019450301175</v>
      </c>
      <c r="AO24" s="3400">
        <f t="shared" si="59"/>
        <v>100.87636401428567</v>
      </c>
      <c r="AP24" s="3400">
        <f t="shared" si="60"/>
        <v>93.640419601193685</v>
      </c>
      <c r="AQ24" s="3400">
        <f t="shared" si="61"/>
        <v>91.978897657510586</v>
      </c>
      <c r="AR24" s="3400">
        <f t="shared" si="62"/>
        <v>100.87636401428567</v>
      </c>
    </row>
    <row r="25" spans="1:44" ht="14.25" thickTop="1"/>
    <row r="26" spans="1:44">
      <c r="A26" s="3387" t="s">
        <v>3254</v>
      </c>
    </row>
    <row r="27" spans="1:44">
      <c r="I27" s="2747" t="s">
        <v>2784</v>
      </c>
    </row>
    <row r="29" spans="1:44">
      <c r="A29" s="2438"/>
      <c r="B29" s="3089" t="s">
        <v>3253</v>
      </c>
      <c r="C29" s="3090"/>
      <c r="D29" s="3090"/>
      <c r="E29" s="3090"/>
      <c r="F29" s="3090"/>
      <c r="G29" s="3090"/>
      <c r="H29" s="3090"/>
      <c r="I29" s="3090"/>
      <c r="J29" s="3091"/>
      <c r="K29" s="3090" t="s">
        <v>2777</v>
      </c>
      <c r="L29" s="3090"/>
      <c r="M29" s="3090"/>
      <c r="N29" s="3090"/>
      <c r="O29" s="3090"/>
      <c r="P29" s="3090"/>
      <c r="Q29" s="3091"/>
      <c r="R29" s="3693" t="s">
        <v>2792</v>
      </c>
      <c r="S29" s="3694"/>
      <c r="T29" s="3694"/>
      <c r="U29" s="3694"/>
      <c r="V29" s="3694"/>
      <c r="W29" s="3694"/>
      <c r="X29" s="3091"/>
      <c r="Y29" s="3693" t="s">
        <v>1923</v>
      </c>
      <c r="Z29" s="3694"/>
      <c r="AA29" s="3694"/>
      <c r="AB29" s="3694"/>
      <c r="AC29" s="3694"/>
      <c r="AD29" s="3694"/>
    </row>
    <row r="30" spans="1:44" ht="14.25" thickBot="1">
      <c r="A30" s="3084"/>
      <c r="B30" s="3092"/>
      <c r="C30" s="3093"/>
      <c r="D30" s="2422" t="s">
        <v>2779</v>
      </c>
      <c r="E30" s="2423" t="s">
        <v>2780</v>
      </c>
      <c r="F30" s="2423" t="s">
        <v>2781</v>
      </c>
      <c r="G30" s="2423" t="s">
        <v>1467</v>
      </c>
      <c r="H30" s="2423"/>
      <c r="I30" s="2423" t="s">
        <v>2725</v>
      </c>
      <c r="J30" s="3094"/>
      <c r="K30" s="2422" t="s">
        <v>2779</v>
      </c>
      <c r="L30" s="2423" t="s">
        <v>2780</v>
      </c>
      <c r="M30" s="2423" t="s">
        <v>2781</v>
      </c>
      <c r="N30" s="2423" t="s">
        <v>2782</v>
      </c>
      <c r="O30" s="2423"/>
      <c r="P30" s="2423" t="s">
        <v>2725</v>
      </c>
      <c r="Q30" s="3094"/>
      <c r="R30" s="2422" t="s">
        <v>2793</v>
      </c>
      <c r="S30" s="2423" t="s">
        <v>2794</v>
      </c>
      <c r="T30" s="2423" t="s">
        <v>2781</v>
      </c>
      <c r="U30" s="2423" t="s">
        <v>1467</v>
      </c>
      <c r="V30" s="2423"/>
      <c r="W30" s="2423" t="s">
        <v>2795</v>
      </c>
      <c r="X30" s="3094"/>
      <c r="Y30" s="2422" t="s">
        <v>2778</v>
      </c>
      <c r="Z30" s="2423" t="s">
        <v>2780</v>
      </c>
      <c r="AA30" s="2423" t="s">
        <v>2781</v>
      </c>
      <c r="AB30" s="2423" t="s">
        <v>1467</v>
      </c>
      <c r="AC30" s="2423"/>
      <c r="AD30" s="2423" t="s">
        <v>2798</v>
      </c>
      <c r="AG30" t="s">
        <v>2726</v>
      </c>
      <c r="AH30" t="s">
        <v>1210</v>
      </c>
      <c r="AI30" t="s">
        <v>849</v>
      </c>
      <c r="AK30" t="s">
        <v>2724</v>
      </c>
      <c r="AN30" t="s">
        <v>2726</v>
      </c>
      <c r="AO30" t="s">
        <v>1210</v>
      </c>
      <c r="AP30" t="s">
        <v>849</v>
      </c>
      <c r="AR30" t="s">
        <v>2724</v>
      </c>
    </row>
    <row r="31" spans="1:44">
      <c r="A31" s="3085" t="s">
        <v>2774</v>
      </c>
      <c r="B31" s="3095"/>
      <c r="C31" s="3096"/>
      <c r="D31" s="3096"/>
      <c r="E31" s="3096">
        <f>ROUND(AVERAGEIF(E32:E52,"&lt;&gt;0"),2)</f>
        <v>0.11</v>
      </c>
      <c r="F31" s="3096">
        <f>ROUND(AVERAGEIF(F32:F52,"&lt;&gt;0"),2)</f>
        <v>7.0000000000000007E-2</v>
      </c>
      <c r="G31" s="3096">
        <f>ROUND(AVERAGEIF(G32:G52,"&lt;&gt;0"),2)</f>
        <v>0.26</v>
      </c>
      <c r="H31" s="3096"/>
      <c r="I31" s="3096">
        <f>F31</f>
        <v>7.0000000000000007E-2</v>
      </c>
      <c r="J31" s="3097"/>
      <c r="K31" s="3098"/>
      <c r="L31" s="3099">
        <f>ROUND(AVERAGEIF(L32:L52,"&lt;&gt;0"),4)</f>
        <v>1.1000000000000001E-3</v>
      </c>
      <c r="M31" s="3099">
        <f>ROUND(AVERAGEIF(M32:M52,"&lt;&gt;0"),4)</f>
        <v>6.9999999999999999E-4</v>
      </c>
      <c r="N31" s="3099">
        <f>ROUND(AVERAGEIF(N32:N52,"&lt;&gt;0"),4)</f>
        <v>2.5999999999999999E-3</v>
      </c>
      <c r="O31" s="3099"/>
      <c r="P31" s="3099">
        <f>M31</f>
        <v>6.9999999999999999E-4</v>
      </c>
      <c r="Q31" s="3097"/>
      <c r="R31" s="3112"/>
      <c r="S31" s="3113">
        <f>ROUND(SUMPRODUCT(PRODUCT(1+L32:L52)),4)</f>
        <v>1.0185</v>
      </c>
      <c r="T31" s="3113">
        <f>ROUND(SUMPRODUCT(PRODUCT(1+M32:M52)),4)</f>
        <v>1.012</v>
      </c>
      <c r="U31" s="3113">
        <f>ROUND(SUMPRODUCT(PRODUCT(1+N32:N52)),4)</f>
        <v>1.0436000000000001</v>
      </c>
      <c r="V31" s="3113"/>
      <c r="W31" s="3112">
        <f>T31</f>
        <v>1.012</v>
      </c>
      <c r="X31" s="3097"/>
      <c r="Y31" s="3119"/>
      <c r="Z31" s="3120">
        <f>ROUND(AVERAGEIF(Z32:Z52,"&lt;&gt;0"),4)</f>
        <v>3.7000000000000002E-3</v>
      </c>
      <c r="AA31" s="3121">
        <f>ROUND(AVERAGEIF(AA32:AA52,"&lt;&gt;0"),4)</f>
        <v>3.0000000000000001E-3</v>
      </c>
      <c r="AB31" s="3119">
        <f>ROUND(AVERAGEIF(AB32:AB52,"&lt;&gt;0"),4)</f>
        <v>6.8999999999999999E-3</v>
      </c>
      <c r="AC31" s="3122"/>
      <c r="AD31" s="3119">
        <f>AA31</f>
        <v>3.0000000000000001E-3</v>
      </c>
    </row>
    <row r="32" spans="1:44">
      <c r="A32" s="2438"/>
      <c r="B32" s="3100"/>
      <c r="C32" s="2438"/>
      <c r="D32" s="2438"/>
      <c r="E32" s="2438"/>
      <c r="F32" s="2438"/>
      <c r="G32" s="2438"/>
      <c r="H32" s="2438"/>
      <c r="I32" s="2438"/>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3302</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1.0148999999999999</v>
      </c>
      <c r="T33" s="3114">
        <f>ROUND(IF(项目基本情况!$B$8="出让",SUMPRODUCT(PRODUCT(1+M33:M$52)),SUMPRODUCT(PRODUCT(1+M33:M$51))),4)</f>
        <v>1.0072000000000001</v>
      </c>
      <c r="U33" s="3114">
        <f>ROUND(IF(项目基本情况!$B$8="出让",SUMPRODUCT(PRODUCT(1+N33:N$52)),SUMPRODUCT(PRODUCT(1+N33:N$51))),4)</f>
        <v>1.0335000000000001</v>
      </c>
      <c r="V33" s="3114"/>
      <c r="W33" s="3114">
        <f t="shared" ref="W33:W39" si="143">T33</f>
        <v>1.0072000000000001</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101.49</v>
      </c>
      <c r="AH33" s="3400">
        <f t="shared" ref="AH33:AH36" si="149">$AH$52*T33</f>
        <v>100.72000000000001</v>
      </c>
      <c r="AI33" s="3400">
        <f t="shared" ref="AI33:AI36" si="150">$AI$52*U33</f>
        <v>103.35000000000001</v>
      </c>
      <c r="AJ33" s="3400"/>
      <c r="AK33" s="3400">
        <f t="shared" ref="AK33:AK36" si="151">$AK$52*W33</f>
        <v>100.72000000000001</v>
      </c>
      <c r="AN33" s="3399">
        <v>100</v>
      </c>
      <c r="AO33" s="3399">
        <v>100</v>
      </c>
      <c r="AP33" s="3399">
        <v>100</v>
      </c>
      <c r="AQ33" s="3399"/>
      <c r="AR33" s="3399">
        <v>100</v>
      </c>
    </row>
    <row r="34" spans="1:44">
      <c r="A34" s="3388" t="s">
        <v>3301</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1.0148999999999999</v>
      </c>
      <c r="T34" s="3114">
        <f>ROUND(IF(项目基本情况!$B$8="出让",SUMPRODUCT(PRODUCT(1+M34:M$52)),SUMPRODUCT(PRODUCT(1+M34:M$51))),4)</f>
        <v>1.0072000000000001</v>
      </c>
      <c r="U34" s="3114">
        <f>ROUND(IF(项目基本情况!$B$8="出让",SUMPRODUCT(PRODUCT(1+N34:N$52)),SUMPRODUCT(PRODUCT(1+N34:N$51))),4)</f>
        <v>1.0335000000000001</v>
      </c>
      <c r="V34" s="3114"/>
      <c r="W34" s="3114">
        <f t="shared" si="143"/>
        <v>1.0072000000000001</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101.49</v>
      </c>
      <c r="AH34" s="3400">
        <f t="shared" si="149"/>
        <v>100.72000000000001</v>
      </c>
      <c r="AI34" s="3400">
        <f t="shared" si="150"/>
        <v>103.35000000000001</v>
      </c>
      <c r="AJ34" s="3400"/>
      <c r="AK34" s="3400">
        <f t="shared" si="151"/>
        <v>100.72000000000001</v>
      </c>
      <c r="AN34" s="3400">
        <f>AN33/(1+E33/100)</f>
        <v>100</v>
      </c>
      <c r="AO34" s="3400">
        <f t="shared" ref="AO34:AR34" si="159">AO33/(1+F33/100)</f>
        <v>100</v>
      </c>
      <c r="AP34" s="3400">
        <f t="shared" si="159"/>
        <v>100</v>
      </c>
      <c r="AQ34" s="3400"/>
      <c r="AR34" s="3400">
        <f t="shared" si="159"/>
        <v>100</v>
      </c>
    </row>
    <row r="35" spans="1:44">
      <c r="A35" s="3087" t="s">
        <v>3305</v>
      </c>
      <c r="B35" s="3138">
        <v>2025</v>
      </c>
      <c r="C35" s="3139">
        <v>2</v>
      </c>
      <c r="D35" s="3139"/>
      <c r="E35" s="3139">
        <v>0</v>
      </c>
      <c r="F35" s="3139">
        <v>0</v>
      </c>
      <c r="G35" s="3139">
        <v>0</v>
      </c>
      <c r="H35" s="3140"/>
      <c r="I35" s="3141">
        <f t="shared" ref="I35" si="160">F35</f>
        <v>0</v>
      </c>
      <c r="J35" s="3106"/>
      <c r="K35" s="3107"/>
      <c r="L35" s="3108">
        <f t="shared" ref="L35" si="161">E35/100</f>
        <v>0</v>
      </c>
      <c r="M35" s="3108">
        <f t="shared" ref="M35" si="162">F35/100</f>
        <v>0</v>
      </c>
      <c r="N35" s="3108">
        <f t="shared" ref="N35" si="163">G35/100</f>
        <v>0</v>
      </c>
      <c r="O35" s="3108"/>
      <c r="P35" s="3108">
        <f t="shared" si="142"/>
        <v>0</v>
      </c>
      <c r="Q35" s="3106"/>
      <c r="R35" s="3106"/>
      <c r="S35" s="3106">
        <f>ROUND(IF(项目基本情况!$B$8="出让",SUMPRODUCT(PRODUCT(1+L35:L$52)),SUMPRODUCT(PRODUCT(1+L35:L$51))),4)</f>
        <v>1.0148999999999999</v>
      </c>
      <c r="T35" s="3106">
        <f>ROUND(IF(项目基本情况!$B$8="出让",SUMPRODUCT(PRODUCT(1+M35:M$52)),SUMPRODUCT(PRODUCT(1+M35:M$51))),4)</f>
        <v>1.0072000000000001</v>
      </c>
      <c r="U35" s="3106">
        <f>ROUND(IF(项目基本情况!$B$8="出让",SUMPRODUCT(PRODUCT(1+N35:N$52)),SUMPRODUCT(PRODUCT(1+N35:N$51))),4)</f>
        <v>1.0335000000000001</v>
      </c>
      <c r="V35" s="3106"/>
      <c r="W35" s="3106">
        <f t="shared" si="143"/>
        <v>1.0072000000000001</v>
      </c>
      <c r="X35" s="3103"/>
      <c r="Y35" s="3105"/>
      <c r="Z35" s="3123">
        <f t="shared" ref="Z35" si="164">IF(E35=0,0,ROUND(AVERAGE(E35:E48)/100,4))</f>
        <v>0</v>
      </c>
      <c r="AA35" s="3123">
        <f t="shared" ref="AA35" si="165">IF(F35=0,0,ROUND(AVERAGE(F35:F48)/100,4))</f>
        <v>0</v>
      </c>
      <c r="AB35" s="3123">
        <f t="shared" ref="AB35" si="166">IF(G35=0,0,ROUND(AVERAGE(G35:G48)/100,4))</f>
        <v>0</v>
      </c>
      <c r="AC35" s="3125"/>
      <c r="AD35" s="3105">
        <f t="shared" si="147"/>
        <v>0</v>
      </c>
      <c r="AG35" s="3400">
        <f t="shared" si="148"/>
        <v>101.49</v>
      </c>
      <c r="AH35" s="3400">
        <f t="shared" si="149"/>
        <v>100.72000000000001</v>
      </c>
      <c r="AI35" s="3400">
        <f t="shared" si="150"/>
        <v>103.35000000000001</v>
      </c>
      <c r="AJ35" s="3400"/>
      <c r="AK35" s="3400">
        <f t="shared" si="151"/>
        <v>100.72000000000001</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3249</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v>
      </c>
      <c r="AO36" s="3400">
        <f t="shared" si="168"/>
        <v>100</v>
      </c>
      <c r="AP36" s="3400">
        <f t="shared" si="169"/>
        <v>100</v>
      </c>
      <c r="AQ36" s="3400"/>
      <c r="AR36" s="3400">
        <f t="shared" si="170"/>
        <v>100</v>
      </c>
    </row>
    <row r="37" spans="1:44">
      <c r="A37" s="3388" t="s">
        <v>3304</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101.49193139145439</v>
      </c>
      <c r="AO37" s="3400">
        <f t="shared" si="168"/>
        <v>100.98969905069683</v>
      </c>
      <c r="AP37" s="3400">
        <f t="shared" si="169"/>
        <v>100.51261433309881</v>
      </c>
      <c r="AQ37" s="3400"/>
      <c r="AR37" s="3400">
        <f t="shared" si="170"/>
        <v>100.98969905069683</v>
      </c>
    </row>
    <row r="38" spans="1:44">
      <c r="A38" s="3388" t="s">
        <v>3245</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102.11483186583598</v>
      </c>
      <c r="AO38" s="3400">
        <f t="shared" si="168"/>
        <v>101.71185320847701</v>
      </c>
      <c r="AP38" s="3400">
        <f t="shared" si="169"/>
        <v>101.4049781407373</v>
      </c>
      <c r="AQ38" s="3400"/>
      <c r="AR38" s="3400">
        <f t="shared" si="170"/>
        <v>101.71185320847701</v>
      </c>
    </row>
    <row r="39" spans="1:44">
      <c r="A39" s="3086" t="s">
        <v>3251</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102.79326743087979</v>
      </c>
      <c r="AO39" s="3400">
        <f t="shared" si="168"/>
        <v>102.24351950992863</v>
      </c>
      <c r="AP39" s="3400">
        <f t="shared" si="169"/>
        <v>104.40129531631555</v>
      </c>
      <c r="AQ39" s="3400"/>
      <c r="AR39" s="3400">
        <f t="shared" si="170"/>
        <v>102.24351950992863</v>
      </c>
    </row>
    <row r="40" spans="1:44">
      <c r="A40" s="3086" t="s">
        <v>3248</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103.11291747505246</v>
      </c>
      <c r="AO40" s="3400">
        <f t="shared" si="168"/>
        <v>102.64383044867849</v>
      </c>
      <c r="AP40" s="3400">
        <f t="shared" si="169"/>
        <v>103.13276233953923</v>
      </c>
      <c r="AQ40" s="3400"/>
      <c r="AR40" s="3400">
        <f t="shared" si="170"/>
        <v>102.64383044867849</v>
      </c>
    </row>
    <row r="41" spans="1:44">
      <c r="A41" s="3086" t="s">
        <v>3243</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102.85577802997751</v>
      </c>
      <c r="AO41" s="3400">
        <f t="shared" si="168"/>
        <v>102.23489088513793</v>
      </c>
      <c r="AP41" s="3400">
        <f t="shared" si="169"/>
        <v>103.78661803314806</v>
      </c>
      <c r="AQ41" s="3400"/>
      <c r="AR41" s="3400">
        <f t="shared" si="170"/>
        <v>102.23489088513793</v>
      </c>
    </row>
    <row r="42" spans="1:44">
      <c r="A42" s="3086" t="s">
        <v>3241</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102.78382934943292</v>
      </c>
      <c r="AO42" s="3400">
        <f t="shared" si="168"/>
        <v>102.14296221914071</v>
      </c>
      <c r="AP42" s="3400">
        <f t="shared" si="169"/>
        <v>103.75549138573234</v>
      </c>
      <c r="AQ42" s="3400"/>
      <c r="AR42" s="3400">
        <f t="shared" si="170"/>
        <v>102.14296221914071</v>
      </c>
    </row>
    <row r="43" spans="1:44">
      <c r="A43" s="3086" t="s">
        <v>3240</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102.42534065713295</v>
      </c>
      <c r="AO43" s="3400">
        <f t="shared" si="168"/>
        <v>101.96961387555227</v>
      </c>
      <c r="AP43" s="3400">
        <f t="shared" si="169"/>
        <v>103.21875386563104</v>
      </c>
      <c r="AQ43" s="3400"/>
      <c r="AR43" s="3400">
        <f t="shared" si="170"/>
        <v>101.96961387555227</v>
      </c>
    </row>
    <row r="44" spans="1:44">
      <c r="A44" s="3086" t="s">
        <v>3238</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101.91576184789349</v>
      </c>
      <c r="AO44" s="3400">
        <f t="shared" si="168"/>
        <v>101.5128062474388</v>
      </c>
      <c r="AP44" s="3400">
        <f t="shared" si="169"/>
        <v>102.30821078960358</v>
      </c>
      <c r="AQ44" s="3400"/>
      <c r="AR44" s="3400">
        <f t="shared" si="170"/>
        <v>101.5128062474388</v>
      </c>
    </row>
    <row r="45" spans="1:44">
      <c r="A45" s="3086" t="s">
        <v>3236</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101.35829124604027</v>
      </c>
      <c r="AO45" s="3400">
        <f t="shared" si="168"/>
        <v>100.91739362505101</v>
      </c>
      <c r="AP45" s="3400">
        <f t="shared" si="169"/>
        <v>101.6576021359336</v>
      </c>
      <c r="AQ45" s="3400"/>
      <c r="AR45" s="3400">
        <f t="shared" si="170"/>
        <v>100.91739362505101</v>
      </c>
    </row>
    <row r="46" spans="1:44">
      <c r="A46" s="3086" t="s">
        <v>3234</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100.90422224593357</v>
      </c>
      <c r="AO46" s="3400">
        <f t="shared" si="168"/>
        <v>100.71596170164771</v>
      </c>
      <c r="AP46" s="3400">
        <f t="shared" si="169"/>
        <v>101.2727656265527</v>
      </c>
      <c r="AQ46" s="3400"/>
      <c r="AR46" s="3400">
        <f t="shared" si="170"/>
        <v>100.71596170164771</v>
      </c>
    </row>
    <row r="47" spans="1:44">
      <c r="A47" s="3086" t="s">
        <v>3233</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100.60241500093079</v>
      </c>
      <c r="AO47" s="3400">
        <f t="shared" si="168"/>
        <v>100.42472998469212</v>
      </c>
      <c r="AP47" s="3400">
        <f t="shared" si="169"/>
        <v>100.43912092289268</v>
      </c>
      <c r="AQ47" s="3400"/>
      <c r="AR47" s="3400">
        <f t="shared" si="170"/>
        <v>100.42472998469212</v>
      </c>
    </row>
    <row r="48" spans="1:44">
      <c r="A48" s="3086" t="s">
        <v>2769</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100.71319952040324</v>
      </c>
      <c r="AO48" s="3400">
        <f t="shared" si="168"/>
        <v>100.55545207238622</v>
      </c>
      <c r="AP48" s="3400">
        <f t="shared" si="169"/>
        <v>99.90960004266654</v>
      </c>
      <c r="AQ48" s="3400"/>
      <c r="AR48" s="3400">
        <f t="shared" si="170"/>
        <v>100.55545207238622</v>
      </c>
    </row>
    <row r="49" spans="1:44">
      <c r="A49" s="3086" t="s">
        <v>2770</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100.11252437415828</v>
      </c>
      <c r="AO49" s="3400">
        <f t="shared" si="168"/>
        <v>100.10497966389867</v>
      </c>
      <c r="AP49" s="3400">
        <f t="shared" si="169"/>
        <v>99.382870827281934</v>
      </c>
      <c r="AQ49" s="3400"/>
      <c r="AR49" s="3400">
        <f t="shared" si="170"/>
        <v>100.10497966389867</v>
      </c>
    </row>
    <row r="50" spans="1:44">
      <c r="A50" s="3086" t="s">
        <v>2771</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99.535220097592244</v>
      </c>
      <c r="AO50" s="3400">
        <f t="shared" si="168"/>
        <v>100.02495969614176</v>
      </c>
      <c r="AP50" s="3400">
        <f t="shared" si="169"/>
        <v>98.711631731507694</v>
      </c>
      <c r="AQ50" s="3400"/>
      <c r="AR50" s="3400">
        <f t="shared" si="170"/>
        <v>100.02495969614176</v>
      </c>
    </row>
    <row r="51" spans="1:44">
      <c r="A51" s="3086" t="s">
        <v>2775</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99.069593010443171</v>
      </c>
      <c r="AO51" s="3400">
        <f t="shared" si="168"/>
        <v>99.745671815059609</v>
      </c>
      <c r="AP51" s="3400">
        <f t="shared" si="169"/>
        <v>97.821456477561867</v>
      </c>
      <c r="AQ51" s="3400"/>
      <c r="AR51" s="3400">
        <f t="shared" si="170"/>
        <v>99.745671815059609</v>
      </c>
    </row>
    <row r="52" spans="1:44" ht="14.25" thickBot="1">
      <c r="A52" s="3088" t="s">
        <v>2776</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98.527690711529758</v>
      </c>
      <c r="AO52" s="3400">
        <f t="shared" si="168"/>
        <v>99.288942678737428</v>
      </c>
      <c r="AP52" s="3400">
        <f t="shared" si="169"/>
        <v>96.757128068805017</v>
      </c>
      <c r="AQ52" s="3400"/>
      <c r="AR52" s="3400">
        <f t="shared" si="170"/>
        <v>99.288942678737428</v>
      </c>
    </row>
    <row r="53" spans="1:44" ht="14.25" thickTop="1"/>
    <row r="54" spans="1:44">
      <c r="A54" s="3387" t="s">
        <v>3255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1426</v>
      </c>
    </row>
    <row r="3" spans="1:4" ht="18.75">
      <c r="A3" s="1491" t="str">
        <f>项目基本情况!B5&amp;"："</f>
        <v>：</v>
      </c>
    </row>
    <row r="4" spans="1:4" ht="18.75">
      <c r="A4" s="1486" t="str">
        <f>"受贵公司委托，我公司对"&amp;项目基本情况!K2&amp;项目基本情况!B9&amp;"进行了预评估。"</f>
        <v>受贵公司委托，我公司对出让国有建设用地使用权抵押价格进行了预评估。</v>
      </c>
    </row>
    <row r="5" spans="1:4" ht="18.75">
      <c r="A5" s="1489" t="s">
        <v>1427</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16985.07平方米。根据《建设工程规划许可证》[]、《出让合同》[]，估价对象规划建筑面积为42462平方米。</v>
      </c>
    </row>
    <row r="7" spans="1:4" ht="56.25">
      <c r="A7" s="1490" t="s">
        <v>2027</v>
      </c>
    </row>
    <row r="8" spans="1:4" ht="18.75">
      <c r="A8" s="1489" t="s">
        <v>1428</v>
      </c>
    </row>
    <row r="9" spans="1:4" ht="75">
      <c r="A9" s="14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1542</v>
      </c>
    </row>
    <row r="11" spans="1:4" ht="18.75">
      <c r="A11" s="1475" t="str">
        <f>TEXT(项目基本情况!D3,"yyyy年m月d日;;")&amp;IF(项目基本情况!B3=项目基本情况!D3,"（评估专业人员勘察现场之日）","")</f>
        <v>2025年6月9日（评估专业人员勘察现场之日）</v>
      </c>
    </row>
    <row r="12" spans="1:4" ht="18.75">
      <c r="A12" s="1491" t="s">
        <v>1541</v>
      </c>
    </row>
    <row r="13" spans="1:4" ht="18.75">
      <c r="A13" s="1486" t="s">
        <v>2192</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1588</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1589</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根据《国有土地使用证》[]，估价对象（分摊）出让国有建设用地使用权面积为16985.07平方米。根据《建设工程规划许可证》[]、《出让合同》[]，估价对象规划建筑面积为42462平方米。</v>
      </c>
    </row>
    <row r="21" spans="1:1" ht="18.75">
      <c r="A21" s="1486" t="s">
        <v>1590</v>
      </c>
    </row>
    <row r="22" spans="1:1" ht="93.7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9月28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1591</v>
      </c>
    </row>
    <row r="25" spans="1:1" ht="75">
      <c r="A25" s="1486"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IF(项目基本情况!B9="市场价格","——",IF(项目基本情况!E9="——","",定义!C57))</f>
        <v/>
      </c>
    </row>
    <row r="29" spans="1:1" ht="18.75">
      <c r="A29" s="1491" t="s">
        <v>1543</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7" customWidth="1"/>
    <col min="2" max="2" width="12.5" style="2747" customWidth="1"/>
    <col min="3" max="3" width="12.125" style="2747" customWidth="1"/>
    <col min="4" max="4" width="16.625" style="2747" customWidth="1"/>
    <col min="5" max="5" width="12.5" style="2747" customWidth="1"/>
    <col min="6" max="6" width="12.75" style="2747" customWidth="1"/>
    <col min="7" max="16384" width="8.875" style="2747"/>
  </cols>
  <sheetData>
    <row r="1" spans="1:14" ht="20.25">
      <c r="A1" s="2750" t="s">
        <v>2199</v>
      </c>
      <c r="B1" s="2745"/>
      <c r="C1" s="2745"/>
      <c r="D1" s="2745"/>
      <c r="E1" s="2745"/>
      <c r="F1" s="2745"/>
      <c r="G1" s="2746"/>
      <c r="H1" s="2746"/>
      <c r="I1" s="2746"/>
      <c r="J1" s="2746"/>
      <c r="K1" s="2746"/>
      <c r="L1" s="2746"/>
      <c r="M1" s="2746"/>
      <c r="N1" s="2746"/>
    </row>
    <row r="2" spans="1:14" ht="14.25">
      <c r="A2" s="2751" t="s">
        <v>2194</v>
      </c>
      <c r="B2" s="2756">
        <f ca="1">SUMIF(B7:B14,"&lt;&gt;#ref!",B7:B14)</f>
        <v>0</v>
      </c>
      <c r="C2" s="2751" t="s">
        <v>2195</v>
      </c>
      <c r="D2" s="2748"/>
      <c r="E2" s="2748"/>
      <c r="F2" s="2748"/>
      <c r="G2" s="2746"/>
      <c r="H2" s="2746"/>
      <c r="I2" s="2746"/>
      <c r="J2" s="2746"/>
      <c r="K2" s="2746"/>
      <c r="L2" s="2746"/>
      <c r="M2" s="2746"/>
      <c r="N2" s="2746"/>
    </row>
    <row r="3" spans="1:14" ht="14.25">
      <c r="A3" s="2751" t="s">
        <v>2223</v>
      </c>
      <c r="B3" s="2756" t="e">
        <f ca="1">ROUND(B2*10000/E3,0)</f>
        <v>#DIV/0!</v>
      </c>
      <c r="C3" s="2751" t="s">
        <v>1594</v>
      </c>
      <c r="D3" s="2751" t="s">
        <v>2196</v>
      </c>
      <c r="E3" s="2749">
        <f ca="1">SUMIF(E7:E14,"&lt;&gt;#ref!",E7:E14)</f>
        <v>0</v>
      </c>
      <c r="F3" s="2748"/>
      <c r="G3" s="2746"/>
      <c r="H3" s="2746"/>
      <c r="I3" s="2746"/>
      <c r="J3" s="2746"/>
      <c r="K3" s="2746"/>
      <c r="L3" s="2746"/>
      <c r="M3" s="2746"/>
      <c r="N3" s="2746"/>
    </row>
    <row r="4" spans="1:14" ht="14.25">
      <c r="A4" s="2751" t="s">
        <v>2202</v>
      </c>
      <c r="B4" s="2756" t="e">
        <f ca="1">ROUND(B2*10000/E4,0)</f>
        <v>#DIV/0!</v>
      </c>
      <c r="C4" s="2751" t="s">
        <v>1594</v>
      </c>
      <c r="D4" s="2751" t="s">
        <v>2203</v>
      </c>
      <c r="E4" s="2749">
        <f ca="1">SUMIF(F7:F14,"&lt;&gt;#ref!",F7:F14)</f>
        <v>0</v>
      </c>
      <c r="F4" s="2748"/>
      <c r="G4" s="2746"/>
      <c r="H4" s="2746"/>
      <c r="I4" s="2746"/>
      <c r="J4" s="2746"/>
      <c r="K4" s="2746"/>
      <c r="L4" s="2746"/>
      <c r="M4" s="2746"/>
      <c r="N4" s="2746"/>
    </row>
    <row r="5" spans="1:14" ht="14.25">
      <c r="A5" s="2752"/>
      <c r="B5" s="2748"/>
      <c r="C5" s="2748"/>
      <c r="D5" s="2748"/>
      <c r="E5" s="2748"/>
      <c r="F5" s="2748"/>
      <c r="G5" s="2746"/>
      <c r="H5" s="2746"/>
      <c r="I5" s="2746"/>
      <c r="J5" s="2746"/>
      <c r="K5" s="2746"/>
      <c r="L5" s="2746"/>
      <c r="M5" s="2746"/>
      <c r="N5" s="2746"/>
    </row>
    <row r="6" spans="1:14" ht="28.5">
      <c r="A6" s="2753" t="s">
        <v>2200</v>
      </c>
      <c r="B6" s="2751" t="s">
        <v>2197</v>
      </c>
      <c r="C6" s="2353"/>
      <c r="D6" s="2748"/>
      <c r="E6" s="2751" t="s">
        <v>2198</v>
      </c>
      <c r="F6" s="2751" t="s">
        <v>2201</v>
      </c>
      <c r="G6" s="2746"/>
      <c r="H6" s="2746"/>
      <c r="I6" s="2746"/>
      <c r="J6" s="2746"/>
      <c r="K6" s="2746"/>
      <c r="L6" s="2746"/>
      <c r="M6" s="2746"/>
      <c r="N6" s="2746"/>
    </row>
    <row r="7" spans="1:14" ht="14.25">
      <c r="A7" s="2754"/>
      <c r="B7" s="2756" t="e">
        <f ca="1">SUMIF(INDIRECT("'"&amp;A7&amp;"'"&amp;"!A:A"),"总价",INDIRECT("'"&amp;A7&amp;"'"&amp;"!B:B"))</f>
        <v>#REF!</v>
      </c>
      <c r="C7" s="2751" t="s">
        <v>2195</v>
      </c>
      <c r="D7" s="2748"/>
      <c r="E7" s="2749" t="e">
        <f ca="1">SUMIF(INDIRECT("'"&amp;A7&amp;"'"&amp;"!C:C"),"建筑面积",INDIRECT("'"&amp;A7&amp;"'"&amp;"!D:D"))</f>
        <v>#REF!</v>
      </c>
      <c r="F7" s="2749" t="e">
        <f ca="1">SUMIF(INDIRECT("'"&amp;A7&amp;"'"&amp;"!E:E"),"土地面积",INDIRECT("'"&amp;A7&amp;"'"&amp;"!F:F"))</f>
        <v>#REF!</v>
      </c>
      <c r="G7" s="2746"/>
      <c r="H7" s="2746"/>
      <c r="I7" s="2746"/>
      <c r="J7" s="2746"/>
      <c r="K7" s="2746"/>
      <c r="L7" s="2746"/>
      <c r="M7" s="2746"/>
      <c r="N7" s="2746"/>
    </row>
    <row r="8" spans="1:14" ht="14.25">
      <c r="A8" s="2754"/>
      <c r="B8" s="2756" t="e">
        <f t="shared" ref="B8:B14" ca="1" si="0">SUMIF(INDIRECT("'"&amp;A8&amp;"'"&amp;"!A:A"),"总价",INDIRECT("'"&amp;A8&amp;"'"&amp;"!B:B"))</f>
        <v>#REF!</v>
      </c>
      <c r="C8" s="2751" t="s">
        <v>2195</v>
      </c>
      <c r="D8" s="2748"/>
      <c r="E8" s="2749" t="e">
        <f t="shared" ref="E8:E14" ca="1" si="1">SUMIF(INDIRECT("'"&amp;A8&amp;"'"&amp;"!C:C"),"建筑面积",INDIRECT("'"&amp;A8&amp;"'"&amp;"!D:D"))</f>
        <v>#REF!</v>
      </c>
      <c r="F8" s="2749" t="e">
        <f t="shared" ref="F8:F14" ca="1" si="2">SUMIF(INDIRECT("'"&amp;A8&amp;"'"&amp;"!E:E"),"土地面积",INDIRECT("'"&amp;A8&amp;"'"&amp;"!F:F"))</f>
        <v>#REF!</v>
      </c>
      <c r="G8" s="2746"/>
      <c r="H8" s="2746"/>
      <c r="I8" s="2746"/>
      <c r="J8" s="2746"/>
      <c r="K8" s="2746"/>
      <c r="L8" s="2746"/>
      <c r="M8" s="2746"/>
      <c r="N8" s="2746"/>
    </row>
    <row r="9" spans="1:14" ht="14.25">
      <c r="A9" s="2754"/>
      <c r="B9" s="2756" t="e">
        <f t="shared" ca="1" si="0"/>
        <v>#REF!</v>
      </c>
      <c r="C9" s="2751" t="s">
        <v>2195</v>
      </c>
      <c r="D9" s="2748"/>
      <c r="E9" s="2749" t="e">
        <f t="shared" ca="1" si="1"/>
        <v>#REF!</v>
      </c>
      <c r="F9" s="2749" t="e">
        <f t="shared" ca="1" si="2"/>
        <v>#REF!</v>
      </c>
      <c r="G9" s="2746"/>
      <c r="H9" s="2746"/>
      <c r="I9" s="2746"/>
      <c r="J9" s="2746"/>
      <c r="K9" s="2746"/>
      <c r="L9" s="2746"/>
      <c r="M9" s="2746"/>
      <c r="N9" s="2746"/>
    </row>
    <row r="10" spans="1:14" ht="14.25">
      <c r="A10" s="2754"/>
      <c r="B10" s="2756" t="e">
        <f t="shared" ca="1" si="0"/>
        <v>#REF!</v>
      </c>
      <c r="C10" s="2751" t="s">
        <v>2195</v>
      </c>
      <c r="D10" s="2748"/>
      <c r="E10" s="2749" t="e">
        <f t="shared" ca="1" si="1"/>
        <v>#REF!</v>
      </c>
      <c r="F10" s="2749" t="e">
        <f t="shared" ca="1" si="2"/>
        <v>#REF!</v>
      </c>
      <c r="G10" s="2746"/>
      <c r="H10" s="2746"/>
      <c r="I10" s="2746"/>
      <c r="J10" s="2746"/>
      <c r="K10" s="2746"/>
      <c r="L10" s="2746"/>
      <c r="M10" s="2746"/>
      <c r="N10" s="2746"/>
    </row>
    <row r="11" spans="1:14" ht="14.25">
      <c r="A11" s="2754"/>
      <c r="B11" s="2756" t="e">
        <f t="shared" ca="1" si="0"/>
        <v>#REF!</v>
      </c>
      <c r="C11" s="2751" t="s">
        <v>2195</v>
      </c>
      <c r="D11" s="2748"/>
      <c r="E11" s="2749" t="e">
        <f t="shared" ca="1" si="1"/>
        <v>#REF!</v>
      </c>
      <c r="F11" s="2749" t="e">
        <f t="shared" ca="1" si="2"/>
        <v>#REF!</v>
      </c>
      <c r="G11" s="2746"/>
      <c r="H11" s="2746"/>
      <c r="I11" s="2746"/>
      <c r="J11" s="2746"/>
      <c r="K11" s="2746"/>
      <c r="L11" s="2746"/>
      <c r="M11" s="2746"/>
      <c r="N11" s="2746"/>
    </row>
    <row r="12" spans="1:14" ht="14.25">
      <c r="A12" s="2754"/>
      <c r="B12" s="2756" t="e">
        <f t="shared" ca="1" si="0"/>
        <v>#REF!</v>
      </c>
      <c r="C12" s="2751" t="s">
        <v>2195</v>
      </c>
      <c r="D12" s="2748"/>
      <c r="E12" s="2749" t="e">
        <f t="shared" ca="1" si="1"/>
        <v>#REF!</v>
      </c>
      <c r="F12" s="2749" t="e">
        <f t="shared" ca="1" si="2"/>
        <v>#REF!</v>
      </c>
      <c r="G12" s="2746"/>
      <c r="H12" s="2746"/>
      <c r="I12" s="2746"/>
      <c r="J12" s="2746"/>
      <c r="K12" s="2746"/>
      <c r="L12" s="2746"/>
      <c r="M12" s="2746"/>
      <c r="N12" s="2746"/>
    </row>
    <row r="13" spans="1:14" ht="14.25">
      <c r="A13" s="2754"/>
      <c r="B13" s="2756" t="e">
        <f t="shared" ca="1" si="0"/>
        <v>#REF!</v>
      </c>
      <c r="C13" s="2751" t="s">
        <v>2195</v>
      </c>
      <c r="D13" s="2748"/>
      <c r="E13" s="2749" t="e">
        <f t="shared" ca="1" si="1"/>
        <v>#REF!</v>
      </c>
      <c r="F13" s="2749" t="e">
        <f t="shared" ca="1" si="2"/>
        <v>#REF!</v>
      </c>
      <c r="G13" s="2746"/>
      <c r="H13" s="2746"/>
      <c r="I13" s="2746"/>
      <c r="J13" s="2746"/>
      <c r="K13" s="2746"/>
      <c r="L13" s="2746"/>
      <c r="M13" s="2746"/>
      <c r="N13" s="2746"/>
    </row>
    <row r="14" spans="1:14" ht="14.25">
      <c r="A14" s="2755"/>
      <c r="B14" s="2756" t="e">
        <f t="shared" ca="1" si="0"/>
        <v>#REF!</v>
      </c>
      <c r="C14" s="2751" t="s">
        <v>2195</v>
      </c>
      <c r="D14" s="2748"/>
      <c r="E14" s="2749" t="e">
        <f t="shared" ca="1" si="1"/>
        <v>#REF!</v>
      </c>
      <c r="F14" s="2749" t="e">
        <f t="shared" ca="1" si="2"/>
        <v>#REF!</v>
      </c>
      <c r="G14" s="2746"/>
      <c r="H14" s="2746"/>
      <c r="I14" s="2746"/>
      <c r="J14" s="2746"/>
      <c r="K14" s="2746"/>
      <c r="L14" s="2746"/>
      <c r="M14" s="2746"/>
      <c r="N14" s="2746"/>
    </row>
    <row r="15" spans="1:14">
      <c r="A15" s="2746"/>
      <c r="B15" s="2746"/>
      <c r="C15" s="2746"/>
      <c r="D15" s="2746"/>
      <c r="E15" s="2746"/>
      <c r="F15" s="2746"/>
      <c r="G15" s="2746"/>
      <c r="H15" s="2746"/>
      <c r="I15" s="2746"/>
      <c r="J15" s="2746"/>
      <c r="K15" s="2746"/>
      <c r="L15" s="2746"/>
      <c r="M15" s="2746"/>
      <c r="N15" s="2746"/>
    </row>
    <row r="16" spans="1:14">
      <c r="A16" s="2746"/>
      <c r="B16" s="2746"/>
      <c r="C16" s="2746"/>
      <c r="D16" s="2746"/>
      <c r="E16" s="2746"/>
      <c r="F16" s="2746"/>
      <c r="G16" s="2746"/>
      <c r="H16" s="2746"/>
      <c r="I16" s="2746"/>
      <c r="J16" s="2746"/>
      <c r="K16" s="2746"/>
      <c r="L16" s="2746"/>
      <c r="M16" s="2746"/>
      <c r="N16" s="2746"/>
    </row>
    <row r="17" spans="1:14">
      <c r="A17" s="2746"/>
      <c r="B17" s="2746"/>
      <c r="C17" s="2746"/>
      <c r="D17" s="2746"/>
      <c r="E17" s="2746"/>
      <c r="F17" s="2746"/>
      <c r="G17" s="2746"/>
      <c r="H17" s="2746"/>
      <c r="I17" s="2746"/>
      <c r="J17" s="2746"/>
      <c r="K17" s="2746"/>
      <c r="L17" s="2746"/>
      <c r="M17" s="2746"/>
      <c r="N17" s="2746"/>
    </row>
    <row r="18" spans="1:14">
      <c r="A18" s="2746"/>
      <c r="B18" s="2746"/>
      <c r="C18" s="2746"/>
      <c r="D18" s="2746"/>
      <c r="E18" s="2746"/>
      <c r="F18" s="2746"/>
      <c r="G18" s="2746"/>
      <c r="H18" s="2746"/>
      <c r="I18" s="2746"/>
      <c r="J18" s="2746"/>
      <c r="K18" s="2746"/>
      <c r="L18" s="2746"/>
      <c r="M18" s="2746"/>
      <c r="N18" s="2746"/>
    </row>
    <row r="19" spans="1:14">
      <c r="A19" s="2746"/>
      <c r="B19" s="2746"/>
      <c r="C19" s="2746"/>
      <c r="D19" s="2746"/>
      <c r="E19" s="2746"/>
      <c r="F19" s="2746"/>
      <c r="G19" s="2746"/>
      <c r="H19" s="2746"/>
      <c r="I19" s="2746"/>
      <c r="J19" s="2746"/>
      <c r="K19" s="2746"/>
      <c r="L19" s="2746"/>
      <c r="M19" s="2746"/>
      <c r="N19" s="2746"/>
    </row>
    <row r="20" spans="1:14">
      <c r="A20" s="2746"/>
      <c r="B20" s="2746"/>
      <c r="C20" s="2746"/>
      <c r="D20" s="2746"/>
      <c r="E20" s="2746"/>
      <c r="F20" s="2746"/>
      <c r="G20" s="2746"/>
      <c r="H20" s="2746"/>
      <c r="I20" s="2746"/>
      <c r="J20" s="2746"/>
      <c r="K20" s="2746"/>
      <c r="L20" s="2746"/>
      <c r="M20" s="2746"/>
      <c r="N20" s="2746"/>
    </row>
    <row r="21" spans="1:14">
      <c r="A21" s="2746"/>
      <c r="B21" s="2746"/>
      <c r="C21" s="2746"/>
      <c r="D21" s="2746"/>
      <c r="E21" s="2746"/>
      <c r="F21" s="2746"/>
      <c r="G21" s="2746"/>
      <c r="H21" s="2746"/>
      <c r="I21" s="2746"/>
      <c r="J21" s="2746"/>
      <c r="K21" s="2746"/>
      <c r="L21" s="2746"/>
      <c r="M21" s="2746"/>
      <c r="N21" s="2746"/>
    </row>
    <row r="22" spans="1:14">
      <c r="A22" s="2746"/>
      <c r="B22" s="2746"/>
      <c r="C22" s="2746"/>
      <c r="D22" s="2746"/>
      <c r="E22" s="2746"/>
      <c r="F22" s="2746"/>
      <c r="G22" s="2746"/>
      <c r="H22" s="2746"/>
      <c r="I22" s="2746"/>
      <c r="J22" s="2746"/>
      <c r="K22" s="2746"/>
      <c r="L22" s="2746"/>
      <c r="M22" s="2746"/>
      <c r="N22" s="2746"/>
    </row>
    <row r="23" spans="1:14">
      <c r="A23" s="2746"/>
      <c r="B23" s="2746"/>
      <c r="C23" s="2746"/>
      <c r="D23" s="2746"/>
      <c r="E23" s="2746"/>
      <c r="F23" s="2746"/>
      <c r="G23" s="2746"/>
      <c r="H23" s="2746"/>
      <c r="I23" s="2746"/>
      <c r="J23" s="2746"/>
      <c r="K23" s="2746"/>
      <c r="L23" s="2746"/>
      <c r="M23" s="2746"/>
      <c r="N23" s="2746"/>
    </row>
    <row r="24" spans="1:14">
      <c r="A24" s="2746"/>
      <c r="B24" s="2746"/>
      <c r="C24" s="2746"/>
      <c r="D24" s="2746"/>
      <c r="E24" s="2746"/>
      <c r="F24" s="2746"/>
      <c r="G24" s="2746"/>
      <c r="H24" s="2746"/>
      <c r="I24" s="2746"/>
      <c r="J24" s="2746"/>
      <c r="K24" s="2746"/>
      <c r="L24" s="2746"/>
      <c r="M24" s="2746"/>
      <c r="N24" s="2746"/>
    </row>
    <row r="25" spans="1:14">
      <c r="A25" s="2746"/>
      <c r="B25" s="2746"/>
      <c r="C25" s="2746"/>
      <c r="D25" s="2746"/>
      <c r="E25" s="2746"/>
      <c r="F25" s="2746"/>
      <c r="G25" s="2746"/>
      <c r="H25" s="2746"/>
      <c r="I25" s="2746"/>
      <c r="J25" s="2746"/>
      <c r="K25" s="2746"/>
      <c r="L25" s="2746"/>
      <c r="M25" s="2746"/>
      <c r="N25" s="2746"/>
    </row>
    <row r="26" spans="1:14">
      <c r="A26" s="2746"/>
      <c r="B26" s="2746"/>
      <c r="C26" s="2746"/>
      <c r="D26" s="2746"/>
      <c r="E26" s="2746"/>
      <c r="F26" s="2746"/>
      <c r="G26" s="2746"/>
      <c r="H26" s="2746"/>
      <c r="I26" s="2746"/>
      <c r="J26" s="2746"/>
      <c r="K26" s="2746"/>
      <c r="L26" s="2746"/>
      <c r="M26" s="2746"/>
      <c r="N26" s="2746"/>
    </row>
    <row r="27" spans="1:14">
      <c r="A27" s="2746"/>
      <c r="B27" s="2746"/>
      <c r="C27" s="2746"/>
      <c r="D27" s="2746"/>
      <c r="E27" s="2746"/>
      <c r="F27" s="2746"/>
      <c r="G27" s="2746"/>
      <c r="H27" s="2746"/>
      <c r="I27" s="2746"/>
      <c r="J27" s="2746"/>
      <c r="K27" s="2746"/>
      <c r="L27" s="2746"/>
      <c r="M27" s="2746"/>
      <c r="N27" s="2746"/>
    </row>
    <row r="28" spans="1:14">
      <c r="A28" s="2746"/>
      <c r="B28" s="2746"/>
      <c r="C28" s="2746"/>
      <c r="D28" s="2746"/>
      <c r="E28" s="2746"/>
      <c r="F28" s="2746"/>
      <c r="G28" s="2746"/>
      <c r="H28" s="2746"/>
      <c r="I28" s="2746"/>
      <c r="J28" s="2746"/>
      <c r="K28" s="2746"/>
      <c r="L28" s="2746"/>
      <c r="M28" s="2746"/>
      <c r="N28" s="2746"/>
    </row>
    <row r="29" spans="1:14">
      <c r="A29" s="2746"/>
      <c r="B29" s="2746"/>
      <c r="C29" s="2746"/>
      <c r="D29" s="2746"/>
      <c r="E29" s="2746"/>
      <c r="F29" s="2746"/>
      <c r="G29" s="2746"/>
      <c r="H29" s="2746"/>
      <c r="I29" s="2746"/>
      <c r="J29" s="2746"/>
      <c r="K29" s="2746"/>
      <c r="L29" s="2746"/>
      <c r="M29" s="2746"/>
      <c r="N29" s="2746"/>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10" zoomScale="60" zoomScaleNormal="60" workbookViewId="0">
      <selection activeCell="F46" sqref="F46"/>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7" t="s">
        <v>574</v>
      </c>
      <c r="B1" s="675"/>
      <c r="C1" s="708" t="s">
        <v>2726</v>
      </c>
      <c r="D1" s="1661"/>
      <c r="E1" s="1945" t="s">
        <v>1726</v>
      </c>
      <c r="F1" s="1946" t="e">
        <f ca="1">J54</f>
        <v>#N/A</v>
      </c>
      <c r="G1" s="709" t="e">
        <f>MATCH(C1,'数据-取费表'!A6:A16,0)+5</f>
        <v>#N/A</v>
      </c>
      <c r="H1" s="1141"/>
      <c r="I1" s="1662"/>
      <c r="J1" s="1662"/>
      <c r="K1" s="1663"/>
      <c r="L1" s="1662"/>
      <c r="M1" s="1662"/>
      <c r="N1" s="1664"/>
      <c r="O1" s="1664"/>
      <c r="P1" s="1664"/>
      <c r="Q1" s="1664"/>
      <c r="R1" s="1664"/>
      <c r="S1" s="1664"/>
      <c r="T1" s="1664"/>
      <c r="U1" s="1664"/>
      <c r="V1" s="1664"/>
      <c r="W1" s="1664"/>
      <c r="X1" s="1664"/>
      <c r="Y1" s="1664"/>
    </row>
    <row r="2" spans="1:25" ht="18" customHeight="1">
      <c r="A2" s="1362" t="s">
        <v>575</v>
      </c>
      <c r="B2" s="710">
        <f ca="1">IF(ISERROR(C45+J31),0,C45+J31)</f>
        <v>0</v>
      </c>
      <c r="C2" s="1142"/>
      <c r="D2" s="1666"/>
      <c r="E2" s="1667"/>
      <c r="F2" s="1667"/>
      <c r="G2" s="1321"/>
      <c r="H2" s="1154"/>
      <c r="I2" s="1668"/>
      <c r="J2" s="1668"/>
      <c r="K2" s="1669"/>
      <c r="L2" s="1668"/>
      <c r="M2" s="1668"/>
    </row>
    <row r="3" spans="1:25" ht="18" customHeight="1">
      <c r="A3" s="1363" t="s">
        <v>1217</v>
      </c>
      <c r="B3" s="1175">
        <f ca="1">ROUND(B2*10000/'数据-汇总表'!E3,0)</f>
        <v>0</v>
      </c>
      <c r="C3" s="1142"/>
      <c r="D3" s="1666"/>
      <c r="E3" s="1667"/>
      <c r="F3" s="1667"/>
      <c r="G3" s="1321"/>
      <c r="H3" s="711" t="s">
        <v>640</v>
      </c>
      <c r="I3" s="1668"/>
      <c r="J3" s="1668"/>
      <c r="K3" s="1669"/>
      <c r="L3" s="1668"/>
      <c r="M3" s="1668"/>
    </row>
    <row r="4" spans="1:25" ht="18" customHeight="1">
      <c r="A4" s="1364" t="s">
        <v>641</v>
      </c>
      <c r="B4" s="1143">
        <f ca="1">ROUND(B2*10000/'数据-汇总表'!D3,0)</f>
        <v>0</v>
      </c>
      <c r="C4" s="398"/>
      <c r="D4" s="1666"/>
      <c r="E4" s="1667"/>
      <c r="F4" s="1667"/>
      <c r="G4" s="1321"/>
      <c r="H4" s="711"/>
      <c r="I4" s="1668"/>
      <c r="J4" s="1668"/>
      <c r="K4" s="1669"/>
      <c r="L4" s="1668"/>
      <c r="M4" s="1668"/>
    </row>
    <row r="5" spans="1:25" ht="18" customHeight="1" thickBot="1">
      <c r="A5" s="1365"/>
      <c r="B5" s="400">
        <f ca="1">ROUND(B2/('数据-汇总表'!D3/666.67),0)</f>
        <v>0</v>
      </c>
      <c r="C5" s="401" t="s">
        <v>642</v>
      </c>
      <c r="D5" s="1666"/>
      <c r="E5" s="1667"/>
      <c r="F5" s="1667"/>
      <c r="G5" s="1321"/>
      <c r="H5" s="711"/>
      <c r="I5" s="1668"/>
      <c r="J5" s="1668"/>
      <c r="K5" s="1669"/>
      <c r="L5" s="1668"/>
      <c r="M5" s="1668"/>
    </row>
    <row r="6" spans="1:25" ht="18" customHeight="1">
      <c r="A6" s="1517" t="s">
        <v>643</v>
      </c>
      <c r="B6" s="1511" t="s">
        <v>644</v>
      </c>
      <c r="C6" s="1511" t="s">
        <v>578</v>
      </c>
      <c r="D6" s="1511" t="s">
        <v>579</v>
      </c>
      <c r="E6" s="714" t="s">
        <v>580</v>
      </c>
      <c r="F6" s="715"/>
      <c r="G6" s="1142"/>
      <c r="H6" s="1517" t="s">
        <v>576</v>
      </c>
      <c r="I6" s="1511" t="s">
        <v>577</v>
      </c>
      <c r="J6" s="1511" t="s">
        <v>578</v>
      </c>
      <c r="K6" s="1511" t="s">
        <v>579</v>
      </c>
      <c r="L6" s="714" t="s">
        <v>580</v>
      </c>
      <c r="M6" s="715"/>
    </row>
    <row r="7" spans="1:25" ht="18" customHeight="1">
      <c r="A7" s="716">
        <v>1</v>
      </c>
      <c r="B7" s="717" t="s">
        <v>1800</v>
      </c>
      <c r="C7" s="49" t="e">
        <f ca="1">C8+C12+C14</f>
        <v>#N/A</v>
      </c>
      <c r="D7" s="1999" t="s">
        <v>1803</v>
      </c>
      <c r="E7" s="1993"/>
      <c r="F7" s="1994"/>
      <c r="G7" s="1142"/>
      <c r="H7" s="716">
        <v>1</v>
      </c>
      <c r="I7" s="717" t="s">
        <v>1800</v>
      </c>
      <c r="J7" s="49" t="e">
        <f ca="1">J8+J12+J14</f>
        <v>#N/A</v>
      </c>
      <c r="K7" s="1999" t="s">
        <v>1803</v>
      </c>
      <c r="L7" s="1993"/>
      <c r="M7" s="1994"/>
    </row>
    <row r="8" spans="1:25" ht="18" customHeight="1">
      <c r="A8" s="1519" t="s">
        <v>1351</v>
      </c>
      <c r="B8" s="3696" t="s">
        <v>1805</v>
      </c>
      <c r="C8" s="1514" t="e">
        <f ca="1">ROUND(F8*F10*F9*(1-F11)/10000,0)</f>
        <v>#N/A</v>
      </c>
      <c r="D8" s="317" t="s">
        <v>1815</v>
      </c>
      <c r="E8" s="57" t="s">
        <v>583</v>
      </c>
      <c r="F8" s="720" t="e">
        <f ca="1">INDIRECT("'数据-取费表'!u"&amp;$G$1)</f>
        <v>#N/A</v>
      </c>
      <c r="G8" s="1142"/>
      <c r="H8" s="2007" t="s">
        <v>1351</v>
      </c>
      <c r="I8" s="3696" t="s">
        <v>1805</v>
      </c>
      <c r="J8" s="718" t="e">
        <f ca="1">ROUND(M8*M10*M9*(1-M11)/10000,0)</f>
        <v>#N/A</v>
      </c>
      <c r="K8" s="315" t="s">
        <v>1815</v>
      </c>
      <c r="L8" s="719" t="s">
        <v>1265</v>
      </c>
      <c r="M8" s="720" t="e">
        <f ca="1">INDIRECT("'数据-取费表'!z"&amp;$G$1)</f>
        <v>#N/A</v>
      </c>
    </row>
    <row r="9" spans="1:25" ht="18" customHeight="1">
      <c r="A9" s="2003"/>
      <c r="B9" s="3697"/>
      <c r="C9" s="1515"/>
      <c r="D9" s="330"/>
      <c r="E9" s="57" t="s">
        <v>584</v>
      </c>
      <c r="F9" s="720" t="e">
        <f ca="1">IF(INDIRECT("'数据-取费表'!ah"&amp;$G$1)="",INDIRECT("'数据-取费表'!k"&amp;$G$1),INDIRECT("'数据-取费表'!ah"&amp;$G$1))</f>
        <v>#N/A</v>
      </c>
      <c r="G9" s="1142"/>
      <c r="H9" s="1992"/>
      <c r="I9" s="3697"/>
      <c r="J9" s="723"/>
      <c r="K9" s="724"/>
      <c r="L9" s="719" t="s">
        <v>1266</v>
      </c>
      <c r="M9" s="720" t="e">
        <f ca="1">F9</f>
        <v>#N/A</v>
      </c>
    </row>
    <row r="10" spans="1:25" ht="18" customHeight="1">
      <c r="A10" s="1996"/>
      <c r="B10" s="3698"/>
      <c r="C10" s="1515"/>
      <c r="D10" s="330"/>
      <c r="E10" s="57" t="s">
        <v>585</v>
      </c>
      <c r="F10" s="720" t="e">
        <f ca="1">INDIRECT("'数据-取费表'!ai"&amp;$G$1)</f>
        <v>#N/A</v>
      </c>
      <c r="G10" s="1142"/>
      <c r="H10" s="1992"/>
      <c r="I10" s="3698"/>
      <c r="J10" s="723"/>
      <c r="K10" s="724"/>
      <c r="L10" s="719" t="s">
        <v>1267</v>
      </c>
      <c r="M10" s="720" t="e">
        <f ca="1">INDIRECT("'数据-取费表'!ai"&amp;$G$1)</f>
        <v>#N/A</v>
      </c>
    </row>
    <row r="11" spans="1:25" ht="18" customHeight="1">
      <c r="A11" s="721"/>
      <c r="B11" s="3699"/>
      <c r="C11" s="1515"/>
      <c r="D11" s="330"/>
      <c r="E11" s="57" t="s">
        <v>586</v>
      </c>
      <c r="F11" s="729" t="e">
        <f ca="1">INDIRECT("'数据-取费表'!w"&amp;$G$1)</f>
        <v>#N/A</v>
      </c>
      <c r="G11" s="1142"/>
      <c r="H11" s="2008"/>
      <c r="I11" s="3698"/>
      <c r="J11" s="723"/>
      <c r="K11" s="724"/>
      <c r="L11" s="730" t="s">
        <v>1268</v>
      </c>
      <c r="M11" s="731" t="e">
        <f ca="1">INDIRECT("'数据-取费表'!ab"&amp;$G$1)</f>
        <v>#N/A</v>
      </c>
    </row>
    <row r="12" spans="1:25" ht="18" customHeight="1">
      <c r="A12" s="1519" t="s">
        <v>1352</v>
      </c>
      <c r="B12" s="1997" t="s">
        <v>1801</v>
      </c>
      <c r="C12" s="734" t="e">
        <f ca="1">ROUND(IF(F12="押一",C8/12*F13,IF(F12="押二",C8/12*2*F13,IF(F12="押三",C8/12*3*F13,C13*F13))),0)</f>
        <v>#N/A</v>
      </c>
      <c r="D12" s="2004" t="s">
        <v>2220</v>
      </c>
      <c r="E12" s="2001" t="s">
        <v>1806</v>
      </c>
      <c r="F12" s="2074" t="s">
        <v>3667</v>
      </c>
      <c r="G12" s="1142"/>
      <c r="H12" s="2035" t="s">
        <v>1352</v>
      </c>
      <c r="I12" s="2039" t="s">
        <v>1801</v>
      </c>
      <c r="J12" s="718">
        <f ca="1">ROUND(IF(M12="押一",J8/12*M13,IF(M12="押二",J8/12*2*M13,IF(M12="押三",J8/12*3*M13,J13*M13))),0)</f>
        <v>0</v>
      </c>
      <c r="K12" s="2004" t="s">
        <v>2220</v>
      </c>
      <c r="L12" s="2001" t="s">
        <v>1806</v>
      </c>
      <c r="M12" s="2074"/>
    </row>
    <row r="13" spans="1:25" ht="18" customHeight="1">
      <c r="A13" s="725"/>
      <c r="B13" s="1998" t="s">
        <v>1854</v>
      </c>
      <c r="C13" s="2002"/>
      <c r="D13" s="724"/>
      <c r="E13" s="2001" t="s">
        <v>1799</v>
      </c>
      <c r="F13" s="731">
        <f ca="1">'数据-取费表'!B39</f>
        <v>1.4999999999999999E-2</v>
      </c>
      <c r="G13" s="1142"/>
      <c r="H13" s="2036"/>
      <c r="I13" s="1998" t="s">
        <v>1854</v>
      </c>
      <c r="J13" s="2002"/>
      <c r="K13" s="287"/>
      <c r="L13" s="2001" t="s">
        <v>1799</v>
      </c>
      <c r="M13" s="1995">
        <f ca="1">'数据-取费表'!B39</f>
        <v>1.4999999999999999E-2</v>
      </c>
    </row>
    <row r="14" spans="1:25" ht="18" customHeight="1" thickBot="1">
      <c r="A14" s="2011" t="s">
        <v>1809</v>
      </c>
      <c r="B14" s="2012" t="s">
        <v>1802</v>
      </c>
      <c r="C14" s="2013"/>
      <c r="D14" s="2014"/>
      <c r="E14" s="2015"/>
      <c r="F14" s="2016"/>
      <c r="G14" s="1142"/>
      <c r="H14" s="2025" t="s">
        <v>1809</v>
      </c>
      <c r="I14" s="2037" t="s">
        <v>1802</v>
      </c>
      <c r="J14" s="2038"/>
      <c r="K14" s="2014"/>
      <c r="L14" s="2015"/>
      <c r="M14" s="2028"/>
    </row>
    <row r="15" spans="1:25" ht="18" customHeight="1" thickTop="1">
      <c r="A15" s="1518" t="s">
        <v>1397</v>
      </c>
      <c r="B15" s="1516" t="s">
        <v>587</v>
      </c>
      <c r="C15" s="727" t="e">
        <f ca="1">ROUND(C31*F15,0)</f>
        <v>#N/A</v>
      </c>
      <c r="D15" s="1523" t="s">
        <v>588</v>
      </c>
      <c r="E15" s="730" t="s">
        <v>589</v>
      </c>
      <c r="F15" s="735" t="e">
        <f ca="1">INDIRECT("'数据-取费表'!y"&amp;$G$1)</f>
        <v>#N/A</v>
      </c>
      <c r="G15" s="1142"/>
      <c r="H15" s="1518" t="s">
        <v>1353</v>
      </c>
      <c r="I15" s="1516" t="s">
        <v>590</v>
      </c>
      <c r="J15" s="1510" t="e">
        <f ca="1">ROUND(J16*J17,0)</f>
        <v>#N/A</v>
      </c>
      <c r="K15" s="1512" t="s">
        <v>588</v>
      </c>
      <c r="L15" s="736"/>
      <c r="M15" s="737"/>
    </row>
    <row r="16" spans="1:25" ht="18" customHeight="1">
      <c r="A16" s="738" t="s">
        <v>1398</v>
      </c>
      <c r="B16" s="719" t="s">
        <v>591</v>
      </c>
      <c r="C16" s="739" t="e">
        <f ca="1">INDIRECT("'数据-取费表'!m"&amp;$G$1)+INDIRECT("'数据-取费表'!t"&amp;$G$1)</f>
        <v>#N/A</v>
      </c>
      <c r="D16" s="903" t="s">
        <v>592</v>
      </c>
      <c r="E16" s="902"/>
      <c r="F16" s="740"/>
      <c r="G16" s="1142"/>
      <c r="H16" s="738" t="s">
        <v>1585</v>
      </c>
      <c r="I16" s="1823" t="s">
        <v>2100</v>
      </c>
      <c r="J16" s="49" t="e">
        <f ca="1">C31</f>
        <v>#N/A</v>
      </c>
      <c r="K16" s="22"/>
      <c r="L16" s="736"/>
      <c r="M16" s="737"/>
    </row>
    <row r="17" spans="1:25" s="1674" customFormat="1" ht="18" customHeight="1">
      <c r="A17" s="738" t="s">
        <v>1376</v>
      </c>
      <c r="B17" s="719" t="s">
        <v>593</v>
      </c>
      <c r="C17" s="49" t="e">
        <f ca="1">ROUND(C16*F17,0)</f>
        <v>#N/A</v>
      </c>
      <c r="D17" s="741" t="s">
        <v>594</v>
      </c>
      <c r="E17" s="741" t="s">
        <v>595</v>
      </c>
      <c r="F17" s="742">
        <f>'数据-取费表'!B33</f>
        <v>0.05</v>
      </c>
      <c r="G17" s="1323"/>
      <c r="H17" s="738" t="s">
        <v>1586</v>
      </c>
      <c r="I17" s="719" t="s">
        <v>589</v>
      </c>
      <c r="J17" s="743" t="e">
        <f ca="1">INDIRECT("'数据-取费表'!ad"&amp;$G$1)</f>
        <v>#N/A</v>
      </c>
      <c r="K17" s="22"/>
      <c r="L17" s="736"/>
      <c r="M17" s="737"/>
      <c r="N17" s="1673"/>
      <c r="O17" s="1673"/>
      <c r="P17" s="1673"/>
      <c r="Q17" s="1673"/>
      <c r="R17" s="1673"/>
      <c r="S17" s="1673"/>
      <c r="T17" s="1673"/>
      <c r="U17" s="1673"/>
      <c r="V17" s="1673"/>
      <c r="W17" s="1673"/>
      <c r="X17" s="1673"/>
      <c r="Y17" s="1673"/>
    </row>
    <row r="18" spans="1:25" ht="18" customHeight="1">
      <c r="A18" s="738" t="s">
        <v>1377</v>
      </c>
      <c r="B18" s="719" t="s">
        <v>596</v>
      </c>
      <c r="C18" s="49" t="e">
        <f ca="1">ROUND(INDIRECT("'数据-取费表'!m"&amp;$G$1)*F18,0)</f>
        <v>#N/A</v>
      </c>
      <c r="D18" s="719" t="s">
        <v>594</v>
      </c>
      <c r="E18" s="719" t="s">
        <v>595</v>
      </c>
      <c r="F18" s="744" t="e">
        <f ca="1">IF(INDIRECT("'数据-取费表'!c"&amp;$G$1)="住宅",'数据-取费表'!B34,0)</f>
        <v>#N/A</v>
      </c>
      <c r="G18" s="1142"/>
      <c r="H18" s="732" t="s">
        <v>1354</v>
      </c>
      <c r="I18" s="733" t="s">
        <v>597</v>
      </c>
      <c r="J18" s="734" t="e">
        <f ca="1">ROUND(J19+J24+J25+J26,0)</f>
        <v>#N/A</v>
      </c>
      <c r="K18" s="22" t="s">
        <v>598</v>
      </c>
      <c r="L18" s="912"/>
      <c r="M18" s="52"/>
    </row>
    <row r="19" spans="1:25" s="1674" customFormat="1" ht="18" customHeight="1">
      <c r="A19" s="738" t="s">
        <v>1378</v>
      </c>
      <c r="B19" s="719" t="s">
        <v>599</v>
      </c>
      <c r="C19" s="49" t="e">
        <f ca="1">ROUND(F19*(INDIRECT("'数据-取费表'!k"&amp;$G$1)+INDIRECT("'数据-取费表'!S"&amp;$G$1))/10000,0)</f>
        <v>#N/A</v>
      </c>
      <c r="D19" s="719" t="s">
        <v>600</v>
      </c>
      <c r="E19" s="719" t="s">
        <v>601</v>
      </c>
      <c r="F19" s="52">
        <f>'数据-取费表'!B35</f>
        <v>100</v>
      </c>
      <c r="G19" s="1323"/>
      <c r="H19" s="738" t="s">
        <v>1585</v>
      </c>
      <c r="I19" s="719" t="s">
        <v>602</v>
      </c>
      <c r="J19" s="2553" t="e">
        <f ca="1">ROUND(IF(AND(项目基本情况!B11="自然人",项目基本情况!B10="北京市"),J8*M19/(1+'数据-取费表'!C42),J20+J21+J22),0)</f>
        <v>#N/A</v>
      </c>
      <c r="K19" s="903" t="s">
        <v>603</v>
      </c>
      <c r="L19" s="904" t="s">
        <v>604</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8" t="s">
        <v>1379</v>
      </c>
      <c r="B20" s="719" t="s">
        <v>605</v>
      </c>
      <c r="C20" s="49" t="e">
        <f ca="1">ROUND(C16*F20,0)</f>
        <v>#N/A</v>
      </c>
      <c r="D20" s="719" t="s">
        <v>594</v>
      </c>
      <c r="E20" s="719" t="s">
        <v>595</v>
      </c>
      <c r="F20" s="744">
        <f>'数据-取费表'!B36</f>
        <v>0.02</v>
      </c>
      <c r="G20" s="1323"/>
      <c r="H20" s="738" t="s">
        <v>1358</v>
      </c>
      <c r="I20" s="719" t="s">
        <v>606</v>
      </c>
      <c r="J20" s="49" t="e">
        <f ca="1">ROUND(J8*M20/(1+'数据-取费表'!C42),1)</f>
        <v>#N/A</v>
      </c>
      <c r="K20" s="904" t="s">
        <v>607</v>
      </c>
      <c r="L20" s="719" t="s">
        <v>595</v>
      </c>
      <c r="M20" s="744">
        <f>'数据-取费表'!B41</f>
        <v>5.5000000000000007E-2</v>
      </c>
      <c r="N20" s="1673"/>
      <c r="O20" s="1673"/>
      <c r="P20" s="1673"/>
      <c r="Q20" s="1673"/>
      <c r="R20" s="1673"/>
      <c r="S20" s="1673"/>
      <c r="T20" s="1673"/>
      <c r="U20" s="1673"/>
      <c r="V20" s="1673"/>
      <c r="W20" s="1673"/>
      <c r="X20" s="1673"/>
      <c r="Y20" s="1673"/>
    </row>
    <row r="21" spans="1:25" ht="18" customHeight="1">
      <c r="A21" s="738" t="s">
        <v>1399</v>
      </c>
      <c r="B21" s="719" t="s">
        <v>608</v>
      </c>
      <c r="C21" s="49" t="e">
        <f ca="1">SUM(C16:C20)</f>
        <v>#N/A</v>
      </c>
      <c r="D21" s="241" t="s">
        <v>609</v>
      </c>
      <c r="E21" s="912"/>
      <c r="F21" s="52"/>
      <c r="G21" s="1142"/>
      <c r="H21" s="1519" t="s">
        <v>1376</v>
      </c>
      <c r="I21" s="719" t="s">
        <v>610</v>
      </c>
      <c r="J21" s="49" t="e">
        <f ca="1">IF(K21="按租金收入计税",ROUND(J8*M21/(1+'数据-取费表'!C42),1),ROUND(C31*F35*0.7,1))</f>
        <v>#N/A</v>
      </c>
      <c r="K21" s="745" t="s">
        <v>3231</v>
      </c>
      <c r="L21" s="719" t="s">
        <v>595</v>
      </c>
      <c r="M21" s="744">
        <f>IF(K21="按租金收入计税",'数据-取费表'!B51,'数据-取费表'!B50)</f>
        <v>0.12</v>
      </c>
    </row>
    <row r="22" spans="1:25" s="1674" customFormat="1" ht="18" customHeight="1">
      <c r="A22" s="738" t="s">
        <v>1400</v>
      </c>
      <c r="B22" s="719" t="s">
        <v>611</v>
      </c>
      <c r="C22" s="49" t="e">
        <f ca="1">ROUND(C21*F22,0)</f>
        <v>#N/A</v>
      </c>
      <c r="D22" s="746" t="s">
        <v>612</v>
      </c>
      <c r="E22" s="719" t="s">
        <v>595</v>
      </c>
      <c r="F22" s="744">
        <f>'数据-取费表'!B37</f>
        <v>0.02</v>
      </c>
      <c r="G22" s="1323"/>
      <c r="H22" s="1521" t="s">
        <v>1377</v>
      </c>
      <c r="I22" s="317" t="s">
        <v>613</v>
      </c>
      <c r="J22" s="50" t="e">
        <f ca="1">ROUND(M22*M23/10000,0)</f>
        <v>#N/A</v>
      </c>
      <c r="K22" s="748" t="s">
        <v>614</v>
      </c>
      <c r="L22" s="719" t="s">
        <v>615</v>
      </c>
      <c r="M22" s="587">
        <f>'数据-取费表'!B52</f>
        <v>0.9</v>
      </c>
      <c r="N22" s="1673"/>
      <c r="O22" s="1673"/>
      <c r="P22" s="1673"/>
      <c r="Q22" s="1673"/>
      <c r="R22" s="1673"/>
      <c r="S22" s="1673"/>
      <c r="T22" s="1673"/>
      <c r="U22" s="1673"/>
      <c r="V22" s="1673"/>
      <c r="W22" s="1673"/>
      <c r="X22" s="1673"/>
      <c r="Y22" s="1673"/>
    </row>
    <row r="23" spans="1:25" s="1674" customFormat="1" ht="18" customHeight="1">
      <c r="A23" s="738" t="s">
        <v>1401</v>
      </c>
      <c r="B23" s="719" t="s">
        <v>616</v>
      </c>
      <c r="C23" s="49" t="s">
        <v>0</v>
      </c>
      <c r="D23" s="746" t="s">
        <v>617</v>
      </c>
      <c r="E23" s="719" t="s">
        <v>618</v>
      </c>
      <c r="F23" s="744">
        <f>'数据-取费表'!B38</f>
        <v>0.02</v>
      </c>
      <c r="G23" s="1323"/>
      <c r="H23" s="1522"/>
      <c r="I23" s="1513"/>
      <c r="J23" s="65"/>
      <c r="K23" s="750"/>
      <c r="L23" s="719" t="s">
        <v>619</v>
      </c>
      <c r="M23" s="720" t="e">
        <f ca="1">INDIRECT("'数据-取费表'!r"&amp;$G$1)</f>
        <v>#N/A</v>
      </c>
      <c r="N23" s="1673"/>
      <c r="O23" s="1673"/>
      <c r="P23" s="1673"/>
      <c r="Q23" s="1673"/>
      <c r="R23" s="1673"/>
      <c r="S23" s="1673"/>
      <c r="T23" s="1673"/>
      <c r="U23" s="1673"/>
      <c r="V23" s="1673"/>
      <c r="W23" s="1673"/>
      <c r="X23" s="1673"/>
      <c r="Y23" s="1673"/>
    </row>
    <row r="24" spans="1:25" ht="18" customHeight="1">
      <c r="A24" s="738" t="s">
        <v>1402</v>
      </c>
      <c r="B24" s="719" t="s">
        <v>620</v>
      </c>
      <c r="C24" s="49"/>
      <c r="D24" s="2043" t="str">
        <f>IF(F25&lt;=1,"单利计息。","复利计息。")&amp;"建造成本、管理费用、销售费用产生的利息。"</f>
        <v>复利计息。建造成本、管理费用、销售费用产生的利息。</v>
      </c>
      <c r="E24" s="912"/>
      <c r="F24" s="52"/>
      <c r="G24" s="1142"/>
      <c r="H24" s="1520" t="s">
        <v>1586</v>
      </c>
      <c r="I24" s="719" t="s">
        <v>621</v>
      </c>
      <c r="J24" s="49" t="e">
        <f ca="1">ROUND(J16*M24,0)</f>
        <v>#N/A</v>
      </c>
      <c r="K24" s="904" t="s">
        <v>622</v>
      </c>
      <c r="L24" s="719" t="s">
        <v>595</v>
      </c>
      <c r="M24" s="751" t="e">
        <f ca="1">INDIRECT("'数据-取费表'!Ak"&amp;$G$1)</f>
        <v>#N/A</v>
      </c>
    </row>
    <row r="25" spans="1:25" s="1674" customFormat="1" ht="18" customHeight="1">
      <c r="A25" s="738" t="s">
        <v>1398</v>
      </c>
      <c r="B25" s="719" t="s">
        <v>1782</v>
      </c>
      <c r="C25" s="49" t="e">
        <f ca="1">ROUND(IF('数据-取费表'!B22&lt;=1,(C21+C22)*F26*F25/2,(C21+C22)*(POWER((1+F26),F25/2)-1)),0)</f>
        <v>#N/A</v>
      </c>
      <c r="D25" s="2042" t="str">
        <f>IF(F25&lt;=1,"(建造成本+管理费用)×利率×(建设周期÷2)","(建造成本+管理费用)×((1+利率)^(建设周期÷2)-1)")</f>
        <v>(建造成本+管理费用)×((1+利率)^(建设周期÷2)-1)</v>
      </c>
      <c r="E25" s="719" t="s">
        <v>623</v>
      </c>
      <c r="F25" s="587">
        <f>'数据-取费表'!B20</f>
        <v>2</v>
      </c>
      <c r="G25" s="1323"/>
      <c r="H25" s="738" t="s">
        <v>1401</v>
      </c>
      <c r="I25" s="719" t="s">
        <v>624</v>
      </c>
      <c r="J25" s="49" t="e">
        <f ca="1">ROUND(J15*M25,0)</f>
        <v>#N/A</v>
      </c>
      <c r="K25" s="904" t="s">
        <v>625</v>
      </c>
      <c r="L25" s="719" t="s">
        <v>595</v>
      </c>
      <c r="M25" s="752" t="e">
        <f ca="1">INDIRECT("'数据-取费表'!Al"&amp;$G$1)</f>
        <v>#N/A</v>
      </c>
      <c r="N25" s="1673"/>
      <c r="O25" s="1673"/>
      <c r="P25" s="1673"/>
      <c r="Q25" s="1673"/>
      <c r="R25" s="1673"/>
      <c r="S25" s="1673"/>
      <c r="T25" s="1673"/>
      <c r="U25" s="1673"/>
      <c r="V25" s="1673"/>
      <c r="W25" s="1673"/>
      <c r="X25" s="1673"/>
      <c r="Y25" s="1673"/>
    </row>
    <row r="26" spans="1:25" s="1674" customFormat="1" ht="18" customHeight="1">
      <c r="A26" s="738" t="s">
        <v>1376</v>
      </c>
      <c r="B26" s="719" t="s">
        <v>626</v>
      </c>
      <c r="C26" s="49">
        <f ca="1">ROUND(IF('数据-取费表'!B22&lt;=1,F23*F26*F25/2,F23*(POWER((1+F26),F25/2)-1)),4)</f>
        <v>5.9999999999999995E-4</v>
      </c>
      <c r="D26" s="2042" t="str">
        <f>IF(F25&lt;=1,"销售费用×利率×(建设周期÷2)","销售费用×((1+利率)^(建设周期÷2)-1)")</f>
        <v>销售费用×((1+利率)^(建设周期÷2)-1)</v>
      </c>
      <c r="E26" s="719" t="s">
        <v>627</v>
      </c>
      <c r="F26" s="753">
        <f ca="1">'数据-取费表'!B40</f>
        <v>0.03</v>
      </c>
      <c r="G26" s="1323"/>
      <c r="H26" s="738" t="s">
        <v>1402</v>
      </c>
      <c r="I26" s="719" t="s">
        <v>611</v>
      </c>
      <c r="J26" s="49" t="e">
        <f ca="1">ROUND(J7*M26,0)</f>
        <v>#N/A</v>
      </c>
      <c r="K26" s="904" t="s">
        <v>628</v>
      </c>
      <c r="L26" s="719" t="s">
        <v>595</v>
      </c>
      <c r="M26" s="729" t="e">
        <f ca="1">INDIRECT("'数据-取费表'!Am"&amp;$G$1)</f>
        <v>#N/A</v>
      </c>
      <c r="N26" s="1673"/>
      <c r="O26" s="1673"/>
      <c r="P26" s="1673"/>
      <c r="Q26" s="1673"/>
      <c r="R26" s="1673"/>
      <c r="S26" s="1673"/>
      <c r="T26" s="1673"/>
      <c r="U26" s="1673"/>
      <c r="V26" s="1673"/>
      <c r="W26" s="1673"/>
      <c r="X26" s="1673"/>
      <c r="Y26" s="1673"/>
    </row>
    <row r="27" spans="1:25" ht="18" customHeight="1">
      <c r="A27" s="738" t="s">
        <v>1404</v>
      </c>
      <c r="B27" s="719" t="s">
        <v>629</v>
      </c>
      <c r="C27" s="49"/>
      <c r="D27" s="241" t="s">
        <v>630</v>
      </c>
      <c r="E27" s="912"/>
      <c r="F27" s="52"/>
      <c r="G27" s="1142"/>
      <c r="H27" s="732" t="s">
        <v>1355</v>
      </c>
      <c r="I27" s="2296" t="s">
        <v>2097</v>
      </c>
      <c r="J27" s="734" t="e">
        <f ca="1">J7-J18</f>
        <v>#N/A</v>
      </c>
      <c r="K27" s="903" t="s">
        <v>645</v>
      </c>
      <c r="L27" s="901"/>
      <c r="M27" s="754"/>
    </row>
    <row r="28" spans="1:25" ht="18" customHeight="1">
      <c r="A28" s="738" t="s">
        <v>1398</v>
      </c>
      <c r="B28" s="719" t="s">
        <v>1783</v>
      </c>
      <c r="C28" s="49" t="e">
        <f ca="1">ROUND((C21+C22)*F28,0)</f>
        <v>#N/A</v>
      </c>
      <c r="D28" s="746" t="s">
        <v>646</v>
      </c>
      <c r="E28" s="730" t="s">
        <v>647</v>
      </c>
      <c r="F28" s="729" t="e">
        <f ca="1">INDIRECT("'数据-取费表'!q"&amp;$G$1)</f>
        <v>#N/A</v>
      </c>
      <c r="G28" s="1142"/>
      <c r="H28" s="716" t="s">
        <v>1364</v>
      </c>
      <c r="I28" s="717" t="s">
        <v>648</v>
      </c>
      <c r="J28" s="718" t="e">
        <f ca="1">IF(J7&lt;&gt;0,ROUND(J27*(1-((1+M30)/(1+M28))^M29)/(M28-M30),0),0)</f>
        <v>#N/A</v>
      </c>
      <c r="K28" s="748" t="s">
        <v>649</v>
      </c>
      <c r="L28" s="719" t="s">
        <v>650</v>
      </c>
      <c r="M28" s="729" t="e">
        <f ca="1">INDIRECT("'数据-取费表'!I"&amp;$G$1)</f>
        <v>#N/A</v>
      </c>
    </row>
    <row r="29" spans="1:25" ht="18" customHeight="1">
      <c r="A29" s="738" t="s">
        <v>1376</v>
      </c>
      <c r="B29" s="719" t="s">
        <v>631</v>
      </c>
      <c r="C29" s="49" t="e">
        <f ca="1">ROUND(F23*F28,4)</f>
        <v>#N/A</v>
      </c>
      <c r="D29" s="746" t="s">
        <v>651</v>
      </c>
      <c r="E29" s="741"/>
      <c r="F29" s="742"/>
      <c r="G29" s="1142"/>
      <c r="H29" s="721"/>
      <c r="I29" s="722"/>
      <c r="J29" s="723"/>
      <c r="K29" s="755" t="s">
        <v>652</v>
      </c>
      <c r="L29" s="719" t="s">
        <v>653</v>
      </c>
      <c r="M29" s="756" t="e">
        <f ca="1">INDIRECT("'数据-取费表'!ag"&amp;$G$1)</f>
        <v>#N/A</v>
      </c>
    </row>
    <row r="30" spans="1:25" s="1674" customFormat="1" ht="18" customHeight="1">
      <c r="A30" s="738" t="s">
        <v>1405</v>
      </c>
      <c r="B30" s="719" t="s">
        <v>632</v>
      </c>
      <c r="C30" s="49">
        <f>ROUND(F30/(1+'数据-取费表'!C42),4)</f>
        <v>5.2400000000000002E-2</v>
      </c>
      <c r="D30" s="746" t="s">
        <v>654</v>
      </c>
      <c r="E30" s="719" t="s">
        <v>595</v>
      </c>
      <c r="F30" s="744">
        <f>'数据-取费表'!B41</f>
        <v>5.5000000000000007E-2</v>
      </c>
      <c r="G30" s="1323"/>
      <c r="H30" s="725"/>
      <c r="I30" s="726"/>
      <c r="J30" s="727"/>
      <c r="K30" s="750"/>
      <c r="L30" s="719" t="s">
        <v>655</v>
      </c>
      <c r="M30" s="729" t="e">
        <f ca="1">INDIRECT("'数据-取费表'!aa"&amp;$G$1)</f>
        <v>#N/A</v>
      </c>
      <c r="N30" s="1673"/>
      <c r="O30" s="1673"/>
      <c r="P30" s="1673"/>
      <c r="Q30" s="1673"/>
      <c r="R30" s="1673"/>
      <c r="S30" s="1673"/>
      <c r="T30" s="1673"/>
      <c r="U30" s="1673"/>
      <c r="V30" s="1673"/>
      <c r="W30" s="1673"/>
      <c r="X30" s="1673"/>
      <c r="Y30" s="1673"/>
    </row>
    <row r="31" spans="1:25" s="1674" customFormat="1" ht="18" customHeight="1" thickBot="1">
      <c r="A31" s="2034" t="s">
        <v>1406</v>
      </c>
      <c r="B31" s="2015" t="s">
        <v>2098</v>
      </c>
      <c r="C31" s="2018" t="e">
        <f ca="1">ROUND((C21+C22+C25+C28)/(1-F23-C26-C29-C30),0)</f>
        <v>#N/A</v>
      </c>
      <c r="D31" s="2019"/>
      <c r="E31" s="2020"/>
      <c r="F31" s="2021"/>
      <c r="G31" s="1323"/>
      <c r="H31" s="757" t="s">
        <v>1395</v>
      </c>
      <c r="I31" s="2297" t="s">
        <v>2099</v>
      </c>
      <c r="J31" s="759" t="e">
        <f ca="1">ROUND(J28/(1+F45)^F46,0)</f>
        <v>#N/A</v>
      </c>
      <c r="K31" s="760" t="s">
        <v>633</v>
      </c>
      <c r="L31" s="761"/>
      <c r="M31" s="762" t="e">
        <f ca="1">INDIRECT("'数据-取费表'!k"&amp;$G$1)</f>
        <v>#N/A</v>
      </c>
      <c r="N31" s="1673"/>
      <c r="O31" s="1673"/>
      <c r="P31" s="1673"/>
      <c r="Q31" s="1673"/>
      <c r="R31" s="1673"/>
      <c r="S31" s="1673"/>
      <c r="T31" s="1673"/>
      <c r="U31" s="1673"/>
      <c r="V31" s="1673"/>
      <c r="W31" s="1673"/>
      <c r="X31" s="1673"/>
      <c r="Y31" s="1673"/>
    </row>
    <row r="32" spans="1:25" ht="18" customHeight="1" thickTop="1">
      <c r="A32" s="1518" t="s">
        <v>4</v>
      </c>
      <c r="B32" s="1516" t="s">
        <v>634</v>
      </c>
      <c r="C32" s="727" t="e">
        <f ca="1">ROUND(C33+C38+C39+C40,0)</f>
        <v>#N/A</v>
      </c>
      <c r="D32" s="1512" t="s">
        <v>598</v>
      </c>
      <c r="E32" s="906"/>
      <c r="F32" s="1994"/>
      <c r="G32" s="1666"/>
      <c r="H32" s="1675"/>
      <c r="I32" s="1676"/>
      <c r="J32" s="1677"/>
      <c r="K32" s="1634"/>
      <c r="L32" s="1678"/>
      <c r="M32" s="1679"/>
    </row>
    <row r="33" spans="1:18" ht="18" customHeight="1">
      <c r="A33" s="738" t="s">
        <v>1399</v>
      </c>
      <c r="B33" s="719" t="s">
        <v>602</v>
      </c>
      <c r="C33" s="2553" t="e">
        <f ca="1">ROUND(IF(AND(项目基本情况!B11="自然人",项目基本情况!B10="北京市"),C8*F33/(1+'数据-取费表'!C42),C34+C35+C36),2)</f>
        <v>#N/A</v>
      </c>
      <c r="D33" s="903" t="s">
        <v>603</v>
      </c>
      <c r="E33" s="904" t="s">
        <v>635</v>
      </c>
      <c r="F33" s="2552" t="str">
        <f>IF(项目基本情况!B11="企业","——",IF(M48="住宅",IF(F8*F9*F10/12/(1+'数据-取费表'!F30)&gt;100000,4%,2.5%),IF(F8*F9*F10/12/(1+'数据-取费表'!F30)&gt;100000,12%,7%)))</f>
        <v>——</v>
      </c>
      <c r="G33" s="1666"/>
      <c r="H33" s="2757" t="s">
        <v>2267</v>
      </c>
      <c r="I33" s="1676"/>
      <c r="J33" s="1677"/>
      <c r="K33" s="1634"/>
      <c r="L33" s="1678"/>
      <c r="M33" s="1679"/>
    </row>
    <row r="34" spans="1:18" ht="18" customHeight="1">
      <c r="A34" s="738" t="s">
        <v>1398</v>
      </c>
      <c r="B34" s="719" t="s">
        <v>606</v>
      </c>
      <c r="C34" s="49" t="e">
        <f ca="1">ROUND(C8*F34/(1+'数据-取费表'!C42),2)</f>
        <v>#N/A</v>
      </c>
      <c r="D34" s="904" t="s">
        <v>607</v>
      </c>
      <c r="E34" s="719" t="s">
        <v>595</v>
      </c>
      <c r="F34" s="744">
        <f>'数据-取费表'!B41</f>
        <v>5.5000000000000007E-2</v>
      </c>
      <c r="G34" s="1666"/>
      <c r="H34" s="1680"/>
      <c r="I34" s="1681"/>
      <c r="J34" s="1682"/>
      <c r="K34" s="1683"/>
      <c r="L34" s="1684"/>
      <c r="M34" s="1685"/>
    </row>
    <row r="35" spans="1:18" ht="18" customHeight="1">
      <c r="A35" s="738" t="s">
        <v>1376</v>
      </c>
      <c r="B35" s="719" t="s">
        <v>610</v>
      </c>
      <c r="C35" s="49" t="e">
        <f ca="1">IF(D35="按租金收入计税",ROUND(C8*F35/(1+'数据-取费表'!C42),2),IF(D35="按房产原值计税",ROUND(C31*F35*0.7,2),INDIRECT("'数据-取费表'!Aj"&amp;$G$1)))</f>
        <v>#N/A</v>
      </c>
      <c r="D35" s="745" t="s">
        <v>3231</v>
      </c>
      <c r="E35" s="719" t="s">
        <v>595</v>
      </c>
      <c r="F35" s="744">
        <f>IF(D35="按租金收入计税",'数据-取费表'!B51,'数据-取费表'!B50)</f>
        <v>0.12</v>
      </c>
      <c r="G35" s="1666"/>
      <c r="H35" s="1686"/>
      <c r="I35" s="1686"/>
      <c r="J35" s="1686"/>
      <c r="K35" s="1687"/>
      <c r="L35" s="1686"/>
      <c r="M35" s="1686"/>
    </row>
    <row r="36" spans="1:18" ht="18" customHeight="1">
      <c r="A36" s="747" t="s">
        <v>1403</v>
      </c>
      <c r="B36" s="315" t="s">
        <v>613</v>
      </c>
      <c r="C36" s="50" t="e">
        <f ca="1">ROUND(F36*F37/10000,2)</f>
        <v>#N/A</v>
      </c>
      <c r="D36" s="748" t="s">
        <v>614</v>
      </c>
      <c r="E36" s="719" t="s">
        <v>615</v>
      </c>
      <c r="F36" s="587">
        <f>'数据-取费表'!B52</f>
        <v>0.9</v>
      </c>
      <c r="G36" s="1666"/>
      <c r="H36" s="1675"/>
      <c r="I36" s="3695"/>
      <c r="J36" s="1688"/>
      <c r="K36" s="1689"/>
      <c r="L36" s="1688"/>
      <c r="M36" s="1688"/>
    </row>
    <row r="37" spans="1:18" ht="18" customHeight="1">
      <c r="A37" s="749"/>
      <c r="B37" s="728"/>
      <c r="C37" s="65"/>
      <c r="D37" s="750"/>
      <c r="E37" s="719" t="s">
        <v>619</v>
      </c>
      <c r="F37" s="720" t="e">
        <f ca="1">INDIRECT("'数据-取费表'!r"&amp;$G$1)</f>
        <v>#N/A</v>
      </c>
      <c r="G37" s="1666"/>
      <c r="H37" s="1675"/>
      <c r="I37" s="3695"/>
      <c r="J37" s="1686"/>
      <c r="K37" s="1687"/>
      <c r="L37" s="1686"/>
      <c r="M37" s="1686"/>
    </row>
    <row r="38" spans="1:18" ht="18" customHeight="1">
      <c r="A38" s="738" t="s">
        <v>1400</v>
      </c>
      <c r="B38" s="719" t="s">
        <v>621</v>
      </c>
      <c r="C38" s="49" t="e">
        <f ca="1">ROUND(C31*F38,2)</f>
        <v>#N/A</v>
      </c>
      <c r="D38" s="904" t="s">
        <v>636</v>
      </c>
      <c r="E38" s="719" t="s">
        <v>595</v>
      </c>
      <c r="F38" s="751" t="e">
        <f ca="1">INDIRECT("'数据-取费表'!Ak"&amp;$G$1)</f>
        <v>#N/A</v>
      </c>
      <c r="G38" s="1666"/>
      <c r="H38" s="1686"/>
      <c r="I38" s="2555"/>
      <c r="J38" s="1634"/>
      <c r="K38" s="1690"/>
      <c r="L38" s="1686"/>
      <c r="M38" s="1686"/>
    </row>
    <row r="39" spans="1:18" ht="18" customHeight="1">
      <c r="A39" s="738" t="s">
        <v>1401</v>
      </c>
      <c r="B39" s="719" t="s">
        <v>624</v>
      </c>
      <c r="C39" s="49" t="e">
        <f ca="1">ROUND(C15*F39,2)</f>
        <v>#N/A</v>
      </c>
      <c r="D39" s="904" t="s">
        <v>625</v>
      </c>
      <c r="E39" s="719" t="s">
        <v>595</v>
      </c>
      <c r="F39" s="752" t="e">
        <f ca="1">INDIRECT("'数据-取费表'!Al"&amp;$G$1)</f>
        <v>#N/A</v>
      </c>
      <c r="G39" s="1666"/>
      <c r="H39" s="1686"/>
      <c r="I39" s="2555"/>
      <c r="J39" s="1634"/>
      <c r="K39" s="1690"/>
      <c r="L39" s="1686"/>
      <c r="M39" s="1686"/>
    </row>
    <row r="40" spans="1:18" ht="18" customHeight="1" thickBot="1">
      <c r="A40" s="2034" t="s">
        <v>1402</v>
      </c>
      <c r="B40" s="2020" t="s">
        <v>611</v>
      </c>
      <c r="C40" s="2018" t="e">
        <f ca="1">ROUND(C7*F40,2)</f>
        <v>#N/A</v>
      </c>
      <c r="D40" s="2019" t="s">
        <v>628</v>
      </c>
      <c r="E40" s="2020" t="s">
        <v>595</v>
      </c>
      <c r="F40" s="2016" t="e">
        <f ca="1">INDIRECT("'数据-取费表'!Am"&amp;$G$1)</f>
        <v>#N/A</v>
      </c>
      <c r="G40" s="1666"/>
      <c r="H40" s="1686"/>
      <c r="I40" s="2555"/>
      <c r="J40" s="1634"/>
      <c r="K40" s="1691"/>
      <c r="L40" s="1686"/>
      <c r="M40" s="1686"/>
    </row>
    <row r="41" spans="1:18" ht="18" customHeight="1" thickTop="1">
      <c r="A41" s="1518">
        <v>4</v>
      </c>
      <c r="B41" s="1516" t="s">
        <v>637</v>
      </c>
      <c r="C41" s="1144"/>
      <c r="D41" s="1145"/>
      <c r="E41" s="1145"/>
      <c r="F41" s="1146"/>
      <c r="G41" s="1666"/>
      <c r="H41" s="1666"/>
      <c r="I41" s="1666"/>
      <c r="J41" s="1666"/>
      <c r="K41" s="1691"/>
      <c r="L41" s="1666"/>
      <c r="M41" s="1666"/>
    </row>
    <row r="42" spans="1:18" ht="18" customHeight="1">
      <c r="A42" s="738" t="s">
        <v>1399</v>
      </c>
      <c r="B42" s="769" t="s">
        <v>638</v>
      </c>
      <c r="C42" s="763" t="e">
        <f ca="1">C7-C32</f>
        <v>#N/A</v>
      </c>
      <c r="D42" s="903" t="s">
        <v>639</v>
      </c>
      <c r="E42" s="901"/>
      <c r="F42" s="754"/>
      <c r="G42" s="1666"/>
      <c r="H42" s="1666"/>
      <c r="I42" s="1666"/>
      <c r="J42" s="1666"/>
      <c r="K42" s="1691"/>
      <c r="L42" s="1666"/>
      <c r="M42" s="1666"/>
    </row>
    <row r="43" spans="1:18" ht="18" customHeight="1">
      <c r="A43" s="738" t="s">
        <v>1400</v>
      </c>
      <c r="B43" s="769" t="s">
        <v>656</v>
      </c>
      <c r="C43" s="770" t="e">
        <f ca="1">ROUND(C15*F43,0)</f>
        <v>#N/A</v>
      </c>
      <c r="D43" s="1147" t="s">
        <v>657</v>
      </c>
      <c r="E43" s="2358" t="s">
        <v>2210</v>
      </c>
      <c r="F43" s="2359" t="e">
        <f ca="1">INDIRECT("'数据-取费表'!j"&amp;$G$1)</f>
        <v>#N/A</v>
      </c>
      <c r="G43" s="1666"/>
      <c r="H43" s="1666"/>
      <c r="I43" s="1666"/>
      <c r="J43" s="1666"/>
      <c r="K43" s="1691"/>
      <c r="L43" s="1666"/>
      <c r="M43" s="1666"/>
    </row>
    <row r="44" spans="1:18" ht="18" customHeight="1">
      <c r="A44" s="738" t="s">
        <v>1401</v>
      </c>
      <c r="B44" s="769" t="s">
        <v>658</v>
      </c>
      <c r="C44" s="1148" t="e">
        <f ca="1">C42-C43</f>
        <v>#N/A</v>
      </c>
      <c r="D44" s="432" t="s">
        <v>659</v>
      </c>
      <c r="E44" s="433"/>
      <c r="F44" s="434"/>
      <c r="G44" s="1666"/>
      <c r="H44" s="1666"/>
      <c r="I44" s="1666"/>
      <c r="J44" s="1666"/>
      <c r="K44" s="1691"/>
      <c r="L44" s="1666"/>
      <c r="M44" s="1666"/>
    </row>
    <row r="45" spans="1:18" ht="18" customHeight="1">
      <c r="A45" s="738" t="s">
        <v>1402</v>
      </c>
      <c r="B45" s="1147" t="s">
        <v>660</v>
      </c>
      <c r="C45" s="718" t="e">
        <f ca="1">ROUND(-PV(F45,F46,C44,0),0)</f>
        <v>#N/A</v>
      </c>
      <c r="D45" s="1149" t="s">
        <v>661</v>
      </c>
      <c r="E45" s="741" t="s">
        <v>662</v>
      </c>
      <c r="F45" s="764" t="e">
        <f ca="1">INDIRECT("'数据-取费表'!h"&amp;$G$1)</f>
        <v>#N/A</v>
      </c>
      <c r="G45" s="1666"/>
      <c r="H45" s="1666"/>
      <c r="I45" s="1666"/>
      <c r="J45" s="1666"/>
      <c r="K45" s="1691"/>
      <c r="L45" s="1666"/>
      <c r="M45" s="1666"/>
    </row>
    <row r="46" spans="1:18" ht="18" customHeight="1" thickBot="1">
      <c r="A46" s="765"/>
      <c r="B46" s="1150"/>
      <c r="C46" s="1151"/>
      <c r="D46" s="1152"/>
      <c r="E46" s="2360" t="s">
        <v>2213</v>
      </c>
      <c r="F46" s="762" t="e">
        <f ca="1">IF(INDIRECT("'数据-取费表'!af"&amp;$G$1)=0,INDIRECT("'数据-取费表'!ae"&amp;$G$1),INDIRECT("'数据-取费表'!af"&amp;$G$1))</f>
        <v>#N/A</v>
      </c>
      <c r="G46" s="1666"/>
      <c r="H46" s="1666"/>
      <c r="I46" s="1666"/>
      <c r="J46" s="1666"/>
      <c r="K46" s="1691"/>
      <c r="L46" s="1666"/>
      <c r="M46" s="1666"/>
    </row>
    <row r="47" spans="1:18" s="1670" customFormat="1" ht="18" customHeight="1" thickBot="1">
      <c r="A47" s="1692"/>
      <c r="D47" s="1693"/>
      <c r="E47" s="1693"/>
      <c r="F47" s="1693"/>
      <c r="I47" s="1937" t="s">
        <v>1695</v>
      </c>
      <c r="J47" s="1938"/>
      <c r="K47" s="1939"/>
      <c r="L47" s="2373" t="e">
        <f ca="1">IF(M48="住宅",0,IF(L49&gt;J52,L61,J61))</f>
        <v>#N/A</v>
      </c>
      <c r="O47" s="1951" t="s">
        <v>1762</v>
      </c>
      <c r="P47" s="1142"/>
      <c r="Q47" s="1328"/>
      <c r="R47" s="1142"/>
    </row>
    <row r="48" spans="1:18" s="1670" customFormat="1" ht="18" customHeight="1" thickBot="1">
      <c r="A48" s="1692"/>
      <c r="C48" s="1695"/>
      <c r="D48" s="1693"/>
      <c r="E48" s="1693"/>
      <c r="F48" s="1696"/>
      <c r="G48" s="1697"/>
      <c r="I48" s="2365" t="s">
        <v>1696</v>
      </c>
      <c r="J48" s="1940"/>
      <c r="K48" s="2370" t="s">
        <v>1701</v>
      </c>
      <c r="L48" s="2374" t="e">
        <f ca="1">INDIRECT("'数据-取费表'!d"&amp;$G$1)</f>
        <v>#N/A</v>
      </c>
      <c r="M48" s="2357" t="str">
        <f>IF(ISNUMBER(FIND("住宅",C1)),"住宅","非住宅")</f>
        <v>非住宅</v>
      </c>
      <c r="O48" s="1952" t="s">
        <v>1727</v>
      </c>
      <c r="P48" s="1953" t="s">
        <v>1728</v>
      </c>
      <c r="Q48" s="1954" t="s">
        <v>1729</v>
      </c>
      <c r="R48" s="1953" t="s">
        <v>1730</v>
      </c>
    </row>
    <row r="49" spans="1:18" s="1670" customFormat="1" ht="18" customHeight="1" thickBot="1">
      <c r="A49" s="1692"/>
      <c r="D49" s="1698"/>
      <c r="E49" s="1699"/>
      <c r="F49" s="1696"/>
      <c r="G49" s="1697"/>
      <c r="H49" s="1700"/>
      <c r="I49" s="2362" t="s">
        <v>1697</v>
      </c>
      <c r="J49" s="1941"/>
      <c r="K49" s="2371" t="s">
        <v>1703</v>
      </c>
      <c r="L49" s="1565" t="e">
        <f ca="1">INDIRECT("'数据-取费表'!f"&amp;$G$1)</f>
        <v>#N/A</v>
      </c>
      <c r="O49" s="1955" t="s">
        <v>1731</v>
      </c>
      <c r="P49" s="1956" t="s">
        <v>1757</v>
      </c>
      <c r="Q49" s="1957" t="e">
        <f ca="1">C41+J31</f>
        <v>#N/A</v>
      </c>
      <c r="R49" s="1956" t="s">
        <v>1732</v>
      </c>
    </row>
    <row r="50" spans="1:18" s="1670" customFormat="1" ht="18" customHeight="1" thickBot="1">
      <c r="A50" s="1692"/>
      <c r="D50" s="1701"/>
      <c r="E50" s="1701"/>
      <c r="F50" s="1693"/>
      <c r="H50" s="1700"/>
      <c r="I50" s="2362" t="s">
        <v>1698</v>
      </c>
      <c r="J50" s="1942"/>
      <c r="K50" s="2372" t="s">
        <v>1704</v>
      </c>
      <c r="L50" s="1564"/>
      <c r="O50" s="1955" t="s">
        <v>1733</v>
      </c>
      <c r="P50" s="1956" t="s">
        <v>1758</v>
      </c>
      <c r="Q50" s="1957" t="e">
        <f ca="1">J61</f>
        <v>#N/A</v>
      </c>
      <c r="R50" s="1956" t="s">
        <v>1734</v>
      </c>
    </row>
    <row r="51" spans="1:18" s="1670" customFormat="1" ht="18" customHeight="1" thickBot="1">
      <c r="A51" s="1702"/>
      <c r="D51" s="1701"/>
      <c r="E51" s="1701"/>
      <c r="F51" s="1693"/>
      <c r="H51" s="1700"/>
      <c r="I51" s="2362" t="s">
        <v>1699</v>
      </c>
      <c r="J51" s="2369">
        <f>SUMPRODUCT((I64:I66=J48)*(J63:L63=J49)*(J64:L66))</f>
        <v>0</v>
      </c>
      <c r="K51" s="2372" t="s">
        <v>1705</v>
      </c>
      <c r="L51" s="1564"/>
      <c r="O51" s="1958" t="s">
        <v>1735</v>
      </c>
      <c r="P51" s="1956" t="s">
        <v>1759</v>
      </c>
      <c r="Q51" s="1957" t="e">
        <f ca="1">C31</f>
        <v>#N/A</v>
      </c>
      <c r="R51" s="1956" t="s">
        <v>1732</v>
      </c>
    </row>
    <row r="52" spans="1:18" s="1670" customFormat="1" ht="18" customHeight="1" thickBot="1">
      <c r="A52" s="1702"/>
      <c r="F52" s="1693"/>
      <c r="I52" s="2366" t="s">
        <v>1700</v>
      </c>
      <c r="J52" s="1565">
        <f>IF(J50="",J51,J50+J51-YEAR('数据-取费表'!B3))</f>
        <v>0</v>
      </c>
      <c r="K52" s="2362" t="s">
        <v>1706</v>
      </c>
      <c r="L52" s="2375" t="e">
        <f ca="1">C45</f>
        <v>#N/A</v>
      </c>
      <c r="O52" s="1958" t="s">
        <v>1736</v>
      </c>
      <c r="P52" s="1956" t="s">
        <v>1737</v>
      </c>
      <c r="Q52" s="1959" t="e">
        <f ca="1">J59</f>
        <v>#N/A</v>
      </c>
      <c r="R52" s="1960"/>
    </row>
    <row r="53" spans="1:18" s="1670" customFormat="1" ht="18" customHeight="1" thickBot="1">
      <c r="A53" s="1702"/>
      <c r="F53" s="1693"/>
      <c r="I53" s="2367" t="s">
        <v>1773</v>
      </c>
      <c r="J53" s="1943"/>
      <c r="K53" s="2367" t="s">
        <v>1772</v>
      </c>
      <c r="L53" s="1943"/>
      <c r="O53" s="1958" t="s">
        <v>1738</v>
      </c>
      <c r="P53" s="1956" t="s">
        <v>1739</v>
      </c>
      <c r="Q53" s="1959">
        <f>J53</f>
        <v>0</v>
      </c>
      <c r="R53" s="1960"/>
    </row>
    <row r="54" spans="1:18" s="1670" customFormat="1" ht="29.25" thickBot="1">
      <c r="A54" s="1702"/>
      <c r="I54" s="2368" t="s">
        <v>2224</v>
      </c>
      <c r="J54" s="2414" t="e">
        <f ca="1">IF(M48="住宅",MAX(J52,L49-'数据-取费表'!B20),MIN(J52,L49-'数据-取费表'!B20))</f>
        <v>#N/A</v>
      </c>
      <c r="K54" s="3700"/>
      <c r="L54" s="3701"/>
      <c r="O54" s="1958" t="s">
        <v>1740</v>
      </c>
      <c r="P54" s="1956" t="s">
        <v>1741</v>
      </c>
      <c r="Q54" s="1957" t="e">
        <f ca="1">J54</f>
        <v>#N/A</v>
      </c>
      <c r="R54" s="1956" t="s">
        <v>1742</v>
      </c>
    </row>
    <row r="55" spans="1:18" s="1670" customFormat="1" ht="18" customHeight="1" thickBot="1">
      <c r="A55" s="1702"/>
      <c r="I55" s="2376"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376"/>
      <c r="K55" s="2377"/>
      <c r="O55" s="1955" t="s">
        <v>1743</v>
      </c>
      <c r="P55" s="1956" t="s">
        <v>1760</v>
      </c>
      <c r="Q55" s="1957" t="e">
        <f ca="1">Q49+Q50</f>
        <v>#N/A</v>
      </c>
      <c r="R55" s="1960" t="s">
        <v>1744</v>
      </c>
    </row>
    <row r="56" spans="1:18" s="1670" customFormat="1" ht="16.5" thickBot="1">
      <c r="A56" s="1702"/>
      <c r="B56" s="1703"/>
      <c r="C56" s="1703"/>
      <c r="I56" s="2378" t="s">
        <v>1707</v>
      </c>
      <c r="J56" s="2351" t="e">
        <f ca="1">ROUND(IF(J48="钢混",J58/J51,1-(1-2%)*(J51-J58)/J51),3)</f>
        <v>#N/A</v>
      </c>
      <c r="K56" s="2379" t="s">
        <v>1708</v>
      </c>
      <c r="L56" s="1944"/>
      <c r="O56" s="1961" t="s">
        <v>1763</v>
      </c>
      <c r="P56" s="1142"/>
      <c r="Q56" s="1328"/>
      <c r="R56" s="1142"/>
    </row>
    <row r="57" spans="1:18" s="1670" customFormat="1" ht="43.5" thickBot="1">
      <c r="A57" s="1702"/>
      <c r="B57" s="1703"/>
      <c r="C57" s="1703"/>
      <c r="I57" s="2380" t="s">
        <v>1709</v>
      </c>
      <c r="J57" s="2390" t="s">
        <v>3312</v>
      </c>
      <c r="K57" s="2362" t="s">
        <v>1714</v>
      </c>
      <c r="L57" s="1565" t="e">
        <f ca="1">IF(L49&lt;J52,"——",L49-J52)</f>
        <v>#N/A</v>
      </c>
      <c r="O57" s="1952" t="s">
        <v>1727</v>
      </c>
      <c r="P57" s="1953" t="s">
        <v>1728</v>
      </c>
      <c r="Q57" s="1954" t="s">
        <v>1729</v>
      </c>
      <c r="R57" s="1953" t="s">
        <v>1730</v>
      </c>
    </row>
    <row r="58" spans="1:18" s="1670" customFormat="1" ht="29.25" thickBot="1">
      <c r="A58" s="1702"/>
      <c r="B58" s="1703"/>
      <c r="C58" s="1703"/>
      <c r="I58" s="2381" t="s">
        <v>1710</v>
      </c>
      <c r="J58" s="2382" t="e">
        <f ca="1">IF(OR(M48="住宅",J52&lt;L49,J57="是"),"——",J52-L49)</f>
        <v>#N/A</v>
      </c>
      <c r="K58" s="2362" t="s">
        <v>1715</v>
      </c>
      <c r="L58" s="1565" t="e">
        <f ca="1">IF(L49&lt;J52,"——",IF(L56="比较法",L50,IF(L56="基准地价",L51,L52)))</f>
        <v>#N/A</v>
      </c>
      <c r="O58" s="1955" t="s">
        <v>1731</v>
      </c>
      <c r="P58" s="1956" t="s">
        <v>1757</v>
      </c>
      <c r="Q58" s="1957" t="e">
        <f ca="1">C41+J31</f>
        <v>#N/A</v>
      </c>
      <c r="R58" s="1956" t="s">
        <v>1732</v>
      </c>
    </row>
    <row r="59" spans="1:18" s="1670" customFormat="1" ht="29.25" thickBot="1">
      <c r="A59" s="1702"/>
      <c r="B59" s="1703"/>
      <c r="C59" s="1703"/>
      <c r="I59" s="2381" t="s">
        <v>1711</v>
      </c>
      <c r="J59" s="2352" t="e">
        <f ca="1">IF(J56&lt;0.4,0.4,J56)</f>
        <v>#N/A</v>
      </c>
      <c r="K59" s="2362" t="s">
        <v>1716</v>
      </c>
      <c r="L59" s="1565">
        <f ca="1">IF(ISERROR(POWER(1+L53,L48-L49)*(POWER(1+L53,L49)-1)/(POWER(1+L53,L48)-1)),0,POWER(1+L53,L48-L49)*(POWER(1+L53,L49)-1)/(POWER(1+L53,L48)-1))</f>
        <v>0</v>
      </c>
      <c r="O59" s="1955" t="s">
        <v>1733</v>
      </c>
      <c r="P59" s="1956" t="s">
        <v>1764</v>
      </c>
      <c r="Q59" s="1957" t="e">
        <f ca="1">L61</f>
        <v>#N/A</v>
      </c>
      <c r="R59" s="1960" t="s">
        <v>1766</v>
      </c>
    </row>
    <row r="60" spans="1:18" s="1670" customFormat="1" ht="29.25" thickBot="1">
      <c r="A60" s="1702"/>
      <c r="B60" s="1703"/>
      <c r="C60" s="1703"/>
      <c r="I60" s="2381" t="s">
        <v>1712</v>
      </c>
      <c r="J60" s="2382" t="e">
        <f ca="1">IF(OR(M48="住宅",J52&lt;L49,J57="是"),"——",ROUND(C30*J59,0))</f>
        <v>#N/A</v>
      </c>
      <c r="K60" s="2362" t="s">
        <v>1717</v>
      </c>
      <c r="L60" s="1565">
        <f ca="1">IF(ISERROR(POWER(1+L53,L48-J52)*(POWER(1+L53,J52)-1)/(POWER(1+L53,L48)-1)),0,POWER(1+L53,L48-J52)*(POWER(1+L53,J52)-1)/(POWER(1+L53,L48)-1))</f>
        <v>0</v>
      </c>
      <c r="O60" s="1958" t="s">
        <v>1735</v>
      </c>
      <c r="P60" s="1956" t="s">
        <v>1765</v>
      </c>
      <c r="Q60" s="1957">
        <f>IF(L56="比较法",L50,IF(L56="基准地价",L51,0))</f>
        <v>0</v>
      </c>
      <c r="R60" s="1956" t="s">
        <v>1732</v>
      </c>
    </row>
    <row r="61" spans="1:18" s="1670" customFormat="1" ht="15.75" thickBot="1">
      <c r="A61" s="1702"/>
      <c r="B61" s="1703"/>
      <c r="C61" s="1703"/>
      <c r="I61" s="2383" t="s">
        <v>1713</v>
      </c>
      <c r="J61" s="2384" t="e">
        <f ca="1">IF(OR(M48="住宅",J52&lt;L49,J57="是"),"0",ROUND(J60/(1+J53)^J54,0))</f>
        <v>#N/A</v>
      </c>
      <c r="K61" s="2385" t="s">
        <v>1718</v>
      </c>
      <c r="L61" s="2384" t="e">
        <f ca="1">IF(OR(M48="住宅",L49&lt;J52),0,ROUND(L58*(L59/L60-1),0))</f>
        <v>#N/A</v>
      </c>
      <c r="O61" s="1958" t="s">
        <v>1736</v>
      </c>
      <c r="P61" s="1956" t="s">
        <v>1745</v>
      </c>
      <c r="Q61" s="1959">
        <f>L53</f>
        <v>0</v>
      </c>
      <c r="R61" s="1960"/>
    </row>
    <row r="62" spans="1:18" s="1670" customFormat="1" ht="20.25" thickBot="1">
      <c r="A62" s="1702"/>
      <c r="B62" s="1703"/>
      <c r="C62" s="1703"/>
      <c r="K62" s="1694"/>
      <c r="O62" s="1958" t="s">
        <v>1738</v>
      </c>
      <c r="P62" s="1956" t="s">
        <v>1746</v>
      </c>
      <c r="Q62" s="1957">
        <f ca="1">L59</f>
        <v>0</v>
      </c>
      <c r="R62" s="1960" t="s">
        <v>1747</v>
      </c>
    </row>
    <row r="63" spans="1:18" s="1670" customFormat="1" ht="20.25" thickBot="1">
      <c r="A63" s="1702"/>
      <c r="B63" s="1703"/>
      <c r="C63" s="1703"/>
      <c r="I63" s="2386" t="s">
        <v>1719</v>
      </c>
      <c r="J63" s="2387" t="s">
        <v>1720</v>
      </c>
      <c r="K63" s="2387" t="s">
        <v>1721</v>
      </c>
      <c r="L63" s="2387" t="s">
        <v>1702</v>
      </c>
      <c r="M63" s="2388" t="s">
        <v>2193</v>
      </c>
      <c r="O63" s="1958" t="s">
        <v>1740</v>
      </c>
      <c r="P63" s="1956" t="s">
        <v>1748</v>
      </c>
      <c r="Q63" s="1957">
        <f ca="1">L60</f>
        <v>0</v>
      </c>
      <c r="R63" s="1960" t="s">
        <v>1749</v>
      </c>
    </row>
    <row r="64" spans="1:18" s="1670" customFormat="1" ht="15.75" thickBot="1">
      <c r="A64" s="1702"/>
      <c r="B64" s="1703"/>
      <c r="C64" s="1703"/>
      <c r="I64" s="2386" t="s">
        <v>1722</v>
      </c>
      <c r="J64" s="2387">
        <v>70</v>
      </c>
      <c r="K64" s="2387">
        <v>50</v>
      </c>
      <c r="L64" s="2387">
        <v>80</v>
      </c>
      <c r="M64" s="2389">
        <v>0.02</v>
      </c>
      <c r="O64" s="1955" t="s">
        <v>1743</v>
      </c>
      <c r="P64" s="1956" t="s">
        <v>1760</v>
      </c>
      <c r="Q64" s="1957" t="e">
        <f ca="1">Q58+Q59</f>
        <v>#N/A</v>
      </c>
      <c r="R64" s="1960" t="s">
        <v>1744</v>
      </c>
    </row>
    <row r="65" spans="1:18" s="1670" customFormat="1" ht="16.5" thickBot="1">
      <c r="A65" s="1702"/>
      <c r="B65" s="1703"/>
      <c r="C65" s="1703"/>
      <c r="I65" s="2386" t="s">
        <v>1723</v>
      </c>
      <c r="J65" s="2387">
        <v>50</v>
      </c>
      <c r="K65" s="2387">
        <v>35</v>
      </c>
      <c r="L65" s="2387">
        <v>60</v>
      </c>
      <c r="M65" s="780">
        <v>0</v>
      </c>
      <c r="O65" s="1961" t="s">
        <v>1767</v>
      </c>
      <c r="P65" s="1142"/>
      <c r="Q65" s="1328"/>
      <c r="R65" s="1142"/>
    </row>
    <row r="66" spans="1:18" s="1670" customFormat="1" ht="15.75" thickBot="1">
      <c r="A66" s="1702"/>
      <c r="B66" s="1703"/>
      <c r="C66" s="1703"/>
      <c r="I66" s="2386" t="s">
        <v>1724</v>
      </c>
      <c r="J66" s="2387">
        <v>40</v>
      </c>
      <c r="K66" s="2387">
        <v>30</v>
      </c>
      <c r="L66" s="2387">
        <v>50</v>
      </c>
      <c r="M66" s="2389">
        <v>0.02</v>
      </c>
      <c r="O66" s="1952" t="s">
        <v>1727</v>
      </c>
      <c r="P66" s="1953" t="s">
        <v>1728</v>
      </c>
      <c r="Q66" s="1954" t="s">
        <v>1729</v>
      </c>
      <c r="R66" s="1953" t="s">
        <v>1730</v>
      </c>
    </row>
    <row r="67" spans="1:18" s="1670" customFormat="1" ht="15.75" thickBot="1">
      <c r="A67" s="1702"/>
      <c r="B67" s="1703"/>
      <c r="C67" s="1703"/>
      <c r="K67" s="1694"/>
      <c r="O67" s="1955" t="s">
        <v>1731</v>
      </c>
      <c r="P67" s="1956" t="s">
        <v>1757</v>
      </c>
      <c r="Q67" s="1957" t="e">
        <f ca="1">C41+J31</f>
        <v>#N/A</v>
      </c>
      <c r="R67" s="1956" t="s">
        <v>1732</v>
      </c>
    </row>
    <row r="68" spans="1:18" s="1670" customFormat="1" ht="20.25" thickBot="1">
      <c r="A68" s="1702"/>
      <c r="B68" s="1703"/>
      <c r="C68" s="1703"/>
      <c r="K68" s="1694"/>
      <c r="O68" s="1955" t="s">
        <v>1733</v>
      </c>
      <c r="P68" s="1956" t="s">
        <v>1764</v>
      </c>
      <c r="Q68" s="1957" t="e">
        <f ca="1">L61</f>
        <v>#N/A</v>
      </c>
      <c r="R68" s="1960" t="s">
        <v>1766</v>
      </c>
    </row>
    <row r="69" spans="1:18" s="1670" customFormat="1" ht="21.75" thickBot="1">
      <c r="A69" s="1702"/>
      <c r="B69" s="1703"/>
      <c r="C69" s="1703"/>
      <c r="K69" s="1694"/>
      <c r="O69" s="1958" t="s">
        <v>1735</v>
      </c>
      <c r="P69" s="1956" t="s">
        <v>1765</v>
      </c>
      <c r="Q69" s="1962" t="e">
        <f ca="1">L52</f>
        <v>#N/A</v>
      </c>
      <c r="R69" s="1963" t="s">
        <v>1768</v>
      </c>
    </row>
    <row r="70" spans="1:18" s="1670" customFormat="1" ht="20.25" thickBot="1">
      <c r="A70" s="1702"/>
      <c r="B70" s="1703"/>
      <c r="C70" s="1703"/>
      <c r="K70" s="1694"/>
      <c r="O70" s="1958" t="s">
        <v>1736</v>
      </c>
      <c r="P70" s="1964" t="s">
        <v>1750</v>
      </c>
      <c r="Q70" s="1957" t="e">
        <f ca="1">ROUND(Q71-Q72*Q73,0)</f>
        <v>#N/A</v>
      </c>
      <c r="R70" s="1960"/>
    </row>
    <row r="71" spans="1:18" s="1670" customFormat="1" ht="15.75" thickBot="1">
      <c r="A71" s="1702"/>
      <c r="B71" s="1703"/>
      <c r="C71" s="1703"/>
      <c r="K71" s="1694"/>
      <c r="O71" s="1958" t="s">
        <v>1751</v>
      </c>
      <c r="P71" s="1964" t="s">
        <v>1752</v>
      </c>
      <c r="Q71" s="1957" t="e">
        <f ca="1">C42</f>
        <v>#N/A</v>
      </c>
      <c r="R71" s="1956" t="s">
        <v>1732</v>
      </c>
    </row>
    <row r="72" spans="1:18" s="1670" customFormat="1" ht="15.75" thickBot="1">
      <c r="A72" s="1702"/>
      <c r="B72" s="1703"/>
      <c r="C72" s="1703"/>
      <c r="K72" s="1694"/>
      <c r="O72" s="1958" t="s">
        <v>1753</v>
      </c>
      <c r="P72" s="1964" t="s">
        <v>1754</v>
      </c>
      <c r="Q72" s="1957" t="e">
        <f ca="1">C15</f>
        <v>#N/A</v>
      </c>
      <c r="R72" s="1956" t="s">
        <v>1732</v>
      </c>
    </row>
    <row r="73" spans="1:18" s="1670" customFormat="1" ht="15.75" thickBot="1">
      <c r="A73" s="1702"/>
      <c r="B73" s="1703"/>
      <c r="C73" s="1703"/>
      <c r="K73" s="1694"/>
      <c r="O73" s="1958" t="s">
        <v>1755</v>
      </c>
      <c r="P73" s="1964" t="s">
        <v>1756</v>
      </c>
      <c r="Q73" s="1959" t="e">
        <f ca="1">F43</f>
        <v>#N/A</v>
      </c>
      <c r="R73" s="1960"/>
    </row>
    <row r="74" spans="1:18" s="1670" customFormat="1" ht="15.75" thickBot="1">
      <c r="A74" s="1702"/>
      <c r="B74" s="1703"/>
      <c r="C74" s="1703"/>
      <c r="K74" s="1694"/>
      <c r="O74" s="1958" t="s">
        <v>1738</v>
      </c>
      <c r="P74" s="1956" t="s">
        <v>1745</v>
      </c>
      <c r="Q74" s="1959">
        <f>L53</f>
        <v>0</v>
      </c>
      <c r="R74" s="1960"/>
    </row>
    <row r="75" spans="1:18" s="1670" customFormat="1" ht="20.25" thickBot="1">
      <c r="A75" s="1702"/>
      <c r="B75" s="1703"/>
      <c r="C75" s="1703"/>
      <c r="K75" s="1694"/>
      <c r="O75" s="1958" t="s">
        <v>1740</v>
      </c>
      <c r="P75" s="1956" t="s">
        <v>1746</v>
      </c>
      <c r="Q75" s="1957">
        <f ca="1">L59</f>
        <v>0</v>
      </c>
      <c r="R75" s="1960" t="s">
        <v>1747</v>
      </c>
    </row>
    <row r="76" spans="1:18" s="1670" customFormat="1" ht="20.25" thickBot="1">
      <c r="A76" s="1702"/>
      <c r="B76" s="1703"/>
      <c r="C76" s="1703"/>
      <c r="K76" s="1694"/>
      <c r="O76" s="1958" t="s">
        <v>1769</v>
      </c>
      <c r="P76" s="1956" t="s">
        <v>1748</v>
      </c>
      <c r="Q76" s="1957">
        <f ca="1">L60</f>
        <v>0</v>
      </c>
      <c r="R76" s="1960" t="s">
        <v>1749</v>
      </c>
    </row>
    <row r="77" spans="1:18" s="1670" customFormat="1" ht="15.75" thickBot="1">
      <c r="A77" s="1702"/>
      <c r="B77" s="1703"/>
      <c r="C77" s="1703"/>
      <c r="K77" s="1694"/>
      <c r="O77" s="1955" t="s">
        <v>1743</v>
      </c>
      <c r="P77" s="1956" t="s">
        <v>1760</v>
      </c>
      <c r="Q77" s="1957" t="e">
        <f ca="1">Q67+Q68</f>
        <v>#N/A</v>
      </c>
      <c r="R77" s="1960" t="s">
        <v>1744</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O22" sqref="O22"/>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424</v>
      </c>
      <c r="B1" s="2117"/>
      <c r="C1" s="1710"/>
      <c r="D1" s="1710"/>
      <c r="E1" s="1710"/>
      <c r="F1" s="1710"/>
      <c r="G1" s="1710"/>
      <c r="H1" s="1710"/>
      <c r="I1" s="1710"/>
      <c r="J1" s="1710"/>
      <c r="K1" s="392">
        <f>MATCH(B1,'数据-取费表'!A6:A16,0)+5</f>
        <v>7</v>
      </c>
      <c r="L1" s="237"/>
      <c r="M1" s="237"/>
      <c r="N1" s="237"/>
      <c r="O1" s="237"/>
      <c r="P1" s="237"/>
      <c r="Q1" s="237"/>
      <c r="R1" s="237"/>
      <c r="S1" s="237"/>
      <c r="T1" s="237"/>
      <c r="U1" s="237"/>
      <c r="V1" s="237"/>
      <c r="W1" s="237"/>
      <c r="X1" s="237"/>
      <c r="Y1" s="237"/>
      <c r="Z1" s="237"/>
    </row>
    <row r="2" spans="1:31" s="1652" customFormat="1" ht="18" customHeight="1">
      <c r="A2" s="1707" t="s">
        <v>425</v>
      </c>
      <c r="B2" s="1711">
        <f ca="1">C36</f>
        <v>4271</v>
      </c>
      <c r="C2" s="1710"/>
      <c r="D2" s="1710"/>
      <c r="E2" s="1710"/>
      <c r="F2" s="1710"/>
      <c r="G2" s="1710"/>
      <c r="H2" s="1710"/>
      <c r="I2" s="1710"/>
      <c r="J2" s="1710"/>
      <c r="K2" s="1710"/>
      <c r="L2" s="237"/>
      <c r="M2" s="237"/>
      <c r="N2" s="237"/>
      <c r="O2" s="237"/>
      <c r="P2" s="237"/>
      <c r="Q2" s="237"/>
      <c r="R2" s="237"/>
      <c r="S2" s="237"/>
      <c r="T2" s="237"/>
      <c r="U2" s="237"/>
      <c r="V2" s="237"/>
      <c r="W2" s="237"/>
      <c r="X2" s="237"/>
      <c r="Y2" s="237"/>
      <c r="Z2" s="237"/>
    </row>
    <row r="3" spans="1:31" s="1652" customFormat="1" ht="18" customHeight="1">
      <c r="A3" s="1712" t="s">
        <v>1215</v>
      </c>
      <c r="B3" s="1713">
        <f ca="1">ROUND(B2*10000/IF(B1="",'数据-汇总表'!E3,INDIRECT("'数据-取费表'!K"&amp;$K$1)),0)</f>
        <v>1006</v>
      </c>
      <c r="C3" s="1710"/>
      <c r="D3" s="1710"/>
      <c r="E3" s="1710"/>
      <c r="F3" s="1710"/>
      <c r="G3" s="1710"/>
      <c r="H3" s="1710"/>
      <c r="I3" s="1710"/>
      <c r="J3" s="1710"/>
      <c r="K3" s="1710"/>
      <c r="L3" s="237"/>
      <c r="M3" s="237"/>
      <c r="N3" s="237"/>
      <c r="O3" s="237"/>
      <c r="P3" s="237"/>
      <c r="Q3" s="237"/>
      <c r="R3" s="237"/>
      <c r="S3" s="237"/>
      <c r="T3" s="237"/>
      <c r="U3" s="237"/>
      <c r="V3" s="237"/>
      <c r="W3" s="237"/>
      <c r="X3" s="237"/>
      <c r="Y3" s="237"/>
      <c r="Z3" s="237"/>
    </row>
    <row r="4" spans="1:31" s="1652" customFormat="1" ht="18" customHeight="1">
      <c r="A4" s="396" t="s">
        <v>426</v>
      </c>
      <c r="B4" s="397">
        <f ca="1">ROUND(B2*10000/IF(B1="",'数据-汇总表'!D3,INDIRECT("'数据-取费表'!R"&amp;$K$1)),0)</f>
        <v>2515</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2" customFormat="1" ht="18" customHeight="1" thickBot="1">
      <c r="A5" s="399"/>
      <c r="B5" s="400">
        <f ca="1">ROUND(B2/(IF(B1="",'数据-汇总表'!D3,INDIRECT("'数据-取费表'!R"&amp;$K$1))/666.67),0)</f>
        <v>168</v>
      </c>
      <c r="C5" s="401" t="s">
        <v>427</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7" customFormat="1" ht="16.5" customHeight="1">
      <c r="A6" s="2132" t="s">
        <v>1369</v>
      </c>
      <c r="B6" s="2133"/>
      <c r="C6" s="2134">
        <f ca="1">SUM(C10:K10)</f>
        <v>19975</v>
      </c>
      <c r="D6" s="2133"/>
      <c r="E6" s="2133"/>
      <c r="F6" s="2133"/>
      <c r="G6" s="2133"/>
      <c r="H6" s="2133"/>
      <c r="I6" s="2133"/>
      <c r="J6" s="2133"/>
      <c r="K6" s="2135"/>
      <c r="L6" s="2703"/>
      <c r="M6" s="2703"/>
      <c r="N6" s="2703"/>
      <c r="O6" s="2703"/>
      <c r="P6" s="2703"/>
      <c r="Q6" s="2703"/>
      <c r="R6" s="2703"/>
      <c r="S6" s="2703"/>
      <c r="T6" s="2703"/>
      <c r="U6" s="2703"/>
      <c r="V6" s="2703"/>
      <c r="W6" s="2703"/>
      <c r="X6" s="2703"/>
      <c r="Y6" s="2703"/>
      <c r="Z6" s="2703"/>
    </row>
    <row r="7" spans="1:31" s="1719" customFormat="1" ht="15">
      <c r="A7" s="2136" t="s">
        <v>428</v>
      </c>
      <c r="B7" s="2137" t="s">
        <v>429</v>
      </c>
      <c r="C7" s="406" t="s">
        <v>3671</v>
      </c>
      <c r="D7" s="406"/>
      <c r="E7" s="406"/>
      <c r="F7" s="406"/>
      <c r="G7" s="406"/>
      <c r="H7" s="406"/>
      <c r="I7" s="406"/>
      <c r="J7" s="406"/>
      <c r="K7" s="407"/>
      <c r="AA7" s="1718"/>
      <c r="AB7" s="1718"/>
      <c r="AC7" s="1718"/>
      <c r="AD7" s="1718"/>
      <c r="AE7" s="1718"/>
    </row>
    <row r="8" spans="1:31" s="1721" customFormat="1" ht="13.5" customHeight="1">
      <c r="A8" s="738" t="s">
        <v>1372</v>
      </c>
      <c r="B8" s="241" t="s">
        <v>430</v>
      </c>
      <c r="C8" s="2138">
        <f ca="1">不动产收益法!B3</f>
        <v>4723</v>
      </c>
      <c r="D8" s="2138"/>
      <c r="E8" s="2138"/>
      <c r="F8" s="2138"/>
      <c r="G8" s="2138"/>
      <c r="H8" s="2138"/>
      <c r="I8" s="2138"/>
      <c r="J8" s="2138"/>
      <c r="K8" s="2139"/>
      <c r="AA8" s="1720"/>
      <c r="AB8" s="1720"/>
      <c r="AC8" s="1720"/>
      <c r="AD8" s="1720"/>
      <c r="AE8" s="1720"/>
    </row>
    <row r="9" spans="1:31" s="1721" customFormat="1" ht="13.5" customHeight="1">
      <c r="A9" s="738" t="s">
        <v>1373</v>
      </c>
      <c r="B9" s="241" t="s">
        <v>431</v>
      </c>
      <c r="C9" s="411">
        <f>SUMIF('数据-汇总表'!$C19:$C33,'剩余法-待开发'!C7,'数据-汇总表'!$E19:$E33)</f>
        <v>42292.15</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0"/>
      <c r="AB9" s="1720"/>
      <c r="AC9" s="1720"/>
      <c r="AD9" s="1720"/>
      <c r="AE9" s="1720"/>
    </row>
    <row r="10" spans="1:31" s="1721" customFormat="1" ht="13.5" customHeight="1" thickBot="1">
      <c r="A10" s="2140" t="s">
        <v>1374</v>
      </c>
      <c r="B10" s="2126" t="s">
        <v>432</v>
      </c>
      <c r="C10" s="2313">
        <f ca="1">不动产收益法!B2</f>
        <v>19975</v>
      </c>
      <c r="D10" s="2313"/>
      <c r="E10" s="2313"/>
      <c r="F10" s="2141"/>
      <c r="G10" s="2141"/>
      <c r="H10" s="2141"/>
      <c r="I10" s="2141"/>
      <c r="J10" s="2141"/>
      <c r="K10" s="2142"/>
      <c r="AA10" s="1720"/>
      <c r="AB10" s="1720"/>
      <c r="AC10" s="1720"/>
      <c r="AD10" s="1720"/>
      <c r="AE10" s="1720"/>
    </row>
    <row r="11" spans="1:31" s="1717" customFormat="1" ht="16.5" customHeight="1">
      <c r="A11" s="2143" t="s">
        <v>1370</v>
      </c>
      <c r="B11" s="2133"/>
      <c r="C11" s="2133"/>
      <c r="D11" s="2133"/>
      <c r="E11" s="2133"/>
      <c r="F11" s="2133"/>
      <c r="G11" s="2133"/>
      <c r="H11" s="2133"/>
      <c r="I11" s="2133"/>
      <c r="J11" s="2133"/>
      <c r="K11" s="2135"/>
      <c r="L11" s="2703"/>
      <c r="M11" s="2703"/>
      <c r="N11" s="2703"/>
      <c r="O11" s="2703"/>
      <c r="P11" s="2703"/>
      <c r="Q11" s="2703"/>
      <c r="R11" s="2703"/>
      <c r="S11" s="2703"/>
      <c r="T11" s="2703"/>
      <c r="U11" s="2703"/>
      <c r="V11" s="2703"/>
      <c r="W11" s="2703"/>
      <c r="X11" s="2703"/>
      <c r="Y11" s="2703"/>
      <c r="Z11" s="2703"/>
    </row>
    <row r="12" spans="1:31" s="1693" customFormat="1" ht="13.5" customHeight="1">
      <c r="A12" s="2144" t="s">
        <v>428</v>
      </c>
      <c r="B12" s="2120" t="s">
        <v>429</v>
      </c>
      <c r="C12" s="2145" t="s">
        <v>433</v>
      </c>
      <c r="D12" s="1629" t="s">
        <v>434</v>
      </c>
      <c r="E12" s="1629" t="s">
        <v>435</v>
      </c>
      <c r="F12" s="1629" t="s">
        <v>436</v>
      </c>
      <c r="G12" s="2120"/>
      <c r="H12" s="2121"/>
      <c r="I12" s="2121"/>
      <c r="J12" s="2121"/>
      <c r="K12" s="2122"/>
      <c r="L12" s="2704"/>
      <c r="M12" s="2704"/>
      <c r="N12" s="2704"/>
      <c r="O12" s="2704"/>
      <c r="P12" s="2704"/>
      <c r="Q12" s="2704"/>
      <c r="R12" s="2704"/>
      <c r="S12" s="2704"/>
      <c r="T12" s="2704"/>
      <c r="U12" s="2704"/>
      <c r="V12" s="2704"/>
      <c r="W12" s="2704"/>
      <c r="X12" s="2704"/>
      <c r="Y12" s="2704"/>
      <c r="Z12" s="2704"/>
    </row>
    <row r="13" spans="1:31" s="1722" customFormat="1" ht="13.5" customHeight="1">
      <c r="A13" s="2146" t="s">
        <v>1375</v>
      </c>
      <c r="B13" s="2147" t="s">
        <v>437</v>
      </c>
      <c r="C13" s="419">
        <f ca="1">IF(B1="",'数据-取费表'!P16,INDIRECT("'数据-取费表'!p"&amp;$K$1)+INDIRECT("'数据-取费表'!t"&amp;$K$1))</f>
        <v>10150</v>
      </c>
      <c r="D13" s="2148"/>
      <c r="E13" s="339"/>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1376</v>
      </c>
      <c r="B14" s="2147" t="s">
        <v>438</v>
      </c>
      <c r="C14" s="49">
        <f ca="1">ROUND(C13*F14,0)</f>
        <v>508</v>
      </c>
      <c r="D14" s="2148"/>
      <c r="E14" s="339"/>
      <c r="F14" s="2152">
        <f>'数据-取费表'!B33</f>
        <v>0.05</v>
      </c>
      <c r="G14" s="2120" t="s">
        <v>439</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1377</v>
      </c>
      <c r="B15" s="2147" t="s">
        <v>440</v>
      </c>
      <c r="C15" s="49">
        <f ca="1">ROUND(IF(B1="",SUMIF('数据-取费表'!C:C,"住宅",'数据-取费表'!P:P)*F15,IF(INDIRECT("'数据-取费表'!c"&amp;$K$1)="住宅",INDIRECT("'数据-取费表'!P"&amp;$K$1)*F15,0)),0)</f>
        <v>0</v>
      </c>
      <c r="D15" s="2148"/>
      <c r="E15" s="339"/>
      <c r="F15" s="2152">
        <f>'数据-取费表'!B34</f>
        <v>0</v>
      </c>
      <c r="G15" s="2120" t="s">
        <v>441</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1378</v>
      </c>
      <c r="B16" s="2147" t="s">
        <v>442</v>
      </c>
      <c r="C16" s="49">
        <f ca="1">ROUND(D16*E16/10000,0)</f>
        <v>425</v>
      </c>
      <c r="D16" s="2148">
        <f ca="1">IF(B1="",'数据-汇总表'!E3,INDIRECT("'数据-取费表'!K"&amp;$K$1)+INDIRECT("'数据-取费表'!S"&amp;$K$1))</f>
        <v>42462</v>
      </c>
      <c r="E16" s="49">
        <f>'数据-取费表'!B35</f>
        <v>100</v>
      </c>
      <c r="F16" s="2150"/>
      <c r="G16" s="2120"/>
      <c r="H16" s="2121"/>
      <c r="I16" s="2121"/>
      <c r="J16" s="2121"/>
      <c r="K16" s="2122"/>
      <c r="AA16" s="1722"/>
      <c r="AB16" s="1722"/>
      <c r="AC16" s="1722"/>
      <c r="AD16" s="1722"/>
      <c r="AE16" s="1722"/>
    </row>
    <row r="17" spans="1:26" s="1722" customFormat="1" ht="13.5" customHeight="1">
      <c r="A17" s="2146" t="s">
        <v>1379</v>
      </c>
      <c r="B17" s="2147" t="s">
        <v>443</v>
      </c>
      <c r="C17" s="2151">
        <f ca="1">ROUND(C13*F17,0)</f>
        <v>203</v>
      </c>
      <c r="D17" s="444"/>
      <c r="E17" s="2151"/>
      <c r="F17" s="2152">
        <f>'数据-取费表'!B36</f>
        <v>0.02</v>
      </c>
      <c r="G17" s="241" t="s">
        <v>444</v>
      </c>
      <c r="H17" s="1058"/>
      <c r="I17" s="1058"/>
      <c r="J17" s="1058"/>
      <c r="K17" s="258"/>
      <c r="L17" s="1723"/>
      <c r="M17" s="1723"/>
      <c r="N17" s="1723"/>
      <c r="O17" s="1723"/>
      <c r="P17" s="1723"/>
      <c r="Q17" s="1723"/>
      <c r="R17" s="1723"/>
      <c r="S17" s="1723"/>
      <c r="T17" s="1723"/>
      <c r="U17" s="1723"/>
      <c r="V17" s="1723"/>
      <c r="W17" s="1723"/>
      <c r="X17" s="1723"/>
      <c r="Y17" s="1723"/>
      <c r="Z17" s="1723"/>
    </row>
    <row r="18" spans="1:26" s="1722" customFormat="1" ht="13.5" customHeight="1">
      <c r="A18" s="2153" t="s">
        <v>1380</v>
      </c>
      <c r="B18" s="2154" t="s">
        <v>445</v>
      </c>
      <c r="C18" s="2155">
        <f ca="1">SUM(C13:C17)</f>
        <v>11286</v>
      </c>
      <c r="D18" s="2156"/>
      <c r="E18" s="437"/>
      <c r="F18" s="437"/>
      <c r="G18" s="1039" t="s">
        <v>1779</v>
      </c>
      <c r="H18" s="1040"/>
      <c r="I18" s="1040"/>
      <c r="J18" s="1040"/>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1381</v>
      </c>
      <c r="B19" s="2154" t="s">
        <v>446</v>
      </c>
      <c r="C19" s="1629">
        <f ca="1">ROUND(D19*E19/10000,0)</f>
        <v>0</v>
      </c>
      <c r="D19" s="2157">
        <f ca="1">D16</f>
        <v>42462</v>
      </c>
      <c r="E19" s="1629">
        <f>'数据-取费表'!B32</f>
        <v>0</v>
      </c>
      <c r="F19" s="437"/>
      <c r="G19" s="2120" t="s">
        <v>447</v>
      </c>
      <c r="H19" s="2121"/>
      <c r="I19" s="1040"/>
      <c r="J19" s="1040"/>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1382</v>
      </c>
      <c r="B20" s="2154" t="s">
        <v>448</v>
      </c>
      <c r="C20" s="1629">
        <f ca="1">C21+C22-IF(B1="",'数据-取费表'!B29,IF(G20="已全部缴纳",C21+C22,H20))</f>
        <v>318</v>
      </c>
      <c r="D20" s="2157"/>
      <c r="E20" s="1629"/>
      <c r="F20" s="2158"/>
      <c r="G20" s="2342"/>
      <c r="H20" s="2118"/>
      <c r="I20" s="2119" t="s">
        <v>1931</v>
      </c>
      <c r="J20" s="1040"/>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1383</v>
      </c>
      <c r="B21" s="2147" t="s">
        <v>449</v>
      </c>
      <c r="C21" s="49">
        <f ca="1">ROUND(D21*E21/10000,0)</f>
        <v>0</v>
      </c>
      <c r="D21" s="2148">
        <f ca="1">IF(B1="",'数据-汇总表'!E5,IF(INDIRECT("'数据-取费表'!c"&amp;$K$1)="住宅",INDIRECT("'数据-取费表'!k"&amp;$K$1),0))</f>
        <v>0</v>
      </c>
      <c r="E21" s="49">
        <f>'数据-取费表'!B27</f>
        <v>75</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1384</v>
      </c>
      <c r="B22" s="2147" t="s">
        <v>450</v>
      </c>
      <c r="C22" s="49">
        <f ca="1">ROUND(D22*E22/10000,0)</f>
        <v>318</v>
      </c>
      <c r="D22" s="2148">
        <f ca="1">IF(B1="",'数据-汇总表'!E6,IF(INDIRECT("'数据-取费表'!c"&amp;$K$1)="住宅",INDIRECT("'数据-取费表'!s"&amp;$K$1),INDIRECT("'数据-取费表'!k"&amp;$K$1)+INDIRECT("'数据-取费表'!s"&amp;$K$1)))</f>
        <v>42462</v>
      </c>
      <c r="E22" s="49">
        <f>'数据-取费表'!B28</f>
        <v>75</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1385</v>
      </c>
      <c r="B23" s="2317" t="s">
        <v>2107</v>
      </c>
      <c r="C23" s="2155">
        <f ca="1">ROUND((C18+C19+C20)*F23,0)</f>
        <v>232</v>
      </c>
      <c r="D23" s="437"/>
      <c r="E23" s="437"/>
      <c r="F23" s="2159">
        <f>'数据-取费表'!B37</f>
        <v>0.02</v>
      </c>
      <c r="G23" s="2120" t="s">
        <v>1780</v>
      </c>
      <c r="H23" s="2121"/>
      <c r="I23" s="2121"/>
      <c r="J23" s="2121"/>
      <c r="K23" s="2122"/>
      <c r="L23" s="2705"/>
      <c r="M23" s="2705"/>
      <c r="N23" s="2705"/>
      <c r="O23" s="1723"/>
      <c r="P23" s="1723"/>
      <c r="Q23" s="1723"/>
      <c r="R23" s="1723"/>
      <c r="S23" s="1723"/>
      <c r="T23" s="1723"/>
      <c r="U23" s="1723"/>
      <c r="V23" s="1723"/>
      <c r="W23" s="1723"/>
      <c r="X23" s="1723"/>
      <c r="Y23" s="1723"/>
      <c r="Z23" s="1723"/>
    </row>
    <row r="24" spans="1:26" s="1722" customFormat="1" ht="13.5" customHeight="1">
      <c r="A24" s="2153" t="s">
        <v>1386</v>
      </c>
      <c r="B24" s="2317" t="s">
        <v>2110</v>
      </c>
      <c r="C24" s="2155">
        <f ca="1">ROUND(C6*F24,0)</f>
        <v>400</v>
      </c>
      <c r="D24" s="444"/>
      <c r="E24" s="442"/>
      <c r="F24" s="2159">
        <f>'数据-取费表'!B38</f>
        <v>0.02</v>
      </c>
      <c r="G24" s="2125" t="s">
        <v>457</v>
      </c>
      <c r="H24" s="1058"/>
      <c r="I24" s="1058"/>
      <c r="J24" s="1058"/>
      <c r="K24" s="258"/>
      <c r="L24" s="2705"/>
      <c r="M24" s="2705"/>
      <c r="N24" s="2705"/>
      <c r="O24" s="1723"/>
      <c r="P24" s="1723"/>
      <c r="Q24" s="1723"/>
      <c r="R24" s="1723"/>
      <c r="S24" s="1723"/>
      <c r="T24" s="1723"/>
      <c r="U24" s="1723"/>
      <c r="V24" s="1723"/>
      <c r="W24" s="1723"/>
      <c r="X24" s="1723"/>
      <c r="Y24" s="1723"/>
      <c r="Z24" s="1723"/>
    </row>
    <row r="25" spans="1:26" s="1725" customFormat="1" ht="13.5" customHeight="1">
      <c r="A25" s="2153" t="s">
        <v>1387</v>
      </c>
      <c r="B25" s="2317" t="s">
        <v>2108</v>
      </c>
      <c r="C25" s="436">
        <f>ROUND(F25/(1+'数据-取费表'!C42),4)</f>
        <v>2.9000000000000001E-2</v>
      </c>
      <c r="D25" s="431" t="s">
        <v>2103</v>
      </c>
      <c r="E25" s="438"/>
      <c r="F25" s="2159">
        <f>IF(项目基本情况!B8="出让",0,'数据-取费表'!B48+'数据-取费表'!B49)</f>
        <v>3.0499999999999999E-2</v>
      </c>
      <c r="G25" s="2124" t="s">
        <v>1645</v>
      </c>
      <c r="H25" s="2121"/>
      <c r="I25" s="2121"/>
      <c r="J25" s="2121"/>
      <c r="K25" s="2122"/>
      <c r="L25" s="2706"/>
      <c r="M25" s="2706"/>
      <c r="N25" s="2706"/>
      <c r="O25" s="2706"/>
      <c r="P25" s="2706"/>
      <c r="Q25" s="2706"/>
      <c r="R25" s="2706"/>
      <c r="S25" s="2706"/>
      <c r="T25" s="2706"/>
      <c r="U25" s="2706"/>
      <c r="V25" s="2706"/>
      <c r="W25" s="2706"/>
      <c r="X25" s="2706"/>
      <c r="Y25" s="2706"/>
      <c r="Z25" s="2706"/>
    </row>
    <row r="26" spans="1:26" s="1724" customFormat="1" ht="13.5" customHeight="1">
      <c r="A26" s="2153" t="s">
        <v>1388</v>
      </c>
      <c r="B26" s="2318" t="s">
        <v>2109</v>
      </c>
      <c r="C26" s="2160">
        <f ca="1">C28</f>
        <v>367</v>
      </c>
      <c r="D26" s="436">
        <f ca="1">C27</f>
        <v>6.2700000000000006E-2</v>
      </c>
      <c r="E26" s="438" t="s">
        <v>453</v>
      </c>
      <c r="F26" s="440">
        <f ca="1">'数据-取费表'!B40</f>
        <v>0.03</v>
      </c>
      <c r="G26" s="2043" t="str">
        <f>IF('数据-取费表'!B22&lt;=1,"单利计息。","复利计息。")&amp;"后续开发成本、管理费用及销售费用产生的利息。"</f>
        <v>复利计息。后续开发成本、管理费用及销售费用产生的利息。</v>
      </c>
      <c r="H26" s="1040"/>
      <c r="I26" s="1040"/>
      <c r="J26" s="1040"/>
      <c r="K26" s="130"/>
      <c r="L26" s="2705"/>
      <c r="M26" s="2705"/>
      <c r="N26" s="2705"/>
      <c r="O26" s="2705"/>
      <c r="P26" s="2705"/>
      <c r="Q26" s="2705"/>
      <c r="R26" s="2705"/>
      <c r="S26" s="2705"/>
      <c r="T26" s="2705"/>
      <c r="U26" s="2705"/>
      <c r="V26" s="2705"/>
      <c r="W26" s="2705"/>
      <c r="X26" s="2705"/>
      <c r="Y26" s="2705"/>
      <c r="Z26" s="2705"/>
    </row>
    <row r="27" spans="1:26" s="1726" customFormat="1" ht="13.5" customHeight="1">
      <c r="A27" s="738" t="s">
        <v>1383</v>
      </c>
      <c r="B27" s="2161" t="s">
        <v>454</v>
      </c>
      <c r="C27" s="2162">
        <f ca="1">ROUND(IF('数据-取费表'!B22&lt;=1,(1+C25)*F26*'数据-取费表'!B24,(1+C25)*(POWER((1+F26),'数据-取费表'!B24)-1)),4)</f>
        <v>6.2700000000000006E-2</v>
      </c>
      <c r="D27" s="441"/>
      <c r="E27" s="442"/>
      <c r="F27" s="443"/>
      <c r="G27" s="2043" t="str">
        <f>IF('数据-取费表'!B22&lt;=1,"（1+取得税费率/(1+5%)）×年利率×建设期","（1+取得税费率）/(1+5%)×((1+年利率)^建设期-1)")</f>
        <v>（1+取得税费率）/(1+5%)×((1+年利率)^建设期-1)</v>
      </c>
      <c r="H27" s="1058"/>
      <c r="I27" s="1058"/>
      <c r="J27" s="1058"/>
      <c r="K27" s="258"/>
      <c r="L27" s="2707"/>
      <c r="M27" s="2707"/>
      <c r="N27" s="2707"/>
      <c r="O27" s="2707"/>
      <c r="P27" s="2707"/>
      <c r="Q27" s="2707"/>
      <c r="R27" s="2707"/>
      <c r="S27" s="2707"/>
      <c r="T27" s="2707"/>
      <c r="U27" s="2707"/>
      <c r="V27" s="2707"/>
      <c r="W27" s="2707"/>
      <c r="X27" s="2707"/>
      <c r="Y27" s="2707"/>
      <c r="Z27" s="2707"/>
    </row>
    <row r="28" spans="1:26" s="1726" customFormat="1" ht="13.5" customHeight="1">
      <c r="A28" s="738" t="s">
        <v>1384</v>
      </c>
      <c r="B28" s="2161" t="s">
        <v>2111</v>
      </c>
      <c r="C28" s="2163">
        <f ca="1">ROUND(IF('数据-取费表'!B22&lt;=1,(C18+C19+C20+C23+C24)*F26*'数据-取费表'!B24/2,(C18+C19+C20+C23+C24)*(POWER((1+F26),'数据-取费表'!B24/2)-1)),0)</f>
        <v>367</v>
      </c>
      <c r="D28" s="441"/>
      <c r="E28" s="442"/>
      <c r="F28" s="443"/>
      <c r="G28" s="2043" t="str">
        <f>IF('数据-取费表'!B22&lt;=1,"（1）-（4）项×年利率×建设期÷2","（1）-（4）项×((1+年利率)^(建设期÷2)-1)")</f>
        <v>（1）-（4）项×((1+年利率)^(建设期÷2)-1)</v>
      </c>
      <c r="H28" s="1058"/>
      <c r="I28" s="1058"/>
      <c r="J28" s="1058"/>
      <c r="K28" s="258"/>
      <c r="L28" s="2707"/>
      <c r="M28" s="2707"/>
      <c r="N28" s="2707"/>
      <c r="O28" s="2707"/>
      <c r="P28" s="2707"/>
      <c r="Q28" s="2707"/>
      <c r="R28" s="2707"/>
      <c r="S28" s="2707"/>
      <c r="T28" s="2707"/>
      <c r="U28" s="2707"/>
      <c r="V28" s="2707"/>
      <c r="W28" s="2707"/>
      <c r="X28" s="2707"/>
      <c r="Y28" s="2707"/>
      <c r="Z28" s="2707"/>
    </row>
    <row r="29" spans="1:26" s="1726" customFormat="1" ht="13.5" customHeight="1">
      <c r="A29" s="2164" t="s">
        <v>1389</v>
      </c>
      <c r="B29" s="2154" t="s">
        <v>455</v>
      </c>
      <c r="C29" s="2155">
        <f ca="1">ROUND(C6*F29/(1+'数据-取费表'!C42),0)</f>
        <v>1046</v>
      </c>
      <c r="D29" s="437"/>
      <c r="E29" s="437"/>
      <c r="F29" s="2319">
        <f>'数据-取费表'!B41</f>
        <v>5.5000000000000007E-2</v>
      </c>
      <c r="G29" s="2125" t="s">
        <v>456</v>
      </c>
      <c r="H29" s="2121"/>
      <c r="I29" s="2121"/>
      <c r="J29" s="2121"/>
      <c r="K29" s="2122"/>
      <c r="L29" s="2707"/>
      <c r="M29" s="2707"/>
      <c r="N29" s="2707"/>
      <c r="O29" s="2707"/>
      <c r="P29" s="2707"/>
      <c r="Q29" s="2707"/>
      <c r="R29" s="2707"/>
      <c r="S29" s="2707"/>
      <c r="T29" s="2707"/>
      <c r="U29" s="2707"/>
      <c r="V29" s="2707"/>
      <c r="W29" s="2707"/>
      <c r="X29" s="2707"/>
      <c r="Y29" s="2707"/>
      <c r="Z29" s="2707"/>
    </row>
    <row r="30" spans="1:26" s="1727" customFormat="1" ht="13.5" customHeight="1">
      <c r="A30" s="1355" t="s">
        <v>1390</v>
      </c>
      <c r="B30" s="2165" t="s">
        <v>458</v>
      </c>
      <c r="C30" s="2160">
        <f ca="1">C31</f>
        <v>13649</v>
      </c>
      <c r="D30" s="446">
        <f ca="1">C32</f>
        <v>9.1700000000000004E-2</v>
      </c>
      <c r="E30" s="438" t="s">
        <v>453</v>
      </c>
      <c r="F30" s="440"/>
      <c r="G30" s="2124" t="s">
        <v>2218</v>
      </c>
      <c r="H30" s="2121"/>
      <c r="I30" s="2121"/>
      <c r="J30" s="2121"/>
      <c r="K30" s="2122"/>
      <c r="L30" s="2708"/>
      <c r="M30" s="2708"/>
      <c r="N30" s="2708"/>
      <c r="O30" s="2708"/>
      <c r="P30" s="2708"/>
      <c r="Q30" s="2708"/>
      <c r="R30" s="2708"/>
      <c r="S30" s="2708"/>
      <c r="T30" s="2708"/>
      <c r="U30" s="2708"/>
      <c r="V30" s="2708"/>
      <c r="W30" s="2708"/>
      <c r="X30" s="2708"/>
      <c r="Y30" s="2708"/>
      <c r="Z30" s="2708"/>
    </row>
    <row r="31" spans="1:26" s="1726" customFormat="1" ht="13.5" customHeight="1">
      <c r="A31" s="738" t="s">
        <v>1383</v>
      </c>
      <c r="B31" s="2161"/>
      <c r="C31" s="419">
        <f ca="1">C18+C19+C20+C23+C24+C26+C29</f>
        <v>13649</v>
      </c>
      <c r="D31" s="441"/>
      <c r="E31" s="442"/>
      <c r="F31" s="443"/>
      <c r="G31" s="241"/>
      <c r="H31" s="1058"/>
      <c r="I31" s="1058"/>
      <c r="J31" s="1058"/>
      <c r="K31" s="258"/>
      <c r="L31" s="2707"/>
      <c r="M31" s="2707"/>
      <c r="N31" s="2707"/>
      <c r="O31" s="2707"/>
      <c r="P31" s="2707"/>
      <c r="Q31" s="2707"/>
      <c r="R31" s="2707"/>
      <c r="S31" s="2707"/>
      <c r="T31" s="2707"/>
      <c r="U31" s="2707"/>
      <c r="V31" s="2707"/>
      <c r="W31" s="2707"/>
      <c r="X31" s="2707"/>
      <c r="Y31" s="2707"/>
      <c r="Z31" s="2707"/>
    </row>
    <row r="32" spans="1:26" s="1726" customFormat="1" ht="13.5" customHeight="1">
      <c r="A32" s="738" t="s">
        <v>1384</v>
      </c>
      <c r="B32" s="2161"/>
      <c r="C32" s="49">
        <f ca="1">ROUND(C25+D26,4)</f>
        <v>9.1700000000000004E-2</v>
      </c>
      <c r="D32" s="441"/>
      <c r="E32" s="442"/>
      <c r="F32" s="443"/>
      <c r="G32" s="241"/>
      <c r="H32" s="1058"/>
      <c r="I32" s="1058"/>
      <c r="J32" s="1058"/>
      <c r="K32" s="258"/>
      <c r="L32" s="2707"/>
      <c r="M32" s="2707"/>
      <c r="N32" s="2707"/>
      <c r="O32" s="2707"/>
      <c r="P32" s="2707"/>
      <c r="Q32" s="2707"/>
      <c r="R32" s="2707"/>
      <c r="S32" s="2707"/>
      <c r="T32" s="2707"/>
      <c r="U32" s="2707"/>
      <c r="V32" s="2707"/>
      <c r="W32" s="2707"/>
      <c r="X32" s="2707"/>
      <c r="Y32" s="2707"/>
      <c r="Z32" s="2707"/>
    </row>
    <row r="33" spans="1:26" s="1728" customFormat="1" ht="13.5" customHeight="1">
      <c r="A33" s="2316" t="s">
        <v>2106</v>
      </c>
      <c r="B33" s="2314" t="s">
        <v>2104</v>
      </c>
      <c r="C33" s="447">
        <f ca="1">C35</f>
        <v>1224</v>
      </c>
      <c r="D33" s="436">
        <f ca="1">C34</f>
        <v>0.10290000000000001</v>
      </c>
      <c r="E33" s="438" t="s">
        <v>453</v>
      </c>
      <c r="F33" s="448">
        <f ca="1">IF(B1="",'数据-取费表'!Q16,INDIRECT("'数据-取费表'!q"&amp;$K$1))</f>
        <v>0.1</v>
      </c>
      <c r="G33" s="1039"/>
      <c r="H33" s="1040"/>
      <c r="I33" s="1040"/>
      <c r="J33" s="1040"/>
      <c r="K33" s="130"/>
      <c r="L33" s="2709"/>
      <c r="M33" s="2709"/>
      <c r="N33" s="2709"/>
      <c r="O33" s="2709"/>
      <c r="P33" s="2709"/>
      <c r="Q33" s="2709"/>
      <c r="R33" s="2709"/>
      <c r="S33" s="2709"/>
      <c r="T33" s="2709"/>
      <c r="U33" s="2709"/>
      <c r="V33" s="2709"/>
      <c r="W33" s="2709"/>
      <c r="X33" s="2709"/>
      <c r="Y33" s="2709"/>
      <c r="Z33" s="2709"/>
    </row>
    <row r="34" spans="1:26" s="1729" customFormat="1" ht="13.5" customHeight="1">
      <c r="A34" s="345" t="s">
        <v>1383</v>
      </c>
      <c r="B34" s="2166" t="s">
        <v>459</v>
      </c>
      <c r="C34" s="441">
        <f ca="1">ROUND((1+C25)*F33,4)</f>
        <v>0.10290000000000001</v>
      </c>
      <c r="D34" s="441"/>
      <c r="E34" s="442"/>
      <c r="F34" s="449"/>
      <c r="G34" s="241" t="s">
        <v>1646</v>
      </c>
      <c r="H34" s="1058"/>
      <c r="I34" s="1058"/>
      <c r="J34" s="1058"/>
      <c r="K34" s="258"/>
      <c r="L34" s="2710"/>
      <c r="M34" s="2710"/>
      <c r="N34" s="2710"/>
      <c r="O34" s="2710"/>
      <c r="P34" s="2710"/>
      <c r="Q34" s="2710"/>
      <c r="R34" s="2710"/>
      <c r="S34" s="2710"/>
      <c r="T34" s="2710"/>
      <c r="U34" s="2710"/>
      <c r="V34" s="2710"/>
      <c r="W34" s="2710"/>
      <c r="X34" s="2710"/>
      <c r="Y34" s="2710"/>
      <c r="Z34" s="2710"/>
    </row>
    <row r="35" spans="1:26" s="1729" customFormat="1" ht="13.5" customHeight="1" thickBot="1">
      <c r="A35" s="1356" t="s">
        <v>1384</v>
      </c>
      <c r="B35" s="2315" t="s">
        <v>2112</v>
      </c>
      <c r="C35" s="1348">
        <f ca="1">ROUND((C18+C19+C20+C23+C24)*F33,0)</f>
        <v>1224</v>
      </c>
      <c r="D35" s="1349"/>
      <c r="E35" s="2167"/>
      <c r="F35" s="1350"/>
      <c r="G35" s="2126"/>
      <c r="H35" s="2127"/>
      <c r="I35" s="2127"/>
      <c r="J35" s="2127"/>
      <c r="K35" s="2128"/>
      <c r="L35" s="2710"/>
      <c r="M35" s="2710"/>
      <c r="N35" s="2710"/>
      <c r="O35" s="2710"/>
      <c r="P35" s="2710"/>
      <c r="Q35" s="2710"/>
      <c r="R35" s="2710"/>
      <c r="S35" s="2710"/>
      <c r="T35" s="2710"/>
      <c r="U35" s="2710"/>
      <c r="V35" s="2710"/>
      <c r="W35" s="2710"/>
      <c r="X35" s="2710"/>
      <c r="Y35" s="2710"/>
      <c r="Z35" s="2710"/>
    </row>
    <row r="36" spans="1:26" s="1693" customFormat="1" ht="13.5" customHeight="1" thickBot="1">
      <c r="A36" s="262" t="s">
        <v>1371</v>
      </c>
      <c r="B36" s="2130"/>
      <c r="C36" s="2168">
        <f ca="1">ROUND((C6-C30-C33)/(1+D30+D33),0)</f>
        <v>4271</v>
      </c>
      <c r="D36" s="2130"/>
      <c r="E36" s="2130"/>
      <c r="F36" s="2130"/>
      <c r="G36" s="2129" t="s">
        <v>2113</v>
      </c>
      <c r="H36" s="2130"/>
      <c r="I36" s="2130"/>
      <c r="J36" s="2130"/>
      <c r="K36" s="2131"/>
      <c r="L36" s="2704"/>
      <c r="M36" s="2704"/>
      <c r="N36" s="2704"/>
      <c r="O36" s="2704"/>
      <c r="P36" s="2704"/>
      <c r="Q36" s="2704"/>
      <c r="R36" s="2704"/>
      <c r="S36" s="2704"/>
      <c r="T36" s="2704"/>
      <c r="U36" s="2704"/>
      <c r="V36" s="2704"/>
      <c r="W36" s="2704"/>
      <c r="X36" s="2704"/>
      <c r="Y36" s="2704"/>
      <c r="Z36" s="2704"/>
    </row>
    <row r="37" spans="1:26" s="1721" customFormat="1">
      <c r="A37" s="2711"/>
      <c r="C37" s="2712"/>
      <c r="E37" s="2711"/>
    </row>
    <row r="38" spans="1:26" s="1721" customFormat="1" ht="12.75" customHeight="1">
      <c r="A38" s="2711"/>
      <c r="C38" s="2712"/>
      <c r="E38" s="2711"/>
    </row>
    <row r="39" spans="1:26" s="1721" customFormat="1">
      <c r="A39" s="2711"/>
      <c r="C39" s="2712"/>
      <c r="E39" s="2711"/>
    </row>
    <row r="40" spans="1:26" s="1721" customFormat="1">
      <c r="A40" s="2711"/>
      <c r="C40" s="2712"/>
      <c r="E40" s="2711"/>
    </row>
    <row r="41" spans="1:26" s="1721" customFormat="1">
      <c r="A41" s="2711"/>
      <c r="C41" s="2712"/>
      <c r="E41" s="2711"/>
    </row>
    <row r="42" spans="1:26" s="1721" customFormat="1">
      <c r="A42" s="2711"/>
      <c r="C42" s="2712"/>
      <c r="E42" s="2711"/>
    </row>
    <row r="43" spans="1:26" s="1721" customFormat="1">
      <c r="A43" s="2711"/>
      <c r="C43" s="2712"/>
      <c r="E43" s="2711"/>
    </row>
    <row r="44" spans="1:26" s="1721" customFormat="1">
      <c r="A44" s="2711"/>
      <c r="C44" s="2712"/>
      <c r="E44" s="2711"/>
    </row>
    <row r="45" spans="1:26" s="1721" customFormat="1">
      <c r="A45" s="2711"/>
      <c r="C45" s="2712"/>
      <c r="E45" s="2711"/>
    </row>
    <row r="46" spans="1:26" s="1721" customFormat="1">
      <c r="A46" s="2711"/>
      <c r="C46" s="2712"/>
      <c r="E46" s="2711"/>
    </row>
    <row r="47" spans="1:26" s="1721" customFormat="1">
      <c r="A47" s="2711"/>
      <c r="C47" s="2712"/>
      <c r="E47" s="2711"/>
    </row>
    <row r="48" spans="1:26" s="1721" customFormat="1">
      <c r="A48" s="2711"/>
      <c r="C48" s="2712"/>
      <c r="E48" s="2711"/>
    </row>
    <row r="49" spans="1:5" s="1721" customFormat="1">
      <c r="A49" s="2711"/>
      <c r="C49" s="2712"/>
      <c r="E49" s="2711"/>
    </row>
    <row r="50" spans="1:5" s="1721" customFormat="1">
      <c r="A50" s="2711"/>
      <c r="C50" s="2712"/>
      <c r="E50" s="2711"/>
    </row>
    <row r="51" spans="1:5" s="1721" customFormat="1">
      <c r="A51" s="2711"/>
      <c r="C51" s="2712"/>
      <c r="E51" s="2711"/>
    </row>
    <row r="52" spans="1:5" s="1721" customFormat="1">
      <c r="A52" s="2711"/>
      <c r="C52" s="2712"/>
      <c r="E52" s="2711"/>
    </row>
    <row r="53" spans="1:5" s="1721" customFormat="1">
      <c r="A53" s="2711"/>
      <c r="C53" s="2712"/>
      <c r="E53" s="2711"/>
    </row>
    <row r="54" spans="1:5" s="1721" customFormat="1">
      <c r="A54" s="2711"/>
      <c r="C54" s="2712"/>
      <c r="E54" s="2711"/>
    </row>
    <row r="55" spans="1:5" s="1721" customFormat="1">
      <c r="A55" s="2711"/>
      <c r="C55" s="2712"/>
      <c r="E55" s="2711"/>
    </row>
    <row r="56" spans="1:5" s="1721" customFormat="1">
      <c r="A56" s="2711"/>
      <c r="C56" s="2712"/>
      <c r="E56" s="2711"/>
    </row>
    <row r="57" spans="1:5" s="1721" customFormat="1">
      <c r="A57" s="2711"/>
      <c r="C57" s="2712"/>
      <c r="E57" s="2711"/>
    </row>
    <row r="58" spans="1:5" s="1721" customFormat="1">
      <c r="A58" s="2711"/>
      <c r="C58" s="2712"/>
      <c r="E58" s="2711"/>
    </row>
    <row r="59" spans="1:5" s="1721" customFormat="1">
      <c r="A59" s="2711"/>
      <c r="C59" s="2712"/>
      <c r="E59" s="2711"/>
    </row>
    <row r="60" spans="1:5" s="1721" customFormat="1">
      <c r="A60" s="2711"/>
      <c r="C60" s="2712"/>
      <c r="E60" s="2711"/>
    </row>
    <row r="61" spans="1:5" s="1721" customFormat="1">
      <c r="A61" s="2711"/>
      <c r="C61" s="2712"/>
      <c r="E61" s="2711"/>
    </row>
    <row r="62" spans="1:5" s="1721" customFormat="1">
      <c r="A62" s="2711"/>
      <c r="C62" s="2712"/>
      <c r="E62" s="2711"/>
    </row>
    <row r="63" spans="1:5" s="1721" customFormat="1">
      <c r="A63" s="2711"/>
      <c r="C63" s="2712"/>
      <c r="E63" s="2711"/>
    </row>
    <row r="64" spans="1:5" s="1721" customFormat="1">
      <c r="A64" s="2711"/>
      <c r="C64" s="2712"/>
      <c r="E64" s="2711"/>
    </row>
    <row r="65" spans="1:5" s="1721" customFormat="1">
      <c r="A65" s="2711"/>
      <c r="C65" s="2712"/>
      <c r="E65" s="2711"/>
    </row>
    <row r="66" spans="1:5" s="1721" customFormat="1">
      <c r="A66" s="2711"/>
      <c r="C66" s="2712"/>
      <c r="E66" s="2711"/>
    </row>
    <row r="67" spans="1:5" s="1721" customFormat="1">
      <c r="A67" s="2711"/>
      <c r="C67" s="2712"/>
      <c r="E67" s="2711"/>
    </row>
    <row r="68" spans="1:5" s="1721" customFormat="1">
      <c r="A68" s="2711"/>
      <c r="C68" s="2712"/>
      <c r="E68" s="2711"/>
    </row>
    <row r="69" spans="1:5" s="1721" customFormat="1">
      <c r="A69" s="2711"/>
      <c r="C69" s="2712"/>
      <c r="E69" s="2711"/>
    </row>
    <row r="70" spans="1:5" s="1721" customFormat="1">
      <c r="A70" s="2711"/>
      <c r="C70" s="2712"/>
      <c r="E70" s="2711"/>
    </row>
    <row r="71" spans="1:5" s="1721" customFormat="1">
      <c r="A71" s="2711"/>
      <c r="C71" s="2712"/>
      <c r="E71" s="2711"/>
    </row>
    <row r="72" spans="1:5" s="1721" customFormat="1">
      <c r="A72" s="2711"/>
      <c r="C72" s="2712"/>
      <c r="E72" s="2711"/>
    </row>
    <row r="73" spans="1:5" s="1721" customFormat="1">
      <c r="A73" s="2711"/>
      <c r="C73" s="2712"/>
      <c r="E73" s="2711"/>
    </row>
    <row r="74" spans="1:5" s="1721" customFormat="1">
      <c r="A74" s="2711"/>
      <c r="C74" s="2712"/>
      <c r="E74" s="2711"/>
    </row>
    <row r="75" spans="1:5" s="1721" customFormat="1">
      <c r="A75" s="2711"/>
      <c r="C75" s="2712"/>
      <c r="E75" s="2711"/>
    </row>
    <row r="76" spans="1:5" s="1721" customFormat="1">
      <c r="A76" s="2711"/>
      <c r="C76" s="2712"/>
      <c r="E76" s="2711"/>
    </row>
    <row r="77" spans="1:5" s="1721" customFormat="1">
      <c r="A77" s="2711"/>
      <c r="C77" s="2712"/>
      <c r="E77" s="2711"/>
    </row>
    <row r="78" spans="1:5" s="1721" customFormat="1">
      <c r="A78" s="2711"/>
      <c r="C78" s="2712"/>
      <c r="E78" s="2711"/>
    </row>
    <row r="79" spans="1:5" s="1721" customFormat="1">
      <c r="A79" s="2711"/>
      <c r="C79" s="2712"/>
      <c r="E79" s="2711"/>
    </row>
    <row r="80" spans="1:5" s="1721" customFormat="1">
      <c r="A80" s="2711"/>
      <c r="C80" s="2712"/>
      <c r="E80" s="2711"/>
    </row>
    <row r="81" spans="1:5" s="1721" customFormat="1">
      <c r="A81" s="2711"/>
      <c r="C81" s="2712"/>
      <c r="E81" s="2711"/>
    </row>
    <row r="82" spans="1:5" s="1721" customFormat="1">
      <c r="A82" s="2711"/>
      <c r="C82" s="2712"/>
      <c r="E82" s="2711"/>
    </row>
    <row r="83" spans="1:5" s="1721" customFormat="1">
      <c r="A83" s="2711"/>
      <c r="C83" s="2712"/>
      <c r="E83" s="2711"/>
    </row>
    <row r="84" spans="1:5" s="1721" customFormat="1">
      <c r="A84" s="2711"/>
      <c r="C84" s="2712"/>
      <c r="E84" s="2711"/>
    </row>
    <row r="85" spans="1:5" s="1721" customFormat="1">
      <c r="A85" s="2711"/>
      <c r="C85" s="2712"/>
      <c r="E85" s="2711"/>
    </row>
    <row r="86" spans="1:5" s="1721" customFormat="1">
      <c r="A86" s="2711"/>
      <c r="C86" s="2712"/>
      <c r="E86" s="2711"/>
    </row>
    <row r="87" spans="1:5" s="1721" customFormat="1">
      <c r="A87" s="2711"/>
      <c r="C87" s="2712"/>
      <c r="E87" s="2711"/>
    </row>
    <row r="88" spans="1:5" s="1721" customFormat="1">
      <c r="A88" s="2711"/>
      <c r="C88" s="2712"/>
      <c r="E88" s="2711"/>
    </row>
    <row r="89" spans="1:5" s="1721" customFormat="1">
      <c r="A89" s="2711"/>
      <c r="C89" s="2712"/>
      <c r="E89" s="2711"/>
    </row>
    <row r="90" spans="1:5" s="1721" customFormat="1">
      <c r="A90" s="2711"/>
      <c r="C90" s="2712"/>
      <c r="E90" s="2711"/>
    </row>
    <row r="91" spans="1:5" s="1721" customFormat="1">
      <c r="A91" s="2711"/>
      <c r="C91" s="2712"/>
      <c r="E91" s="2711"/>
    </row>
    <row r="92" spans="1:5" s="1721" customFormat="1">
      <c r="A92" s="2711"/>
      <c r="C92" s="2712"/>
      <c r="E92" s="2711"/>
    </row>
    <row r="93" spans="1:5" s="1721" customFormat="1">
      <c r="A93" s="2711"/>
      <c r="C93" s="2712"/>
      <c r="E93" s="2711"/>
    </row>
    <row r="94" spans="1:5" s="1721" customFormat="1">
      <c r="A94" s="2711"/>
      <c r="C94" s="2712"/>
      <c r="E94" s="2711"/>
    </row>
    <row r="95" spans="1:5" s="1721" customFormat="1">
      <c r="A95" s="2711"/>
      <c r="C95" s="2712"/>
      <c r="E95" s="2711"/>
    </row>
    <row r="96" spans="1:5" s="1721" customFormat="1">
      <c r="A96" s="2711"/>
      <c r="C96" s="2712"/>
      <c r="E96" s="2711"/>
    </row>
    <row r="97" spans="1:5" s="1721" customFormat="1">
      <c r="A97" s="2711"/>
      <c r="C97" s="2712"/>
      <c r="E97" s="2711"/>
    </row>
    <row r="98" spans="1:5" s="1721" customFormat="1">
      <c r="A98" s="2711"/>
      <c r="C98" s="2712"/>
      <c r="E98" s="2711"/>
    </row>
    <row r="99" spans="1:5" s="1721" customFormat="1">
      <c r="A99" s="2711"/>
      <c r="C99" s="2712"/>
      <c r="E99" s="2711"/>
    </row>
    <row r="100" spans="1:5" s="1721" customFormat="1">
      <c r="A100" s="2711"/>
      <c r="C100" s="2712"/>
      <c r="E100" s="2711"/>
    </row>
    <row r="101" spans="1:5" s="1721" customFormat="1">
      <c r="A101" s="2711"/>
      <c r="C101" s="2712"/>
      <c r="E101" s="2711"/>
    </row>
    <row r="102" spans="1:5" s="1721" customFormat="1">
      <c r="A102" s="2711"/>
      <c r="C102" s="2712"/>
      <c r="E102" s="2711"/>
    </row>
    <row r="103" spans="1:5" s="1721" customFormat="1">
      <c r="A103" s="2711"/>
      <c r="C103" s="2712"/>
      <c r="E103" s="2711"/>
    </row>
    <row r="104" spans="1:5" s="1721" customFormat="1">
      <c r="A104" s="2711"/>
      <c r="C104" s="2712"/>
      <c r="E104" s="2711"/>
    </row>
    <row r="105" spans="1:5" s="1721" customFormat="1">
      <c r="A105" s="2711"/>
      <c r="C105" s="2712"/>
      <c r="E105" s="2711"/>
    </row>
    <row r="106" spans="1:5" s="1721" customFormat="1">
      <c r="A106" s="2711"/>
      <c r="C106" s="2712"/>
      <c r="E106" s="2711"/>
    </row>
    <row r="107" spans="1:5" s="1721" customFormat="1">
      <c r="A107" s="2711"/>
      <c r="C107" s="2712"/>
      <c r="E107" s="2711"/>
    </row>
    <row r="108" spans="1:5" s="1721" customFormat="1">
      <c r="A108" s="2711"/>
      <c r="C108" s="2712"/>
      <c r="E108" s="2711"/>
    </row>
    <row r="109" spans="1:5" s="1721" customFormat="1">
      <c r="A109" s="2711"/>
      <c r="C109" s="2712"/>
      <c r="E109" s="2711"/>
    </row>
    <row r="110" spans="1:5" s="1721" customFormat="1">
      <c r="A110" s="2711"/>
      <c r="C110" s="2712"/>
      <c r="E110" s="2711"/>
    </row>
    <row r="111" spans="1:5" s="1721" customFormat="1">
      <c r="A111" s="2711"/>
      <c r="C111" s="2712"/>
      <c r="E111" s="2711"/>
    </row>
    <row r="112" spans="1:5" s="1721" customFormat="1">
      <c r="A112" s="2711"/>
      <c r="C112" s="2712"/>
      <c r="E112" s="2711"/>
    </row>
    <row r="113" spans="1:5" s="1721" customFormat="1">
      <c r="A113" s="2711"/>
      <c r="C113" s="2712"/>
      <c r="E113" s="2711"/>
    </row>
    <row r="114" spans="1:5" s="1721" customFormat="1">
      <c r="A114" s="2711"/>
      <c r="C114" s="2712"/>
      <c r="E114" s="2711"/>
    </row>
    <row r="115" spans="1:5" s="1721" customFormat="1">
      <c r="A115" s="2711"/>
      <c r="C115" s="2712"/>
      <c r="E115" s="2711"/>
    </row>
    <row r="116" spans="1:5" s="1721" customFormat="1">
      <c r="A116" s="2711"/>
      <c r="C116" s="2712"/>
      <c r="E116" s="2711"/>
    </row>
    <row r="117" spans="1:5" s="1721" customFormat="1">
      <c r="A117" s="2711"/>
      <c r="C117" s="2712"/>
      <c r="E117" s="2711"/>
    </row>
    <row r="118" spans="1:5" s="1721" customFormat="1">
      <c r="A118" s="2711"/>
      <c r="C118" s="2712"/>
      <c r="E118" s="2711"/>
    </row>
    <row r="119" spans="1:5" s="1721" customFormat="1">
      <c r="A119" s="2711"/>
      <c r="C119" s="2712"/>
      <c r="E119" s="2711"/>
    </row>
    <row r="120" spans="1:5" s="1721" customFormat="1">
      <c r="A120" s="2711"/>
      <c r="C120" s="2712"/>
      <c r="E120" s="2711"/>
    </row>
    <row r="121" spans="1:5" s="1721" customFormat="1">
      <c r="A121" s="2711"/>
      <c r="C121" s="2712"/>
      <c r="E121" s="2711"/>
    </row>
    <row r="122" spans="1:5" s="1721" customFormat="1">
      <c r="A122" s="2711"/>
      <c r="C122" s="2712"/>
      <c r="E122" s="2711"/>
    </row>
    <row r="123" spans="1:5" s="1721" customFormat="1">
      <c r="A123" s="2711"/>
      <c r="C123" s="2712"/>
      <c r="E123" s="2711"/>
    </row>
    <row r="124" spans="1:5" s="1721" customFormat="1">
      <c r="A124" s="2711"/>
      <c r="C124" s="2712"/>
      <c r="E124" s="2711"/>
    </row>
    <row r="125" spans="1:5" s="1721" customFormat="1">
      <c r="A125" s="2711"/>
      <c r="C125" s="2712"/>
      <c r="E125" s="2711"/>
    </row>
    <row r="126" spans="1:5" s="1721" customFormat="1">
      <c r="A126" s="2711"/>
      <c r="C126" s="2712"/>
      <c r="E126" s="2711"/>
    </row>
    <row r="127" spans="1:5" s="1721" customFormat="1">
      <c r="A127" s="2711"/>
      <c r="C127" s="2712"/>
      <c r="E127" s="2711"/>
    </row>
    <row r="128" spans="1:5" s="1721" customFormat="1">
      <c r="A128" s="2711"/>
      <c r="C128" s="2712"/>
      <c r="E128" s="2711"/>
    </row>
    <row r="129" spans="1:5" s="1721" customFormat="1">
      <c r="A129" s="2711"/>
      <c r="C129" s="2712"/>
      <c r="E129" s="2711"/>
    </row>
    <row r="130" spans="1:5" s="1721" customFormat="1">
      <c r="A130" s="2711"/>
      <c r="C130" s="2712"/>
      <c r="E130" s="2711"/>
    </row>
    <row r="131" spans="1:5" s="1721" customFormat="1">
      <c r="A131" s="2711"/>
      <c r="C131" s="2712"/>
      <c r="E131" s="2711"/>
    </row>
    <row r="132" spans="1:5" s="1721" customFormat="1">
      <c r="A132" s="2711"/>
      <c r="C132" s="2712"/>
      <c r="E132" s="2711"/>
    </row>
    <row r="133" spans="1:5" s="1721" customFormat="1">
      <c r="A133" s="2711"/>
      <c r="C133" s="2712"/>
      <c r="E133" s="2711"/>
    </row>
    <row r="134" spans="1:5" s="1721" customFormat="1">
      <c r="A134" s="2711"/>
      <c r="C134" s="2712"/>
      <c r="E134" s="2711"/>
    </row>
    <row r="135" spans="1:5" s="1721" customFormat="1">
      <c r="A135" s="2711"/>
      <c r="C135" s="2712"/>
      <c r="E135" s="2711"/>
    </row>
    <row r="136" spans="1:5" s="1721" customFormat="1">
      <c r="A136" s="2711"/>
      <c r="C136" s="2712"/>
      <c r="E136" s="2711"/>
    </row>
    <row r="137" spans="1:5" s="1721" customFormat="1">
      <c r="A137" s="2711"/>
      <c r="C137" s="2712"/>
      <c r="E137" s="2711"/>
    </row>
    <row r="138" spans="1:5" s="1721" customFormat="1">
      <c r="A138" s="2711"/>
      <c r="C138" s="2712"/>
      <c r="E138" s="2711"/>
    </row>
    <row r="139" spans="1:5" s="1721" customFormat="1">
      <c r="A139" s="2711"/>
      <c r="C139" s="2712"/>
      <c r="E139" s="2711"/>
    </row>
    <row r="140" spans="1:5" s="1721" customFormat="1">
      <c r="A140" s="2711"/>
      <c r="C140" s="2712"/>
      <c r="E140" s="2711"/>
    </row>
    <row r="141" spans="1:5" s="1721" customFormat="1">
      <c r="A141" s="2711"/>
      <c r="C141" s="2712"/>
      <c r="E141" s="2711"/>
    </row>
    <row r="142" spans="1:5" s="1721" customFormat="1">
      <c r="A142" s="2711"/>
      <c r="C142" s="2712"/>
      <c r="E142" s="2711"/>
    </row>
    <row r="143" spans="1:5" s="1721" customFormat="1">
      <c r="A143" s="2711"/>
      <c r="C143" s="2712"/>
      <c r="E143" s="2711"/>
    </row>
    <row r="144" spans="1:5" s="1721" customFormat="1">
      <c r="A144" s="2711"/>
      <c r="C144" s="2712"/>
      <c r="E144" s="2711"/>
    </row>
    <row r="145" spans="1:5" s="1721" customFormat="1">
      <c r="A145" s="2711"/>
      <c r="C145" s="2712"/>
      <c r="E145" s="2711"/>
    </row>
    <row r="146" spans="1:5" s="1721" customFormat="1">
      <c r="A146" s="2711"/>
      <c r="C146" s="2712"/>
      <c r="E146" s="2711"/>
    </row>
    <row r="147" spans="1:5" s="1721" customFormat="1">
      <c r="A147" s="2711"/>
      <c r="C147" s="2712"/>
      <c r="E147" s="2711"/>
    </row>
    <row r="148" spans="1:5" s="1721" customFormat="1">
      <c r="A148" s="2711"/>
      <c r="C148" s="2712"/>
      <c r="E148" s="2711"/>
    </row>
    <row r="149" spans="1:5" s="1721" customFormat="1">
      <c r="A149" s="2711"/>
      <c r="C149" s="2712"/>
      <c r="E149" s="2711"/>
    </row>
    <row r="150" spans="1:5" s="1721" customFormat="1">
      <c r="A150" s="2711"/>
      <c r="C150" s="2712"/>
      <c r="E150" s="2711"/>
    </row>
    <row r="151" spans="1:5" s="1721" customFormat="1">
      <c r="A151" s="2711"/>
      <c r="C151" s="2712"/>
      <c r="E151" s="2711"/>
    </row>
    <row r="152" spans="1:5" s="1721" customFormat="1">
      <c r="A152" s="2711"/>
      <c r="C152" s="2712"/>
      <c r="E152" s="2711"/>
    </row>
    <row r="153" spans="1:5" s="1721" customFormat="1">
      <c r="A153" s="2711"/>
      <c r="C153" s="2712"/>
      <c r="E153" s="2711"/>
    </row>
    <row r="154" spans="1:5" s="1721" customFormat="1">
      <c r="A154" s="2711"/>
      <c r="C154" s="2712"/>
      <c r="E154" s="2711"/>
    </row>
    <row r="155" spans="1:5" s="1721" customFormat="1">
      <c r="A155" s="2711"/>
      <c r="C155" s="2712"/>
      <c r="E155" s="2711"/>
    </row>
    <row r="156" spans="1:5" s="1721" customFormat="1">
      <c r="A156" s="2711"/>
      <c r="C156" s="2712"/>
      <c r="E156" s="2711"/>
    </row>
    <row r="157" spans="1:5" s="1721" customFormat="1">
      <c r="A157" s="2711"/>
      <c r="C157" s="2712"/>
      <c r="E157" s="2711"/>
    </row>
    <row r="158" spans="1:5" s="1721" customFormat="1">
      <c r="A158" s="2711"/>
      <c r="C158" s="2712"/>
      <c r="E158" s="2711"/>
    </row>
    <row r="159" spans="1:5" s="1721" customFormat="1">
      <c r="A159" s="2711"/>
      <c r="C159" s="2712"/>
      <c r="E159" s="2711"/>
    </row>
    <row r="160" spans="1:5" s="1721" customFormat="1">
      <c r="A160" s="2711"/>
      <c r="C160" s="2712"/>
      <c r="E160" s="2711"/>
    </row>
    <row r="161" spans="1:5" s="1721" customFormat="1">
      <c r="A161" s="2711"/>
      <c r="C161" s="2712"/>
      <c r="E161" s="2711"/>
    </row>
    <row r="162" spans="1:5" s="1721" customFormat="1">
      <c r="A162" s="2711"/>
      <c r="C162" s="2712"/>
      <c r="E162" s="2711"/>
    </row>
    <row r="163" spans="1:5" s="1721" customFormat="1">
      <c r="A163" s="2711"/>
      <c r="C163" s="2712"/>
      <c r="E163" s="2711"/>
    </row>
    <row r="164" spans="1:5" s="1721" customFormat="1">
      <c r="A164" s="2711"/>
      <c r="C164" s="2712"/>
      <c r="E164" s="2711"/>
    </row>
    <row r="165" spans="1:5" s="1721" customFormat="1">
      <c r="A165" s="2711"/>
      <c r="C165" s="2712"/>
      <c r="E165" s="2711"/>
    </row>
    <row r="166" spans="1:5" s="1721" customFormat="1">
      <c r="A166" s="2711"/>
      <c r="C166" s="2712"/>
      <c r="E166" s="2711"/>
    </row>
    <row r="167" spans="1:5" s="1721" customFormat="1">
      <c r="A167" s="2711"/>
      <c r="C167" s="2712"/>
      <c r="E167" s="2711"/>
    </row>
    <row r="168" spans="1:5" s="1721" customFormat="1">
      <c r="A168" s="2711"/>
      <c r="C168" s="2712"/>
      <c r="E168" s="2711"/>
    </row>
    <row r="169" spans="1:5" s="1721" customFormat="1">
      <c r="A169" s="2711"/>
      <c r="C169" s="2712"/>
      <c r="E169" s="2711"/>
    </row>
    <row r="170" spans="1:5" s="1721" customFormat="1">
      <c r="A170" s="2711"/>
      <c r="C170" s="2712"/>
      <c r="E170" s="2711"/>
    </row>
    <row r="171" spans="1:5" s="1721" customFormat="1">
      <c r="A171" s="2711"/>
      <c r="C171" s="2712"/>
      <c r="E171" s="2711"/>
    </row>
    <row r="172" spans="1:5" s="1721" customFormat="1">
      <c r="A172" s="2711"/>
      <c r="C172" s="2712"/>
      <c r="E172" s="2711"/>
    </row>
    <row r="173" spans="1:5" s="1721" customFormat="1">
      <c r="A173" s="2711"/>
      <c r="C173" s="2712"/>
      <c r="E173" s="2711"/>
    </row>
    <row r="174" spans="1:5" s="1721" customFormat="1">
      <c r="A174" s="2711"/>
      <c r="C174" s="2712"/>
      <c r="E174" s="2711"/>
    </row>
    <row r="175" spans="1:5" s="1721" customFormat="1">
      <c r="A175" s="2711"/>
      <c r="C175" s="2712"/>
      <c r="E175" s="2711"/>
    </row>
    <row r="176" spans="1:5" s="1721" customFormat="1">
      <c r="A176" s="2711"/>
      <c r="C176" s="2712"/>
      <c r="E176" s="2711"/>
    </row>
    <row r="177" spans="1:5" s="1721" customFormat="1">
      <c r="A177" s="2711"/>
      <c r="C177" s="2712"/>
      <c r="E177" s="2711"/>
    </row>
    <row r="178" spans="1:5" s="1721" customFormat="1">
      <c r="A178" s="2711"/>
      <c r="C178" s="2712"/>
      <c r="E178" s="2711"/>
    </row>
    <row r="179" spans="1:5" s="1721" customFormat="1">
      <c r="A179" s="2711"/>
      <c r="C179" s="2712"/>
      <c r="E179" s="2711"/>
    </row>
    <row r="180" spans="1:5" s="1721" customFormat="1">
      <c r="A180" s="2711"/>
      <c r="C180" s="2712"/>
      <c r="E180" s="2711"/>
    </row>
    <row r="181" spans="1:5" s="1721" customFormat="1">
      <c r="A181" s="2711"/>
      <c r="C181" s="2712"/>
      <c r="E181" s="2711"/>
    </row>
    <row r="182" spans="1:5" s="1721" customFormat="1">
      <c r="A182" s="2711"/>
      <c r="C182" s="2712"/>
      <c r="E182" s="2711"/>
    </row>
    <row r="183" spans="1:5" s="1721" customFormat="1">
      <c r="A183" s="2711"/>
      <c r="C183" s="2712"/>
      <c r="E183" s="2711"/>
    </row>
    <row r="184" spans="1:5" s="1721" customFormat="1">
      <c r="A184" s="2711"/>
      <c r="C184" s="2712"/>
      <c r="E184" s="2711"/>
    </row>
    <row r="185" spans="1:5" s="1721" customFormat="1">
      <c r="A185" s="2711"/>
      <c r="C185" s="2712"/>
      <c r="E185" s="2711"/>
    </row>
    <row r="186" spans="1:5" s="1721" customFormat="1">
      <c r="A186" s="2711"/>
      <c r="C186" s="2712"/>
      <c r="E186" s="2711"/>
    </row>
    <row r="187" spans="1:5" s="1721" customFormat="1">
      <c r="A187" s="2711"/>
      <c r="C187" s="2712"/>
      <c r="E187" s="2711"/>
    </row>
    <row r="188" spans="1:5" s="1721" customFormat="1">
      <c r="A188" s="2711"/>
      <c r="C188" s="2712"/>
      <c r="E188" s="2711"/>
    </row>
    <row r="189" spans="1:5" s="1721" customFormat="1">
      <c r="A189" s="2711"/>
      <c r="C189" s="2712"/>
      <c r="E189" s="2711"/>
    </row>
    <row r="190" spans="1:5" s="1721" customFormat="1">
      <c r="A190" s="2711"/>
      <c r="C190" s="2712"/>
      <c r="E190" s="2711"/>
    </row>
    <row r="191" spans="1:5" s="1721" customFormat="1">
      <c r="A191" s="2711"/>
      <c r="C191" s="2712"/>
      <c r="E191" s="2711"/>
    </row>
    <row r="192" spans="1:5" s="1721" customFormat="1">
      <c r="A192" s="2711"/>
      <c r="C192" s="2712"/>
      <c r="E192" s="2711"/>
    </row>
    <row r="193" spans="1:5" s="1721" customFormat="1">
      <c r="A193" s="2711"/>
      <c r="C193" s="2712"/>
      <c r="E193" s="2711"/>
    </row>
    <row r="194" spans="1:5" s="1721" customFormat="1">
      <c r="A194" s="2711"/>
      <c r="C194" s="2712"/>
      <c r="E194" s="2711"/>
    </row>
    <row r="195" spans="1:5" s="1721" customFormat="1">
      <c r="A195" s="2711"/>
      <c r="C195" s="2712"/>
      <c r="E195" s="2711"/>
    </row>
    <row r="196" spans="1:5" s="1721" customFormat="1">
      <c r="A196" s="2711"/>
      <c r="C196" s="2712"/>
      <c r="E196" s="2711"/>
    </row>
    <row r="197" spans="1:5" s="1721" customFormat="1">
      <c r="A197" s="2711"/>
      <c r="C197" s="2712"/>
      <c r="E197" s="2711"/>
    </row>
    <row r="198" spans="1:5" s="1721" customFormat="1">
      <c r="A198" s="2711"/>
      <c r="C198" s="2712"/>
      <c r="E198" s="2711"/>
    </row>
    <row r="199" spans="1:5" s="1721" customFormat="1">
      <c r="A199" s="2711"/>
      <c r="C199" s="2712"/>
      <c r="E199" s="2711"/>
    </row>
    <row r="200" spans="1:5" s="1721" customFormat="1">
      <c r="A200" s="2711"/>
      <c r="C200" s="2712"/>
      <c r="E200" s="2711"/>
    </row>
    <row r="201" spans="1:5" s="1721" customFormat="1">
      <c r="A201" s="2711"/>
      <c r="C201" s="2712"/>
      <c r="E201" s="2711"/>
    </row>
    <row r="202" spans="1:5" s="1721" customFormat="1">
      <c r="A202" s="2711"/>
      <c r="C202" s="2712"/>
      <c r="E202" s="2711"/>
    </row>
    <row r="203" spans="1:5" s="1721" customFormat="1">
      <c r="A203" s="2711"/>
      <c r="C203" s="2712"/>
      <c r="E203" s="2711"/>
    </row>
    <row r="204" spans="1:5" s="1721" customFormat="1">
      <c r="A204" s="2711"/>
      <c r="C204" s="2712"/>
      <c r="E204" s="2711"/>
    </row>
    <row r="205" spans="1:5" s="1721" customFormat="1">
      <c r="A205" s="2711"/>
      <c r="C205" s="2712"/>
      <c r="E205" s="2711"/>
    </row>
    <row r="206" spans="1:5" s="1721" customFormat="1">
      <c r="A206" s="2711"/>
      <c r="C206" s="2712"/>
      <c r="E206" s="2711"/>
    </row>
    <row r="207" spans="1:5" s="1721" customFormat="1">
      <c r="A207" s="2711"/>
      <c r="C207" s="2712"/>
      <c r="E207" s="2711"/>
    </row>
    <row r="208" spans="1:5" s="1721" customFormat="1">
      <c r="A208" s="2711"/>
      <c r="C208" s="2712"/>
      <c r="E208" s="2711"/>
    </row>
    <row r="209" spans="1:5" s="1721" customFormat="1">
      <c r="A209" s="2711"/>
      <c r="C209" s="2712"/>
      <c r="E209" s="2711"/>
    </row>
    <row r="210" spans="1:5" s="1721" customFormat="1">
      <c r="A210" s="2711"/>
      <c r="C210" s="2712"/>
      <c r="E210" s="2711"/>
    </row>
    <row r="211" spans="1:5" s="1721" customFormat="1">
      <c r="A211" s="2711"/>
      <c r="C211" s="2712"/>
      <c r="E211" s="2711"/>
    </row>
    <row r="212" spans="1:5" s="1721" customFormat="1">
      <c r="A212" s="2711"/>
      <c r="C212" s="2712"/>
      <c r="E212" s="2711"/>
    </row>
    <row r="213" spans="1:5" s="1721" customFormat="1">
      <c r="A213" s="2711"/>
      <c r="C213" s="2712"/>
      <c r="E213" s="2711"/>
    </row>
    <row r="214" spans="1:5" s="1721" customFormat="1">
      <c r="A214" s="2711"/>
      <c r="C214" s="2712"/>
      <c r="E214" s="2711"/>
    </row>
    <row r="215" spans="1:5" s="1721" customFormat="1">
      <c r="A215" s="2711"/>
      <c r="C215" s="2712"/>
      <c r="E215" s="2711"/>
    </row>
    <row r="216" spans="1:5" s="1721" customFormat="1">
      <c r="A216" s="2711"/>
      <c r="C216" s="2712"/>
      <c r="E216" s="2711"/>
    </row>
    <row r="217" spans="1:5" s="1721" customFormat="1">
      <c r="A217" s="2711"/>
      <c r="C217" s="2712"/>
      <c r="E217" s="2711"/>
    </row>
    <row r="218" spans="1:5" s="1721" customFormat="1">
      <c r="A218" s="2711"/>
      <c r="C218" s="2712"/>
      <c r="E218" s="2711"/>
    </row>
    <row r="219" spans="1:5" s="1721" customFormat="1">
      <c r="A219" s="2711"/>
      <c r="C219" s="2712"/>
      <c r="E219" s="2711"/>
    </row>
    <row r="220" spans="1:5" s="1721" customFormat="1">
      <c r="A220" s="2711"/>
      <c r="C220" s="2712"/>
      <c r="E220" s="2711"/>
    </row>
    <row r="221" spans="1:5" s="1721" customFormat="1">
      <c r="A221" s="2711"/>
      <c r="C221" s="2712"/>
      <c r="E221" s="2711"/>
    </row>
    <row r="222" spans="1:5" s="1721" customFormat="1">
      <c r="A222" s="2711"/>
      <c r="C222" s="2712"/>
      <c r="E222" s="2711"/>
    </row>
    <row r="223" spans="1:5" s="1721" customFormat="1">
      <c r="A223" s="2711"/>
      <c r="C223" s="2712"/>
      <c r="E223" s="2711"/>
    </row>
    <row r="224" spans="1:5" s="1721" customFormat="1">
      <c r="A224" s="2711"/>
      <c r="C224" s="2712"/>
      <c r="E224" s="2711"/>
    </row>
    <row r="225" spans="1:5" s="1721" customFormat="1">
      <c r="A225" s="2711"/>
      <c r="C225" s="2712"/>
      <c r="E225" s="2711"/>
    </row>
    <row r="226" spans="1:5" s="1721" customFormat="1">
      <c r="A226" s="2711"/>
      <c r="C226" s="2712"/>
      <c r="E226" s="2711"/>
    </row>
    <row r="227" spans="1:5" s="1721" customFormat="1">
      <c r="A227" s="2711"/>
      <c r="C227" s="2712"/>
      <c r="E227" s="2711"/>
    </row>
    <row r="228" spans="1:5" s="1721" customFormat="1">
      <c r="A228" s="2711"/>
      <c r="C228" s="2712"/>
      <c r="E228" s="2711"/>
    </row>
    <row r="229" spans="1:5" s="1721" customFormat="1">
      <c r="A229" s="2711"/>
      <c r="C229" s="2712"/>
      <c r="E229" s="2711"/>
    </row>
    <row r="230" spans="1:5" s="1721" customFormat="1">
      <c r="A230" s="2711"/>
      <c r="C230" s="2712"/>
      <c r="E230" s="2711"/>
    </row>
    <row r="231" spans="1:5" s="1721" customFormat="1">
      <c r="A231" s="2711"/>
      <c r="C231" s="2712"/>
      <c r="E231" s="2711"/>
    </row>
    <row r="232" spans="1:5" s="1721" customFormat="1">
      <c r="A232" s="2711"/>
      <c r="C232" s="2712"/>
      <c r="E232" s="2711"/>
    </row>
    <row r="233" spans="1:5" s="1721" customFormat="1">
      <c r="A233" s="2711"/>
      <c r="C233" s="2712"/>
      <c r="E233" s="2711"/>
    </row>
    <row r="234" spans="1:5" s="1721" customFormat="1">
      <c r="A234" s="2711"/>
      <c r="C234" s="2712"/>
      <c r="E234" s="2711"/>
    </row>
    <row r="235" spans="1:5" s="1721" customFormat="1">
      <c r="A235" s="2711"/>
      <c r="C235" s="2712"/>
      <c r="E235" s="2711"/>
    </row>
    <row r="236" spans="1:5" s="1721" customFormat="1">
      <c r="A236" s="2711"/>
      <c r="C236" s="2712"/>
      <c r="E236" s="2711"/>
    </row>
    <row r="237" spans="1:5" s="1721" customFormat="1">
      <c r="A237" s="2711"/>
      <c r="C237" s="2712"/>
      <c r="E237" s="2711"/>
    </row>
    <row r="238" spans="1:5" s="1721" customFormat="1">
      <c r="A238" s="2711"/>
      <c r="C238" s="2712"/>
      <c r="E238" s="2711"/>
    </row>
    <row r="239" spans="1:5" s="1721" customFormat="1">
      <c r="A239" s="2711"/>
      <c r="C239" s="2712"/>
      <c r="E239" s="2711"/>
    </row>
    <row r="240" spans="1:5" s="1721" customFormat="1">
      <c r="A240" s="2711"/>
      <c r="C240" s="2712"/>
      <c r="E240" s="2711"/>
    </row>
    <row r="241" spans="1:5" s="1721" customFormat="1">
      <c r="A241" s="2711"/>
      <c r="C241" s="2712"/>
      <c r="E241" s="2711"/>
    </row>
    <row r="242" spans="1:5" s="1721" customFormat="1">
      <c r="A242" s="2711"/>
      <c r="C242" s="2712"/>
      <c r="E242" s="2711"/>
    </row>
    <row r="243" spans="1:5" s="1721" customFormat="1">
      <c r="A243" s="2711"/>
      <c r="C243" s="2712"/>
      <c r="E243" s="2711"/>
    </row>
    <row r="244" spans="1:5" s="1721" customFormat="1">
      <c r="A244" s="2711"/>
      <c r="C244" s="2712"/>
      <c r="E244" s="2711"/>
    </row>
    <row r="245" spans="1:5" s="1721" customFormat="1">
      <c r="A245" s="2711"/>
      <c r="C245" s="2712"/>
      <c r="E245" s="2711"/>
    </row>
    <row r="246" spans="1:5" s="1721" customFormat="1">
      <c r="A246" s="2711"/>
      <c r="C246" s="2712"/>
      <c r="E246" s="2711"/>
    </row>
    <row r="247" spans="1:5" s="1721" customFormat="1">
      <c r="A247" s="2711"/>
      <c r="C247" s="2712"/>
      <c r="E247" s="2711"/>
    </row>
    <row r="248" spans="1:5" s="1721" customFormat="1">
      <c r="A248" s="2711"/>
      <c r="C248" s="2712"/>
      <c r="E248" s="2711"/>
    </row>
    <row r="249" spans="1:5" s="1721" customFormat="1">
      <c r="A249" s="2711"/>
      <c r="C249" s="2712"/>
      <c r="E249" s="2711"/>
    </row>
    <row r="250" spans="1:5" s="1721" customFormat="1">
      <c r="A250" s="2711"/>
      <c r="C250" s="2712"/>
      <c r="E250" s="2711"/>
    </row>
    <row r="251" spans="1:5" s="1721" customFormat="1">
      <c r="A251" s="2711"/>
      <c r="C251" s="2712"/>
      <c r="E251" s="2711"/>
    </row>
    <row r="252" spans="1:5" s="1721" customFormat="1">
      <c r="A252" s="2711"/>
      <c r="C252" s="2712"/>
      <c r="E252" s="2711"/>
    </row>
    <row r="253" spans="1:5" s="1721" customFormat="1">
      <c r="A253" s="2711"/>
      <c r="C253" s="2712"/>
      <c r="E253" s="2711"/>
    </row>
    <row r="254" spans="1:5" s="1721" customFormat="1">
      <c r="A254" s="2711"/>
      <c r="C254" s="2712"/>
      <c r="E254" s="2711"/>
    </row>
    <row r="255" spans="1:5" s="1721" customFormat="1">
      <c r="A255" s="2711"/>
      <c r="C255" s="2712"/>
      <c r="E255" s="2711"/>
    </row>
    <row r="256" spans="1:5" s="1721" customFormat="1">
      <c r="A256" s="2711"/>
      <c r="C256" s="2712"/>
      <c r="E256" s="2711"/>
    </row>
    <row r="257" spans="1:5" s="1721" customFormat="1">
      <c r="A257" s="2711"/>
      <c r="C257" s="2712"/>
      <c r="E257" s="2711"/>
    </row>
    <row r="258" spans="1:5" s="1721" customFormat="1">
      <c r="A258" s="2711"/>
      <c r="C258" s="2712"/>
      <c r="E258" s="2711"/>
    </row>
    <row r="259" spans="1:5" s="1721" customFormat="1">
      <c r="A259" s="2711"/>
      <c r="C259" s="2712"/>
      <c r="E259" s="2711"/>
    </row>
    <row r="260" spans="1:5" s="1721" customFormat="1">
      <c r="A260" s="2711"/>
      <c r="C260" s="2712"/>
      <c r="E260" s="2711"/>
    </row>
    <row r="261" spans="1:5" s="1721" customFormat="1">
      <c r="A261" s="2711"/>
      <c r="C261" s="2712"/>
      <c r="E261" s="2711"/>
    </row>
    <row r="262" spans="1:5" s="1721" customFormat="1">
      <c r="A262" s="2711"/>
      <c r="C262" s="2712"/>
      <c r="E262" s="2711"/>
    </row>
    <row r="263" spans="1:5" s="1721" customFormat="1">
      <c r="A263" s="2711"/>
      <c r="C263" s="2712"/>
      <c r="E263" s="2711"/>
    </row>
    <row r="264" spans="1:5" s="1721" customFormat="1">
      <c r="A264" s="2711"/>
      <c r="C264" s="2712"/>
      <c r="E264" s="2711"/>
    </row>
    <row r="265" spans="1:5" s="1721" customFormat="1">
      <c r="A265" s="2711"/>
      <c r="C265" s="2712"/>
      <c r="E265" s="2711"/>
    </row>
    <row r="266" spans="1:5" s="1721" customFormat="1">
      <c r="A266" s="2711"/>
      <c r="C266" s="2712"/>
      <c r="E266" s="2711"/>
    </row>
    <row r="267" spans="1:5" s="1721" customFormat="1">
      <c r="A267" s="2711"/>
      <c r="C267" s="2712"/>
      <c r="E267" s="2711"/>
    </row>
    <row r="268" spans="1:5" s="1721" customFormat="1">
      <c r="A268" s="2711"/>
      <c r="C268" s="2712"/>
      <c r="E268" s="2711"/>
    </row>
    <row r="269" spans="1:5" s="1721" customFormat="1">
      <c r="A269" s="2711"/>
      <c r="C269" s="2712"/>
      <c r="E269" s="2711"/>
    </row>
    <row r="270" spans="1:5" s="1721" customFormat="1">
      <c r="A270" s="2711"/>
      <c r="C270" s="2712"/>
      <c r="E270" s="2711"/>
    </row>
    <row r="271" spans="1:5" s="1721" customFormat="1">
      <c r="A271" s="2711"/>
      <c r="C271" s="2712"/>
      <c r="E271" s="2711"/>
    </row>
    <row r="272" spans="1:5" s="1721" customFormat="1">
      <c r="A272" s="2711"/>
      <c r="C272" s="2712"/>
      <c r="E272" s="2711"/>
    </row>
    <row r="273" spans="1:5" s="1721" customFormat="1">
      <c r="A273" s="2711"/>
      <c r="C273" s="2712"/>
      <c r="E273" s="2711"/>
    </row>
    <row r="274" spans="1:5" s="1721" customFormat="1">
      <c r="A274" s="2711"/>
      <c r="C274" s="2712"/>
      <c r="E274" s="2711"/>
    </row>
    <row r="275" spans="1:5" s="1721" customFormat="1">
      <c r="A275" s="2711"/>
      <c r="C275" s="2712"/>
      <c r="E275" s="2711"/>
    </row>
    <row r="276" spans="1:5" s="1721" customFormat="1">
      <c r="A276" s="2711"/>
      <c r="C276" s="2712"/>
      <c r="E276" s="2711"/>
    </row>
    <row r="277" spans="1:5" s="1721" customFormat="1">
      <c r="A277" s="2711"/>
      <c r="C277" s="2712"/>
      <c r="E277" s="2711"/>
    </row>
    <row r="278" spans="1:5" s="1721" customFormat="1">
      <c r="A278" s="2711"/>
      <c r="C278" s="2712"/>
      <c r="E278" s="2711"/>
    </row>
    <row r="279" spans="1:5" s="1721" customFormat="1">
      <c r="A279" s="2711"/>
      <c r="C279" s="2712"/>
      <c r="E279" s="2711"/>
    </row>
    <row r="280" spans="1:5" s="1721" customFormat="1">
      <c r="A280" s="2711"/>
      <c r="C280" s="2712"/>
      <c r="E280" s="2711"/>
    </row>
    <row r="281" spans="1:5" s="1721" customFormat="1">
      <c r="A281" s="2711"/>
      <c r="C281" s="2712"/>
      <c r="E281" s="2711"/>
    </row>
    <row r="282" spans="1:5" s="1721" customFormat="1">
      <c r="A282" s="2711"/>
      <c r="C282" s="2712"/>
      <c r="E282" s="2711"/>
    </row>
    <row r="283" spans="1:5" s="1721" customFormat="1">
      <c r="A283" s="2711"/>
      <c r="C283" s="2712"/>
      <c r="E283" s="2711"/>
    </row>
    <row r="284" spans="1:5" s="1721" customFormat="1">
      <c r="A284" s="2711"/>
      <c r="C284" s="2712"/>
      <c r="E284" s="2711"/>
    </row>
    <row r="285" spans="1:5" s="1721" customFormat="1">
      <c r="A285" s="2711"/>
      <c r="C285" s="2712"/>
      <c r="E285" s="2711"/>
    </row>
    <row r="286" spans="1:5" s="1721" customFormat="1">
      <c r="A286" s="2711"/>
      <c r="C286" s="2712"/>
      <c r="E286" s="2711"/>
    </row>
    <row r="287" spans="1:5" s="1721" customFormat="1">
      <c r="A287" s="2711"/>
      <c r="C287" s="2712"/>
      <c r="E287" s="2711"/>
    </row>
    <row r="288" spans="1:5" s="1721" customFormat="1">
      <c r="A288" s="2711"/>
      <c r="C288" s="2712"/>
      <c r="E288" s="2711"/>
    </row>
    <row r="289" spans="1:5" s="1721" customFormat="1">
      <c r="A289" s="2711"/>
      <c r="C289" s="2712"/>
      <c r="E289" s="2711"/>
    </row>
    <row r="290" spans="1:5" s="1721" customFormat="1">
      <c r="A290" s="2711"/>
      <c r="C290" s="2712"/>
      <c r="E290" s="2711"/>
    </row>
    <row r="291" spans="1:5" s="1721" customFormat="1">
      <c r="A291" s="2711"/>
      <c r="C291" s="2712"/>
      <c r="E291" s="2711"/>
    </row>
    <row r="292" spans="1:5" s="1721" customFormat="1">
      <c r="A292" s="2711"/>
      <c r="C292" s="2712"/>
      <c r="E292" s="2711"/>
    </row>
    <row r="293" spans="1:5" s="1721" customFormat="1">
      <c r="A293" s="2711"/>
      <c r="C293" s="2712"/>
      <c r="E293" s="2711"/>
    </row>
    <row r="294" spans="1:5" s="1721" customFormat="1">
      <c r="A294" s="2711"/>
      <c r="C294" s="2712"/>
      <c r="E294" s="2711"/>
    </row>
    <row r="295" spans="1:5" s="1721" customFormat="1">
      <c r="A295" s="2711"/>
      <c r="C295" s="2712"/>
      <c r="E295" s="2711"/>
    </row>
    <row r="296" spans="1:5" s="1721" customFormat="1">
      <c r="A296" s="2711"/>
      <c r="C296" s="2712"/>
      <c r="E296" s="2711"/>
    </row>
    <row r="297" spans="1:5" s="1721" customFormat="1">
      <c r="A297" s="2711"/>
      <c r="C297" s="2712"/>
      <c r="E297" s="2711"/>
    </row>
    <row r="298" spans="1:5" s="1721" customFormat="1">
      <c r="A298" s="2711"/>
      <c r="C298" s="2712"/>
      <c r="E298" s="2711"/>
    </row>
    <row r="299" spans="1:5" s="1721" customFormat="1">
      <c r="A299" s="2711"/>
      <c r="C299" s="2712"/>
      <c r="E299" s="2711"/>
    </row>
    <row r="300" spans="1:5" s="1721" customFormat="1">
      <c r="A300" s="2711"/>
      <c r="C300" s="2712"/>
      <c r="E300" s="2711"/>
    </row>
    <row r="301" spans="1:5" s="1721" customFormat="1">
      <c r="A301" s="2711"/>
      <c r="C301" s="2712"/>
      <c r="E301" s="2711"/>
    </row>
    <row r="302" spans="1:5" s="1721" customFormat="1">
      <c r="A302" s="2711"/>
      <c r="C302" s="2712"/>
      <c r="E302" s="2711"/>
    </row>
    <row r="303" spans="1:5" s="1721" customFormat="1">
      <c r="A303" s="2711"/>
      <c r="C303" s="2712"/>
      <c r="E303" s="2711"/>
    </row>
    <row r="304" spans="1:5" s="1721" customFormat="1">
      <c r="A304" s="2711"/>
      <c r="C304" s="2712"/>
      <c r="E304" s="2711"/>
    </row>
    <row r="305" spans="1:5" s="1721" customFormat="1">
      <c r="A305" s="2711"/>
      <c r="C305" s="2712"/>
      <c r="E305" s="2711"/>
    </row>
    <row r="306" spans="1:5" s="1721" customFormat="1">
      <c r="A306" s="2711"/>
      <c r="C306" s="2712"/>
      <c r="E306" s="2711"/>
    </row>
    <row r="307" spans="1:5" s="1721" customFormat="1">
      <c r="A307" s="2711"/>
      <c r="C307" s="2712"/>
      <c r="E307" s="2711"/>
    </row>
    <row r="308" spans="1:5" s="1721" customFormat="1">
      <c r="A308" s="2711"/>
      <c r="C308" s="2712"/>
      <c r="E308" s="2711"/>
    </row>
    <row r="309" spans="1:5" s="1721" customFormat="1">
      <c r="A309" s="2711"/>
      <c r="C309" s="2712"/>
      <c r="E309" s="2711"/>
    </row>
    <row r="310" spans="1:5" s="1721" customFormat="1">
      <c r="A310" s="2711"/>
      <c r="C310" s="2712"/>
      <c r="E310" s="2711"/>
    </row>
    <row r="311" spans="1:5" s="1721" customFormat="1">
      <c r="A311" s="2711"/>
      <c r="C311" s="2712"/>
      <c r="E311" s="2711"/>
    </row>
    <row r="312" spans="1:5" s="1721" customFormat="1">
      <c r="A312" s="2711"/>
      <c r="C312" s="2712"/>
      <c r="E312" s="2711"/>
    </row>
    <row r="313" spans="1:5" s="1721" customFormat="1">
      <c r="A313" s="2711"/>
      <c r="C313" s="2712"/>
      <c r="E313" s="2711"/>
    </row>
    <row r="314" spans="1:5" s="1721" customFormat="1">
      <c r="A314" s="2711"/>
      <c r="C314" s="2712"/>
      <c r="E314" s="2711"/>
    </row>
    <row r="315" spans="1:5" s="1721" customFormat="1">
      <c r="A315" s="2711"/>
      <c r="C315" s="2712"/>
      <c r="E315" s="2711"/>
    </row>
    <row r="316" spans="1:5" s="1721" customFormat="1">
      <c r="A316" s="2711"/>
      <c r="C316" s="2712"/>
      <c r="E316" s="2711"/>
    </row>
    <row r="317" spans="1:5" s="1721" customFormat="1">
      <c r="A317" s="2711"/>
      <c r="C317" s="2712"/>
      <c r="E317" s="2711"/>
    </row>
    <row r="318" spans="1:5" s="1721" customFormat="1">
      <c r="A318" s="2711"/>
      <c r="C318" s="2712"/>
      <c r="E318" s="2711"/>
    </row>
    <row r="319" spans="1:5" s="1721" customFormat="1">
      <c r="A319" s="2711"/>
      <c r="C319" s="2712"/>
      <c r="E319" s="2711"/>
    </row>
    <row r="320" spans="1:5" s="1721" customFormat="1">
      <c r="A320" s="2711"/>
      <c r="C320" s="2712"/>
      <c r="E320" s="2711"/>
    </row>
    <row r="321" spans="1:5" s="1721" customFormat="1">
      <c r="A321" s="2711"/>
      <c r="C321" s="2712"/>
      <c r="E321" s="2711"/>
    </row>
    <row r="322" spans="1:5" s="1721" customFormat="1">
      <c r="A322" s="2711"/>
      <c r="C322" s="2712"/>
      <c r="E322" s="2711"/>
    </row>
    <row r="323" spans="1:5" s="1721" customFormat="1">
      <c r="A323" s="2711"/>
      <c r="C323" s="2712"/>
      <c r="E323" s="2711"/>
    </row>
    <row r="324" spans="1:5" s="1721" customFormat="1">
      <c r="A324" s="2711"/>
      <c r="C324" s="2712"/>
      <c r="E324" s="2711"/>
    </row>
    <row r="325" spans="1:5" s="1721" customFormat="1">
      <c r="A325" s="2711"/>
      <c r="C325" s="2712"/>
      <c r="E325" s="2711"/>
    </row>
    <row r="326" spans="1:5" s="1721" customFormat="1">
      <c r="A326" s="2711"/>
      <c r="C326" s="2712"/>
      <c r="E326" s="2711"/>
    </row>
    <row r="327" spans="1:5" s="1721" customFormat="1">
      <c r="A327" s="2711"/>
      <c r="C327" s="2712"/>
      <c r="E327" s="2711"/>
    </row>
    <row r="328" spans="1:5" s="1721" customFormat="1">
      <c r="A328" s="2711"/>
      <c r="C328" s="2712"/>
      <c r="E328" s="2711"/>
    </row>
    <row r="329" spans="1:5" s="1721" customFormat="1">
      <c r="A329" s="2711"/>
      <c r="C329" s="2712"/>
      <c r="E329" s="2711"/>
    </row>
    <row r="330" spans="1:5" s="1721" customFormat="1">
      <c r="A330" s="2711"/>
      <c r="C330" s="2712"/>
      <c r="E330" s="2711"/>
    </row>
    <row r="331" spans="1:5" s="1721" customFormat="1">
      <c r="A331" s="2711"/>
      <c r="C331" s="2712"/>
      <c r="E331" s="2711"/>
    </row>
    <row r="332" spans="1:5" s="1721" customFormat="1">
      <c r="A332" s="2711"/>
      <c r="C332" s="2712"/>
      <c r="E332" s="2711"/>
    </row>
    <row r="333" spans="1:5" s="1721" customFormat="1">
      <c r="A333" s="2711"/>
      <c r="C333" s="2712"/>
      <c r="E333" s="2711"/>
    </row>
    <row r="334" spans="1:5" s="1721" customFormat="1">
      <c r="A334" s="2711"/>
      <c r="C334" s="2712"/>
      <c r="E334" s="2711"/>
    </row>
    <row r="335" spans="1:5" s="1721" customFormat="1">
      <c r="A335" s="2711"/>
      <c r="C335" s="2712"/>
      <c r="E335" s="2711"/>
    </row>
    <row r="336" spans="1:5" s="1721" customFormat="1">
      <c r="A336" s="2711"/>
      <c r="C336" s="2712"/>
      <c r="E336" s="2711"/>
    </row>
    <row r="337" spans="1:5" s="1721" customFormat="1">
      <c r="A337" s="2711"/>
      <c r="C337" s="2712"/>
      <c r="E337" s="2711"/>
    </row>
    <row r="338" spans="1:5" s="1721" customFormat="1">
      <c r="A338" s="2711"/>
      <c r="C338" s="2712"/>
      <c r="E338" s="2711"/>
    </row>
    <row r="339" spans="1:5" s="1721" customFormat="1">
      <c r="A339" s="2711"/>
      <c r="C339" s="2712"/>
      <c r="E339" s="2711"/>
    </row>
    <row r="340" spans="1:5" s="1721" customFormat="1">
      <c r="A340" s="2711"/>
      <c r="C340" s="2712"/>
      <c r="E340" s="2711"/>
    </row>
    <row r="341" spans="1:5" s="1721" customFormat="1">
      <c r="A341" s="2711"/>
      <c r="C341" s="2712"/>
      <c r="E341" s="2711"/>
    </row>
    <row r="342" spans="1:5" s="1721" customFormat="1">
      <c r="A342" s="2711"/>
      <c r="C342" s="2712"/>
      <c r="E342" s="2711"/>
    </row>
    <row r="343" spans="1:5" s="1721" customFormat="1">
      <c r="A343" s="2711"/>
      <c r="C343" s="2712"/>
      <c r="E343" s="2711"/>
    </row>
    <row r="344" spans="1:5" s="1721" customFormat="1">
      <c r="A344" s="2711"/>
      <c r="C344" s="2712"/>
      <c r="E344" s="2711"/>
    </row>
    <row r="345" spans="1:5" s="1721" customFormat="1">
      <c r="A345" s="2711"/>
      <c r="C345" s="2712"/>
      <c r="E345" s="2711"/>
    </row>
    <row r="346" spans="1:5" s="1721" customFormat="1">
      <c r="A346" s="2711"/>
      <c r="C346" s="2712"/>
      <c r="E346" s="2711"/>
    </row>
    <row r="347" spans="1:5" s="1721" customFormat="1">
      <c r="A347" s="2711"/>
      <c r="C347" s="2712"/>
      <c r="E347" s="2711"/>
    </row>
    <row r="348" spans="1:5" s="1721" customFormat="1">
      <c r="A348" s="2711"/>
      <c r="C348" s="2712"/>
      <c r="E348" s="2711"/>
    </row>
    <row r="349" spans="1:5" s="1721" customFormat="1">
      <c r="A349" s="2711"/>
      <c r="C349" s="2712"/>
      <c r="E349" s="2711"/>
    </row>
    <row r="350" spans="1:5" s="1721" customFormat="1">
      <c r="A350" s="2711"/>
      <c r="C350" s="2712"/>
      <c r="E350" s="2711"/>
    </row>
    <row r="351" spans="1:5" s="1721" customFormat="1">
      <c r="A351" s="2711"/>
      <c r="C351" s="2712"/>
      <c r="E351" s="2711"/>
    </row>
    <row r="352" spans="1:5" s="1721" customFormat="1">
      <c r="A352" s="2711"/>
      <c r="C352" s="2712"/>
      <c r="E352" s="2711"/>
    </row>
    <row r="353" spans="1:5" s="1721" customFormat="1">
      <c r="A353" s="2711"/>
      <c r="C353" s="2712"/>
      <c r="E353" s="2711"/>
    </row>
    <row r="354" spans="1:5" s="1721" customFormat="1">
      <c r="A354" s="2711"/>
      <c r="C354" s="2712"/>
      <c r="E354" s="2711"/>
    </row>
    <row r="355" spans="1:5" s="1721" customFormat="1">
      <c r="A355" s="2711"/>
      <c r="C355" s="2712"/>
      <c r="E355" s="2711"/>
    </row>
    <row r="356" spans="1:5" s="1721" customFormat="1">
      <c r="A356" s="2711"/>
      <c r="C356" s="2712"/>
      <c r="E356" s="2711"/>
    </row>
    <row r="357" spans="1:5" s="1721" customFormat="1">
      <c r="A357" s="2711"/>
      <c r="C357" s="2712"/>
      <c r="E357" s="2711"/>
    </row>
    <row r="358" spans="1:5" s="1721" customFormat="1">
      <c r="A358" s="2711"/>
      <c r="C358" s="2712"/>
      <c r="E358" s="2711"/>
    </row>
    <row r="359" spans="1:5" s="1721" customFormat="1">
      <c r="A359" s="2711"/>
      <c r="C359" s="2712"/>
      <c r="E359" s="2711"/>
    </row>
    <row r="360" spans="1:5" s="1721" customFormat="1">
      <c r="A360" s="2711"/>
      <c r="C360" s="2712"/>
      <c r="E360" s="2711"/>
    </row>
    <row r="361" spans="1:5" s="1721" customFormat="1">
      <c r="A361" s="2711"/>
      <c r="C361" s="2712"/>
      <c r="E361" s="2711"/>
    </row>
    <row r="362" spans="1:5" s="1721" customFormat="1">
      <c r="A362" s="2711"/>
      <c r="C362" s="2712"/>
      <c r="E362" s="2711"/>
    </row>
    <row r="363" spans="1:5" s="1721" customFormat="1">
      <c r="A363" s="2711"/>
      <c r="C363" s="2712"/>
      <c r="E363" s="2711"/>
    </row>
    <row r="364" spans="1:5" s="1721" customFormat="1">
      <c r="A364" s="2711"/>
      <c r="C364" s="2712"/>
      <c r="E364" s="2711"/>
    </row>
    <row r="365" spans="1:5" s="1721" customFormat="1">
      <c r="A365" s="2711"/>
      <c r="C365" s="2712"/>
      <c r="E365" s="2711"/>
    </row>
    <row r="366" spans="1:5" s="1721" customFormat="1">
      <c r="A366" s="2711"/>
      <c r="C366" s="2712"/>
      <c r="E366" s="2711"/>
    </row>
    <row r="367" spans="1:5" s="1721" customFormat="1">
      <c r="A367" s="2711"/>
      <c r="C367" s="2712"/>
      <c r="E367" s="2711"/>
    </row>
    <row r="368" spans="1:5" s="1721" customFormat="1">
      <c r="A368" s="2711"/>
      <c r="C368" s="2712"/>
      <c r="E368" s="2711"/>
    </row>
    <row r="369" spans="1:5" s="1721" customFormat="1">
      <c r="A369" s="2711"/>
      <c r="C369" s="2712"/>
      <c r="E369" s="2711"/>
    </row>
    <row r="370" spans="1:5" s="1721" customFormat="1">
      <c r="A370" s="2711"/>
      <c r="C370" s="2712"/>
      <c r="E370" s="2711"/>
    </row>
    <row r="371" spans="1:5" s="1721" customFormat="1">
      <c r="A371" s="2711"/>
      <c r="C371" s="2712"/>
      <c r="E371" s="2711"/>
    </row>
    <row r="372" spans="1:5" s="1721" customFormat="1">
      <c r="A372" s="2711"/>
      <c r="C372" s="2712"/>
      <c r="E372" s="2711"/>
    </row>
    <row r="373" spans="1:5" s="1721" customFormat="1">
      <c r="A373" s="2711"/>
      <c r="C373" s="2712"/>
      <c r="E373" s="2711"/>
    </row>
    <row r="374" spans="1:5" s="1721" customFormat="1">
      <c r="A374" s="2711"/>
      <c r="C374" s="2712"/>
      <c r="E374" s="2711"/>
    </row>
    <row r="375" spans="1:5" s="1721" customFormat="1">
      <c r="A375" s="2711"/>
      <c r="C375" s="2712"/>
      <c r="E375" s="2711"/>
    </row>
    <row r="376" spans="1:5" s="1721" customFormat="1">
      <c r="A376" s="2711"/>
      <c r="C376" s="2712"/>
      <c r="E376" s="2711"/>
    </row>
    <row r="377" spans="1:5" s="1721" customFormat="1">
      <c r="A377" s="2711"/>
      <c r="C377" s="2712"/>
      <c r="E377" s="2711"/>
    </row>
    <row r="378" spans="1:5" s="1721" customFormat="1">
      <c r="A378" s="2711"/>
      <c r="C378" s="2712"/>
      <c r="E378" s="2711"/>
    </row>
    <row r="379" spans="1:5" s="1721" customFormat="1">
      <c r="A379" s="2711"/>
      <c r="C379" s="2712"/>
      <c r="E379" s="2711"/>
    </row>
    <row r="380" spans="1:5" s="1721" customFormat="1">
      <c r="A380" s="2711"/>
      <c r="C380" s="2712"/>
      <c r="E380" s="2711"/>
    </row>
    <row r="381" spans="1:5" s="1721" customFormat="1">
      <c r="A381" s="2711"/>
      <c r="C381" s="2712"/>
      <c r="E381" s="2711"/>
    </row>
    <row r="382" spans="1:5" s="1721" customFormat="1">
      <c r="A382" s="2711"/>
      <c r="C382" s="2712"/>
      <c r="E382" s="2711"/>
    </row>
    <row r="383" spans="1:5" s="1721" customFormat="1">
      <c r="A383" s="2711"/>
      <c r="C383" s="2712"/>
      <c r="E383" s="2711"/>
    </row>
    <row r="384" spans="1:5" s="1721" customFormat="1">
      <c r="A384" s="2711"/>
      <c r="C384" s="2712"/>
      <c r="E384" s="2711"/>
    </row>
    <row r="385" spans="1:5" s="1721" customFormat="1">
      <c r="A385" s="2711"/>
      <c r="C385" s="2712"/>
      <c r="E385" s="2711"/>
    </row>
    <row r="386" spans="1:5" s="1721" customFormat="1">
      <c r="A386" s="2711"/>
      <c r="C386" s="2712"/>
      <c r="E386" s="2711"/>
    </row>
    <row r="387" spans="1:5" s="1721" customFormat="1">
      <c r="A387" s="2711"/>
      <c r="C387" s="2712"/>
      <c r="E387" s="2711"/>
    </row>
    <row r="388" spans="1:5" s="1721" customFormat="1">
      <c r="A388" s="2711"/>
      <c r="C388" s="2712"/>
      <c r="E388" s="2711"/>
    </row>
    <row r="389" spans="1:5" s="1721" customFormat="1">
      <c r="A389" s="2711"/>
      <c r="C389" s="2712"/>
      <c r="E389" s="2711"/>
    </row>
    <row r="390" spans="1:5" s="1721" customFormat="1">
      <c r="A390" s="2711"/>
      <c r="C390" s="2712"/>
      <c r="E390" s="2711"/>
    </row>
    <row r="391" spans="1:5" s="1721" customFormat="1">
      <c r="A391" s="2711"/>
      <c r="C391" s="2712"/>
      <c r="E391" s="2711"/>
    </row>
    <row r="392" spans="1:5" s="1721" customFormat="1">
      <c r="A392" s="2711"/>
      <c r="C392" s="2712"/>
      <c r="E392" s="2711"/>
    </row>
    <row r="393" spans="1:5" s="1721" customFormat="1">
      <c r="A393" s="2711"/>
      <c r="C393" s="2712"/>
      <c r="E393" s="2711"/>
    </row>
    <row r="394" spans="1:5" s="1721" customFormat="1">
      <c r="A394" s="2711"/>
      <c r="C394" s="2712"/>
      <c r="E394" s="2711"/>
    </row>
    <row r="395" spans="1:5" s="1721" customFormat="1">
      <c r="A395" s="2711"/>
      <c r="C395" s="2712"/>
      <c r="E395" s="2711"/>
    </row>
    <row r="396" spans="1:5" s="1721" customFormat="1">
      <c r="A396" s="2711"/>
      <c r="C396" s="2712"/>
      <c r="E396" s="2711"/>
    </row>
    <row r="397" spans="1:5" s="1721" customFormat="1">
      <c r="A397" s="2711"/>
      <c r="C397" s="2712"/>
      <c r="E397" s="2711"/>
    </row>
    <row r="398" spans="1:5" s="1721" customFormat="1">
      <c r="A398" s="2711"/>
      <c r="C398" s="2712"/>
      <c r="E398" s="2711"/>
    </row>
    <row r="399" spans="1:5" s="1721" customFormat="1">
      <c r="A399" s="2711"/>
      <c r="C399" s="2712"/>
      <c r="E399" s="2711"/>
    </row>
    <row r="400" spans="1:5" s="1721" customFormat="1">
      <c r="A400" s="2711"/>
      <c r="C400" s="2712"/>
      <c r="E400" s="2711"/>
    </row>
    <row r="401" spans="1:5" s="1721" customFormat="1">
      <c r="A401" s="2711"/>
      <c r="C401" s="2712"/>
      <c r="E401" s="2711"/>
    </row>
    <row r="402" spans="1:5" s="1721" customFormat="1">
      <c r="A402" s="2711"/>
      <c r="C402" s="2712"/>
      <c r="E402" s="2711"/>
    </row>
    <row r="403" spans="1:5" s="1721" customFormat="1">
      <c r="A403" s="2711"/>
      <c r="C403" s="2712"/>
      <c r="E403" s="2711"/>
    </row>
    <row r="404" spans="1:5" s="1721" customFormat="1">
      <c r="A404" s="2711"/>
      <c r="C404" s="2712"/>
      <c r="E404" s="2711"/>
    </row>
    <row r="405" spans="1:5" s="1721" customFormat="1">
      <c r="A405" s="2711"/>
      <c r="C405" s="2712"/>
      <c r="E405" s="2711"/>
    </row>
    <row r="406" spans="1:5" s="1721" customFormat="1">
      <c r="A406" s="2711"/>
      <c r="C406" s="2712"/>
      <c r="E406" s="2711"/>
    </row>
    <row r="407" spans="1:5" s="1721" customFormat="1">
      <c r="A407" s="2711"/>
      <c r="C407" s="2712"/>
      <c r="E407" s="2711"/>
    </row>
    <row r="408" spans="1:5" s="1721" customFormat="1">
      <c r="A408" s="2711"/>
      <c r="C408" s="2712"/>
      <c r="E408" s="2711"/>
    </row>
    <row r="409" spans="1:5" s="1721" customFormat="1">
      <c r="A409" s="2711"/>
      <c r="C409" s="2712"/>
      <c r="E409" s="2711"/>
    </row>
    <row r="410" spans="1:5" s="1721" customFormat="1">
      <c r="A410" s="2711"/>
      <c r="C410" s="2712"/>
      <c r="E410" s="2711"/>
    </row>
    <row r="411" spans="1:5" s="1721" customFormat="1">
      <c r="A411" s="2711"/>
      <c r="C411" s="2712"/>
      <c r="E411" s="2711"/>
    </row>
    <row r="412" spans="1:5" s="1721" customFormat="1">
      <c r="A412" s="2711"/>
      <c r="C412" s="2712"/>
      <c r="E412" s="2711"/>
    </row>
    <row r="413" spans="1:5" s="1721" customFormat="1">
      <c r="A413" s="2711"/>
      <c r="C413" s="2712"/>
      <c r="E413" s="2711"/>
    </row>
    <row r="414" spans="1:5" s="1721" customFormat="1">
      <c r="A414" s="2711"/>
      <c r="C414" s="2712"/>
      <c r="E414" s="2711"/>
    </row>
    <row r="415" spans="1:5" s="1721" customFormat="1">
      <c r="A415" s="2711"/>
      <c r="C415" s="2712"/>
      <c r="E415" s="2711"/>
    </row>
    <row r="416" spans="1:5" s="1721" customFormat="1">
      <c r="A416" s="2711"/>
      <c r="C416" s="2712"/>
      <c r="E416" s="2711"/>
    </row>
    <row r="417" spans="1:5" s="1721" customFormat="1">
      <c r="A417" s="2711"/>
      <c r="C417" s="2712"/>
      <c r="E417" s="2711"/>
    </row>
    <row r="418" spans="1:5" s="1721" customFormat="1">
      <c r="A418" s="2711"/>
      <c r="C418" s="2712"/>
      <c r="E418" s="2711"/>
    </row>
    <row r="419" spans="1:5" s="1721" customFormat="1">
      <c r="A419" s="2711"/>
      <c r="C419" s="2712"/>
      <c r="E419" s="2711"/>
    </row>
    <row r="420" spans="1:5" s="1721" customFormat="1">
      <c r="A420" s="2711"/>
      <c r="C420" s="2712"/>
      <c r="E420" s="2711"/>
    </row>
    <row r="421" spans="1:5" s="1721" customFormat="1">
      <c r="A421" s="2711"/>
      <c r="C421" s="2712"/>
      <c r="E421" s="2711"/>
    </row>
    <row r="422" spans="1:5" s="1721" customFormat="1">
      <c r="A422" s="2711"/>
      <c r="C422" s="2712"/>
      <c r="E422" s="2711"/>
    </row>
    <row r="423" spans="1:5" s="1721" customFormat="1">
      <c r="A423" s="2711"/>
      <c r="C423" s="2712"/>
      <c r="E423" s="2711"/>
    </row>
    <row r="424" spans="1:5" s="1721" customFormat="1">
      <c r="A424" s="2711"/>
      <c r="C424" s="2712"/>
      <c r="E424" s="2711"/>
    </row>
    <row r="425" spans="1:5" s="1721" customFormat="1">
      <c r="A425" s="2711"/>
      <c r="C425" s="2712"/>
      <c r="E425" s="2711"/>
    </row>
    <row r="426" spans="1:5" s="1721" customFormat="1">
      <c r="A426" s="2711"/>
      <c r="C426" s="2712"/>
      <c r="E426" s="2711"/>
    </row>
    <row r="427" spans="1:5" s="1721" customFormat="1">
      <c r="A427" s="2711"/>
      <c r="C427" s="2712"/>
      <c r="E427" s="2711"/>
    </row>
    <row r="428" spans="1:5" s="1721" customFormat="1">
      <c r="A428" s="2711"/>
      <c r="C428" s="2712"/>
      <c r="E428" s="2711"/>
    </row>
    <row r="429" spans="1:5" s="1721" customFormat="1">
      <c r="A429" s="2711"/>
      <c r="C429" s="2712"/>
      <c r="E429" s="2711"/>
    </row>
    <row r="430" spans="1:5" s="1721" customFormat="1">
      <c r="A430" s="2711"/>
      <c r="C430" s="2712"/>
      <c r="E430" s="2711"/>
    </row>
    <row r="431" spans="1:5" s="1721" customFormat="1">
      <c r="A431" s="2711"/>
      <c r="C431" s="2712"/>
      <c r="E431" s="2711"/>
    </row>
    <row r="432" spans="1:5" s="1721" customFormat="1">
      <c r="A432" s="2711"/>
      <c r="C432" s="2712"/>
      <c r="E432" s="2711"/>
    </row>
    <row r="433" spans="1:5" s="1721" customFormat="1">
      <c r="A433" s="2711"/>
      <c r="C433" s="2712"/>
      <c r="E433" s="2711"/>
    </row>
    <row r="434" spans="1:5" s="1721" customFormat="1">
      <c r="A434" s="2711"/>
      <c r="C434" s="2712"/>
      <c r="E434" s="2711"/>
    </row>
    <row r="435" spans="1:5" s="1721" customFormat="1">
      <c r="A435" s="2711"/>
      <c r="C435" s="2712"/>
      <c r="E435" s="2711"/>
    </row>
    <row r="436" spans="1:5" s="1721" customFormat="1">
      <c r="A436" s="2711"/>
      <c r="C436" s="2712"/>
      <c r="E436" s="2711"/>
    </row>
    <row r="437" spans="1:5" s="1721" customFormat="1">
      <c r="A437" s="2711"/>
      <c r="C437" s="2712"/>
      <c r="E437" s="2711"/>
    </row>
    <row r="438" spans="1:5" s="1721" customFormat="1">
      <c r="A438" s="2711"/>
      <c r="C438" s="2712"/>
      <c r="E438" s="2711"/>
    </row>
    <row r="439" spans="1:5" s="1721" customFormat="1">
      <c r="A439" s="2711"/>
      <c r="C439" s="2712"/>
      <c r="E439" s="2711"/>
    </row>
    <row r="440" spans="1:5" s="1721" customFormat="1">
      <c r="A440" s="2711"/>
      <c r="C440" s="2712"/>
      <c r="E440" s="2711"/>
    </row>
    <row r="441" spans="1:5" s="1721" customFormat="1">
      <c r="A441" s="2711"/>
      <c r="C441" s="2712"/>
      <c r="E441" s="2711"/>
    </row>
    <row r="442" spans="1:5" s="1721" customFormat="1">
      <c r="A442" s="2711"/>
      <c r="C442" s="2712"/>
      <c r="E442" s="2711"/>
    </row>
    <row r="443" spans="1:5" s="1721" customFormat="1">
      <c r="A443" s="2711"/>
      <c r="C443" s="2712"/>
      <c r="E443" s="2711"/>
    </row>
    <row r="444" spans="1:5" s="1721" customFormat="1">
      <c r="A444" s="2711"/>
      <c r="C444" s="2712"/>
      <c r="E444" s="2711"/>
    </row>
    <row r="445" spans="1:5" s="1721" customFormat="1">
      <c r="A445" s="2711"/>
      <c r="C445" s="2712"/>
      <c r="E445" s="2711"/>
    </row>
    <row r="446" spans="1:5" s="1721" customFormat="1">
      <c r="A446" s="2711"/>
      <c r="C446" s="2712"/>
      <c r="E446" s="2711"/>
    </row>
    <row r="447" spans="1:5" s="1721" customFormat="1">
      <c r="A447" s="2711"/>
      <c r="C447" s="2712"/>
      <c r="E447" s="2711"/>
    </row>
    <row r="448" spans="1:5" s="1721" customFormat="1">
      <c r="A448" s="2711"/>
      <c r="C448" s="2712"/>
      <c r="E448" s="2711"/>
    </row>
    <row r="449" spans="1:5" s="1721" customFormat="1">
      <c r="A449" s="2711"/>
      <c r="C449" s="2712"/>
      <c r="E449" s="2711"/>
    </row>
    <row r="450" spans="1:5" s="1721" customFormat="1">
      <c r="A450" s="2711"/>
      <c r="C450" s="2712"/>
      <c r="E450" s="2711"/>
    </row>
    <row r="451" spans="1:5" s="1721" customFormat="1">
      <c r="A451" s="2711"/>
      <c r="C451" s="2712"/>
      <c r="E451" s="2711"/>
    </row>
    <row r="452" spans="1:5" s="1721" customFormat="1">
      <c r="A452" s="2711"/>
      <c r="C452" s="2712"/>
      <c r="E452" s="2711"/>
    </row>
    <row r="453" spans="1:5" s="1721" customFormat="1">
      <c r="A453" s="2711"/>
      <c r="C453" s="2712"/>
      <c r="E453" s="2711"/>
    </row>
    <row r="454" spans="1:5" s="1721" customFormat="1">
      <c r="A454" s="2711"/>
      <c r="C454" s="2712"/>
      <c r="E454" s="2711"/>
    </row>
    <row r="455" spans="1:5" s="1721" customFormat="1">
      <c r="A455" s="2711"/>
      <c r="C455" s="2712"/>
      <c r="E455" s="2711"/>
    </row>
    <row r="456" spans="1:5" s="1721" customFormat="1">
      <c r="A456" s="2711"/>
      <c r="C456" s="2712"/>
      <c r="E456" s="2711"/>
    </row>
    <row r="457" spans="1:5" s="1721" customFormat="1">
      <c r="A457" s="2711"/>
      <c r="C457" s="2712"/>
      <c r="E457" s="2711"/>
    </row>
    <row r="458" spans="1:5" s="1721" customFormat="1">
      <c r="A458" s="2711"/>
      <c r="C458" s="2712"/>
      <c r="E458" s="2711"/>
    </row>
    <row r="459" spans="1:5" s="1721" customFormat="1">
      <c r="A459" s="2711"/>
      <c r="C459" s="2712"/>
      <c r="E459" s="2711"/>
    </row>
    <row r="460" spans="1:5" s="1721" customFormat="1">
      <c r="A460" s="2711"/>
      <c r="C460" s="2712"/>
      <c r="E460" s="2711"/>
    </row>
    <row r="461" spans="1:5" s="1721" customFormat="1">
      <c r="A461" s="2711"/>
      <c r="C461" s="2712"/>
      <c r="E461" s="2711"/>
    </row>
    <row r="462" spans="1:5" s="1721" customFormat="1">
      <c r="A462" s="2711"/>
      <c r="C462" s="2712"/>
      <c r="E462" s="2711"/>
    </row>
    <row r="463" spans="1:5" s="1721" customFormat="1">
      <c r="A463" s="2711"/>
      <c r="C463" s="2712"/>
      <c r="E463" s="2711"/>
    </row>
    <row r="464" spans="1:5" s="1721" customFormat="1">
      <c r="A464" s="2711"/>
      <c r="C464" s="2712"/>
      <c r="E464" s="2711"/>
    </row>
    <row r="465" spans="1:5" s="1721" customFormat="1">
      <c r="A465" s="2711"/>
      <c r="C465" s="2712"/>
      <c r="E465" s="2711"/>
    </row>
    <row r="466" spans="1:5" s="1721" customFormat="1">
      <c r="A466" s="2711"/>
      <c r="C466" s="2712"/>
      <c r="E466" s="2711"/>
    </row>
    <row r="467" spans="1:5" s="1721" customFormat="1">
      <c r="A467" s="2711"/>
      <c r="C467" s="2712"/>
      <c r="E467" s="2711"/>
    </row>
    <row r="468" spans="1:5" s="1721" customFormat="1">
      <c r="A468" s="2711"/>
      <c r="C468" s="2712"/>
      <c r="E468" s="2711"/>
    </row>
    <row r="469" spans="1:5" s="1721" customFormat="1">
      <c r="A469" s="2711"/>
      <c r="C469" s="2712"/>
      <c r="E469" s="2711"/>
    </row>
    <row r="470" spans="1:5" s="1721" customFormat="1">
      <c r="A470" s="2711"/>
      <c r="C470" s="2712"/>
      <c r="E470" s="2711"/>
    </row>
    <row r="471" spans="1:5" s="1721" customFormat="1">
      <c r="A471" s="2711"/>
      <c r="C471" s="2712"/>
      <c r="E471" s="2711"/>
    </row>
    <row r="472" spans="1:5" s="1721" customFormat="1">
      <c r="A472" s="2711"/>
      <c r="C472" s="2712"/>
      <c r="E472" s="2711"/>
    </row>
    <row r="473" spans="1:5" s="1721" customFormat="1">
      <c r="A473" s="2711"/>
      <c r="C473" s="2712"/>
      <c r="E473" s="2711"/>
    </row>
    <row r="474" spans="1:5" s="1721" customFormat="1">
      <c r="A474" s="2711"/>
      <c r="C474" s="2712"/>
      <c r="E474" s="2711"/>
    </row>
    <row r="475" spans="1:5" s="1721" customFormat="1">
      <c r="A475" s="2711"/>
      <c r="C475" s="2712"/>
      <c r="E475" s="2711"/>
    </row>
    <row r="476" spans="1:5" s="1721" customFormat="1">
      <c r="A476" s="2711"/>
      <c r="C476" s="2712"/>
      <c r="E476" s="2711"/>
    </row>
    <row r="477" spans="1:5" s="1721" customFormat="1">
      <c r="A477" s="2711"/>
      <c r="C477" s="2712"/>
      <c r="E477" s="2711"/>
    </row>
    <row r="478" spans="1:5" s="1721" customFormat="1">
      <c r="A478" s="2711"/>
      <c r="C478" s="2712"/>
      <c r="E478" s="2711"/>
    </row>
    <row r="479" spans="1:5" s="1721" customFormat="1">
      <c r="A479" s="2711"/>
      <c r="C479" s="2712"/>
      <c r="E479" s="2711"/>
    </row>
    <row r="480" spans="1:5" s="1721" customFormat="1">
      <c r="A480" s="2711"/>
      <c r="C480" s="2712"/>
      <c r="E480" s="2711"/>
    </row>
    <row r="481" spans="1:5" s="1721" customFormat="1">
      <c r="A481" s="2711"/>
      <c r="C481" s="2712"/>
      <c r="E481" s="2711"/>
    </row>
    <row r="482" spans="1:5" s="1721" customFormat="1">
      <c r="A482" s="2711"/>
      <c r="C482" s="2712"/>
      <c r="E482" s="2711"/>
    </row>
    <row r="483" spans="1:5" s="1721" customFormat="1">
      <c r="A483" s="2711"/>
      <c r="C483" s="2712"/>
      <c r="E483" s="2711"/>
    </row>
    <row r="484" spans="1:5" s="1721" customFormat="1">
      <c r="A484" s="2711"/>
      <c r="C484" s="2712"/>
      <c r="E484" s="2711"/>
    </row>
    <row r="485" spans="1:5" s="1721" customFormat="1">
      <c r="A485" s="2711"/>
      <c r="C485" s="2712"/>
      <c r="E485" s="2711"/>
    </row>
    <row r="486" spans="1:5" s="1721" customFormat="1">
      <c r="A486" s="2711"/>
      <c r="C486" s="2712"/>
      <c r="E486" s="2711"/>
    </row>
    <row r="487" spans="1:5" s="1721" customFormat="1">
      <c r="A487" s="2711"/>
      <c r="C487" s="2712"/>
      <c r="E487" s="2711"/>
    </row>
    <row r="488" spans="1:5" s="1721" customFormat="1">
      <c r="A488" s="2711"/>
      <c r="C488" s="2712"/>
      <c r="E488" s="2711"/>
    </row>
    <row r="489" spans="1:5" s="1721" customFormat="1">
      <c r="A489" s="2711"/>
      <c r="C489" s="2712"/>
      <c r="E489" s="2711"/>
    </row>
    <row r="490" spans="1:5" s="1721" customFormat="1">
      <c r="A490" s="2711"/>
      <c r="C490" s="2712"/>
      <c r="E490" s="271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9" sqref="K9"/>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6" t="s">
        <v>1252</v>
      </c>
      <c r="B1" s="675"/>
      <c r="C1" s="708" t="s">
        <v>3671</v>
      </c>
      <c r="D1" s="2361" t="s">
        <v>3669</v>
      </c>
      <c r="E1" s="1945" t="s">
        <v>1726</v>
      </c>
      <c r="F1" s="1946">
        <f ca="1">J53</f>
        <v>26.32</v>
      </c>
      <c r="G1" s="2758">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3" t="s">
        <v>1253</v>
      </c>
      <c r="B2" s="710">
        <f ca="1">C40+J29+L46</f>
        <v>19975</v>
      </c>
      <c r="C2" s="2763"/>
      <c r="D2" s="2762"/>
      <c r="E2" s="2764"/>
      <c r="F2" s="2764"/>
      <c r="G2" s="2759"/>
      <c r="H2" s="1668"/>
      <c r="I2" s="1668"/>
      <c r="J2" s="1668"/>
      <c r="K2" s="1669"/>
      <c r="L2" s="1668"/>
      <c r="M2" s="1668"/>
    </row>
    <row r="3" spans="1:33" ht="18" customHeight="1" thickBot="1">
      <c r="A3" s="767" t="s">
        <v>1254</v>
      </c>
      <c r="B3" s="768">
        <f ca="1">IF(ISERROR(B2*10000/F43),0,ROUND(B2*10000/F43,0))</f>
        <v>4723</v>
      </c>
      <c r="C3" s="2763"/>
      <c r="D3" s="2762"/>
      <c r="E3" s="2764"/>
      <c r="F3" s="2764"/>
      <c r="G3" s="2759"/>
      <c r="H3" s="711" t="s">
        <v>640</v>
      </c>
      <c r="I3" s="1154"/>
      <c r="J3" s="1154"/>
      <c r="K3" s="1322"/>
      <c r="L3" s="1154"/>
      <c r="M3" s="1154"/>
    </row>
    <row r="4" spans="1:33" ht="18" customHeight="1">
      <c r="A4" s="712" t="s">
        <v>1255</v>
      </c>
      <c r="B4" s="713" t="s">
        <v>1256</v>
      </c>
      <c r="C4" s="713" t="s">
        <v>1257</v>
      </c>
      <c r="D4" s="713" t="s">
        <v>579</v>
      </c>
      <c r="E4" s="714" t="s">
        <v>1258</v>
      </c>
      <c r="F4" s="715"/>
      <c r="G4" s="1666"/>
      <c r="H4" s="712" t="s">
        <v>1259</v>
      </c>
      <c r="I4" s="713" t="s">
        <v>1260</v>
      </c>
      <c r="J4" s="713" t="s">
        <v>1261</v>
      </c>
      <c r="K4" s="713" t="s">
        <v>1262</v>
      </c>
      <c r="L4" s="714" t="s">
        <v>1263</v>
      </c>
      <c r="M4" s="715"/>
    </row>
    <row r="5" spans="1:33" ht="18" customHeight="1">
      <c r="A5" s="716">
        <v>1</v>
      </c>
      <c r="B5" s="717" t="s">
        <v>1800</v>
      </c>
      <c r="C5" s="51">
        <f ca="1">C6+C10+C12</f>
        <v>1577</v>
      </c>
      <c r="D5" s="1999" t="s">
        <v>1803</v>
      </c>
      <c r="E5" s="1993"/>
      <c r="F5" s="1994"/>
      <c r="G5" s="1666"/>
      <c r="H5" s="716">
        <v>1</v>
      </c>
      <c r="I5" s="717" t="s">
        <v>1800</v>
      </c>
      <c r="J5" s="51">
        <f ca="1">J6+J10+J12</f>
        <v>0</v>
      </c>
      <c r="K5" s="1999" t="s">
        <v>1803</v>
      </c>
      <c r="L5" s="1993"/>
      <c r="M5" s="1994"/>
    </row>
    <row r="6" spans="1:33" ht="18" customHeight="1">
      <c r="A6" s="1519" t="s">
        <v>1351</v>
      </c>
      <c r="B6" s="3696" t="s">
        <v>1805</v>
      </c>
      <c r="C6" s="718">
        <f ca="1">ROUND(F6*F8*F7*(1-F9)/10000,0)</f>
        <v>1575</v>
      </c>
      <c r="D6" s="2000" t="s">
        <v>1804</v>
      </c>
      <c r="E6" s="719" t="s">
        <v>1265</v>
      </c>
      <c r="F6" s="720">
        <f ca="1">INDIRECT("'数据-取费表'!u"&amp;$G$1)</f>
        <v>1.2</v>
      </c>
      <c r="G6" s="1666"/>
      <c r="H6" s="2007" t="s">
        <v>1810</v>
      </c>
      <c r="I6" s="3696" t="s">
        <v>1805</v>
      </c>
      <c r="J6" s="718">
        <f ca="1">ROUND(M6*M8*M7*(1-M9)/10000,0)</f>
        <v>0</v>
      </c>
      <c r="K6" s="315" t="s">
        <v>1264</v>
      </c>
      <c r="L6" s="719" t="s">
        <v>1265</v>
      </c>
      <c r="M6" s="720">
        <f ca="1">INDIRECT("'数据-取费表'!z"&amp;$G$1)</f>
        <v>0</v>
      </c>
    </row>
    <row r="7" spans="1:33" ht="18" customHeight="1">
      <c r="A7" s="2003"/>
      <c r="B7" s="3697"/>
      <c r="C7" s="723"/>
      <c r="D7" s="724"/>
      <c r="E7" s="719" t="s">
        <v>1266</v>
      </c>
      <c r="F7" s="720">
        <f ca="1">IF(INDIRECT("'数据-取费表'!ah"&amp;$G$1)="",INDIRECT("'数据-取费表'!k"&amp;$G$1),INDIRECT("'数据-取费表'!ah"&amp;$G$1))</f>
        <v>42292.15</v>
      </c>
      <c r="G7" s="1666"/>
      <c r="H7" s="1992"/>
      <c r="I7" s="3697"/>
      <c r="J7" s="723"/>
      <c r="K7" s="724"/>
      <c r="L7" s="719" t="s">
        <v>1266</v>
      </c>
      <c r="M7" s="720">
        <f ca="1">F7</f>
        <v>42292.15</v>
      </c>
    </row>
    <row r="8" spans="1:33" ht="18" customHeight="1">
      <c r="A8" s="1996"/>
      <c r="B8" s="3698"/>
      <c r="C8" s="723"/>
      <c r="D8" s="724"/>
      <c r="E8" s="719" t="s">
        <v>1267</v>
      </c>
      <c r="F8" s="720">
        <f ca="1">INDIRECT("'数据-取费表'!ai"&amp;$G$1)</f>
        <v>365</v>
      </c>
      <c r="G8" s="1666"/>
      <c r="H8" s="1992"/>
      <c r="I8" s="3698"/>
      <c r="J8" s="723"/>
      <c r="K8" s="724"/>
      <c r="L8" s="719" t="s">
        <v>1267</v>
      </c>
      <c r="M8" s="720">
        <f ca="1">INDIRECT("'数据-取费表'!ai"&amp;$G$1)</f>
        <v>365</v>
      </c>
    </row>
    <row r="9" spans="1:33" ht="18" customHeight="1">
      <c r="A9" s="721"/>
      <c r="B9" s="3699"/>
      <c r="C9" s="723"/>
      <c r="D9" s="724"/>
      <c r="E9" s="719" t="s">
        <v>1268</v>
      </c>
      <c r="F9" s="729">
        <f ca="1">INDIRECT("'数据-取费表'!w"&amp;$G$1)</f>
        <v>0.15</v>
      </c>
      <c r="G9" s="1666"/>
      <c r="H9" s="2008"/>
      <c r="I9" s="3698"/>
      <c r="J9" s="723"/>
      <c r="K9" s="724"/>
      <c r="L9" s="730" t="s">
        <v>1268</v>
      </c>
      <c r="M9" s="731">
        <f ca="1">INDIRECT("'数据-取费表'!ab"&amp;$G$1)</f>
        <v>0</v>
      </c>
    </row>
    <row r="10" spans="1:33" ht="18" customHeight="1">
      <c r="A10" s="1519" t="s">
        <v>1808</v>
      </c>
      <c r="B10" s="1997" t="s">
        <v>1801</v>
      </c>
      <c r="C10" s="734">
        <f ca="1">ROUND(IF(F10="押一",C6/12*F11,IF(F10="押二",C6/12*2*F11,IF(F10="押三",C6/12*3*F11,C11*F11))),0)</f>
        <v>2</v>
      </c>
      <c r="D10" s="2004" t="s">
        <v>2220</v>
      </c>
      <c r="E10" s="2001" t="s">
        <v>1806</v>
      </c>
      <c r="F10" s="2074" t="s">
        <v>3667</v>
      </c>
      <c r="G10" s="1666"/>
      <c r="H10" s="2035" t="s">
        <v>1811</v>
      </c>
      <c r="I10" s="2039" t="s">
        <v>1801</v>
      </c>
      <c r="J10" s="718">
        <f ca="1">ROUND(IF(M10="押一",J6/12*M11,IF(M10="押二",J6/12*2*M11,IF(M10="押三",J6/12*3*M11,J11*M11))),0)</f>
        <v>0</v>
      </c>
      <c r="K10" s="2004" t="s">
        <v>2220</v>
      </c>
      <c r="L10" s="2001" t="s">
        <v>1806</v>
      </c>
      <c r="M10" s="2074"/>
    </row>
    <row r="11" spans="1:33" ht="18" customHeight="1">
      <c r="A11" s="725"/>
      <c r="B11" s="1998" t="s">
        <v>1854</v>
      </c>
      <c r="C11" s="2002"/>
      <c r="D11" s="724"/>
      <c r="E11" s="2001" t="s">
        <v>1807</v>
      </c>
      <c r="F11" s="731">
        <f ca="1">'数据-取费表'!B39</f>
        <v>1.4999999999999999E-2</v>
      </c>
      <c r="G11" s="1666"/>
      <c r="H11" s="2036"/>
      <c r="I11" s="1998" t="s">
        <v>1854</v>
      </c>
      <c r="J11" s="2002"/>
      <c r="K11" s="287"/>
      <c r="L11" s="2001" t="s">
        <v>1807</v>
      </c>
      <c r="M11" s="1995">
        <f ca="1">'数据-取费表'!B39</f>
        <v>1.4999999999999999E-2</v>
      </c>
    </row>
    <row r="12" spans="1:33" ht="18" customHeight="1" thickBot="1">
      <c r="A12" s="2011" t="s">
        <v>1809</v>
      </c>
      <c r="B12" s="2012" t="s">
        <v>1802</v>
      </c>
      <c r="C12" s="2013"/>
      <c r="D12" s="2014"/>
      <c r="E12" s="2015"/>
      <c r="F12" s="2016"/>
      <c r="G12" s="1666"/>
      <c r="H12" s="2025" t="s">
        <v>1812</v>
      </c>
      <c r="I12" s="2037" t="s">
        <v>1802</v>
      </c>
      <c r="J12" s="2038"/>
      <c r="K12" s="2014"/>
      <c r="L12" s="2015"/>
      <c r="M12" s="2028"/>
    </row>
    <row r="13" spans="1:33" ht="18" customHeight="1" thickTop="1">
      <c r="A13" s="1518">
        <v>2</v>
      </c>
      <c r="B13" s="1516" t="s">
        <v>1269</v>
      </c>
      <c r="C13" s="727">
        <f ca="1">ROUND(C29*F13,0)</f>
        <v>14061</v>
      </c>
      <c r="D13" s="1523" t="s">
        <v>1652</v>
      </c>
      <c r="E13" s="1523" t="s">
        <v>1271</v>
      </c>
      <c r="F13" s="2010">
        <f ca="1">INDIRECT("'数据-取费表'!y"&amp;$G$1)</f>
        <v>1</v>
      </c>
      <c r="G13" s="1666"/>
      <c r="H13" s="1518">
        <v>2</v>
      </c>
      <c r="I13" s="1516" t="s">
        <v>1269</v>
      </c>
      <c r="J13" s="1510">
        <f ca="1">ROUND(J14*J15,0)</f>
        <v>0</v>
      </c>
      <c r="K13" s="1512" t="s">
        <v>1270</v>
      </c>
      <c r="L13" s="2026"/>
      <c r="M13" s="2027"/>
    </row>
    <row r="14" spans="1:33" ht="18" customHeight="1">
      <c r="A14" s="1366" t="s">
        <v>1407</v>
      </c>
      <c r="B14" s="719" t="s">
        <v>591</v>
      </c>
      <c r="C14" s="739">
        <f ca="1">INDIRECT("'数据-取费表'!m"&amp;$G$1)+INDIRECT("'数据-取费表'!t"&amp;$G$1)</f>
        <v>10150</v>
      </c>
      <c r="D14" s="903" t="s">
        <v>1272</v>
      </c>
      <c r="E14" s="902"/>
      <c r="F14" s="740"/>
      <c r="G14" s="1666"/>
      <c r="H14" s="1367" t="s">
        <v>1357</v>
      </c>
      <c r="I14" s="1823" t="s">
        <v>2101</v>
      </c>
      <c r="J14" s="49">
        <f ca="1">C29</f>
        <v>14061</v>
      </c>
      <c r="K14" s="22"/>
      <c r="L14" s="736"/>
      <c r="M14" s="737"/>
    </row>
    <row r="15" spans="1:33" s="1674" customFormat="1" ht="18" customHeight="1" thickBot="1">
      <c r="A15" s="1366" t="s">
        <v>1408</v>
      </c>
      <c r="B15" s="719" t="s">
        <v>593</v>
      </c>
      <c r="C15" s="49">
        <f ca="1">ROUND(C14*F15,0)</f>
        <v>508</v>
      </c>
      <c r="D15" s="741" t="s">
        <v>1273</v>
      </c>
      <c r="E15" s="741" t="s">
        <v>1274</v>
      </c>
      <c r="F15" s="742">
        <f>'数据-取费表'!B33</f>
        <v>0.05</v>
      </c>
      <c r="G15" s="2760"/>
      <c r="H15" s="2025" t="s">
        <v>1412</v>
      </c>
      <c r="I15" s="2020" t="s">
        <v>1271</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6" t="s">
        <v>1409</v>
      </c>
      <c r="B16" s="719" t="s">
        <v>596</v>
      </c>
      <c r="C16" s="49">
        <f ca="1">ROUND(INDIRECT("'数据-取费表'!m"&amp;$G$1)*F16,0)</f>
        <v>0</v>
      </c>
      <c r="D16" s="719" t="s">
        <v>1273</v>
      </c>
      <c r="E16" s="719" t="s">
        <v>1274</v>
      </c>
      <c r="F16" s="744">
        <f ca="1">IF(INDIRECT("'数据-取费表'!c"&amp;$G$1)="住宅",'数据-取费表'!B34,0)</f>
        <v>0</v>
      </c>
      <c r="G16" s="1666"/>
      <c r="H16" s="1518" t="s">
        <v>1275</v>
      </c>
      <c r="I16" s="1516" t="s">
        <v>1276</v>
      </c>
      <c r="J16" s="727">
        <f ca="1">ROUND(J17+J22+J23+J24,0)</f>
        <v>30</v>
      </c>
      <c r="K16" s="1512" t="s">
        <v>1277</v>
      </c>
      <c r="L16" s="906"/>
      <c r="M16" s="1994"/>
    </row>
    <row r="17" spans="1:33" s="1674" customFormat="1" ht="18" customHeight="1">
      <c r="A17" s="1366" t="s">
        <v>1410</v>
      </c>
      <c r="B17" s="719" t="s">
        <v>599</v>
      </c>
      <c r="C17" s="49">
        <f ca="1">ROUND(F17*(F43+INDIRECT("'数据-取费表'!S"&amp;$G$1))/10000,0)</f>
        <v>423</v>
      </c>
      <c r="D17" s="719" t="s">
        <v>1278</v>
      </c>
      <c r="E17" s="719" t="s">
        <v>1279</v>
      </c>
      <c r="F17" s="52">
        <f>'数据-取费表'!B35</f>
        <v>100</v>
      </c>
      <c r="G17" s="2760"/>
      <c r="H17" s="1367" t="s">
        <v>1357</v>
      </c>
      <c r="I17" s="719" t="s">
        <v>602</v>
      </c>
      <c r="J17" s="2553">
        <f ca="1">ROUND(IF(AND(项目基本情况!B11="自然人",项目基本情况!B10="北京市"),J6*M17/(1+'数据-取费表'!C42),J18+J19+J20),2)</f>
        <v>1.52</v>
      </c>
      <c r="K17" s="903" t="s">
        <v>1280</v>
      </c>
      <c r="L17" s="904" t="s">
        <v>1281</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6" t="s">
        <v>1411</v>
      </c>
      <c r="B18" s="719" t="s">
        <v>605</v>
      </c>
      <c r="C18" s="49">
        <f ca="1">ROUND(C14*F18,0)</f>
        <v>203</v>
      </c>
      <c r="D18" s="719" t="s">
        <v>1273</v>
      </c>
      <c r="E18" s="719" t="s">
        <v>1274</v>
      </c>
      <c r="F18" s="744">
        <f>'数据-取费表'!B36</f>
        <v>0.02</v>
      </c>
      <c r="G18" s="2760"/>
      <c r="H18" s="1366" t="s">
        <v>1407</v>
      </c>
      <c r="I18" s="719" t="s">
        <v>1282</v>
      </c>
      <c r="J18" s="49">
        <f ca="1">ROUND(J6*M18/(1+'数据-取费表'!C42),2)</f>
        <v>0</v>
      </c>
      <c r="K18" s="904" t="s">
        <v>1283</v>
      </c>
      <c r="L18" s="719" t="s">
        <v>1274</v>
      </c>
      <c r="M18" s="744">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7" t="s">
        <v>1357</v>
      </c>
      <c r="B19" s="719" t="s">
        <v>608</v>
      </c>
      <c r="C19" s="49">
        <f ca="1">SUM(C14:C18)</f>
        <v>11284</v>
      </c>
      <c r="D19" s="241" t="s">
        <v>1284</v>
      </c>
      <c r="E19" s="912"/>
      <c r="F19" s="52"/>
      <c r="G19" s="1666"/>
      <c r="H19" s="1366" t="s">
        <v>1408</v>
      </c>
      <c r="I19" s="719" t="s">
        <v>1285</v>
      </c>
      <c r="J19" s="49">
        <f ca="1">IF(K19="按租金收入计税",ROUND(J6*M19/(1+'数据-取费表'!C42),1),ROUND(C29*F33*0.7,2))</f>
        <v>0</v>
      </c>
      <c r="K19" s="745" t="s">
        <v>3231</v>
      </c>
      <c r="L19" s="719" t="s">
        <v>1274</v>
      </c>
      <c r="M19" s="744">
        <f>IF(K19="按租金收入计税",'数据-取费表'!B51,'数据-取费表'!B50)</f>
        <v>0.12</v>
      </c>
    </row>
    <row r="20" spans="1:33" s="1674" customFormat="1" ht="18" customHeight="1">
      <c r="A20" s="1367" t="s">
        <v>1412</v>
      </c>
      <c r="B20" s="719" t="s">
        <v>611</v>
      </c>
      <c r="C20" s="49">
        <f ca="1">ROUND(C19*F20,0)</f>
        <v>226</v>
      </c>
      <c r="D20" s="746" t="s">
        <v>1286</v>
      </c>
      <c r="E20" s="719" t="s">
        <v>1274</v>
      </c>
      <c r="F20" s="744">
        <f>'数据-取费表'!B37</f>
        <v>0.02</v>
      </c>
      <c r="G20" s="2760"/>
      <c r="H20" s="1369" t="s">
        <v>1403</v>
      </c>
      <c r="I20" s="315" t="s">
        <v>1287</v>
      </c>
      <c r="J20" s="50">
        <f ca="1">ROUND(M20*M21/10000,2)</f>
        <v>1.52</v>
      </c>
      <c r="K20" s="748" t="s">
        <v>1288</v>
      </c>
      <c r="L20" s="719" t="s">
        <v>1289</v>
      </c>
      <c r="M20" s="587">
        <f>'数据-取费表'!B52</f>
        <v>0.9</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7" t="s">
        <v>1413</v>
      </c>
      <c r="B21" s="719" t="s">
        <v>1290</v>
      </c>
      <c r="C21" s="49" t="s">
        <v>1291</v>
      </c>
      <c r="D21" s="746" t="s">
        <v>1653</v>
      </c>
      <c r="E21" s="719" t="s">
        <v>1292</v>
      </c>
      <c r="F21" s="744">
        <f>'数据-取费表'!B38</f>
        <v>0.02</v>
      </c>
      <c r="G21" s="2760"/>
      <c r="H21" s="2009"/>
      <c r="I21" s="728"/>
      <c r="J21" s="65"/>
      <c r="K21" s="750"/>
      <c r="L21" s="719" t="s">
        <v>1293</v>
      </c>
      <c r="M21" s="720">
        <f ca="1">INDIRECT("'数据-取费表'!r"&amp;$G$1)</f>
        <v>16917.13</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7" t="s">
        <v>1414</v>
      </c>
      <c r="B22" s="719" t="s">
        <v>1294</v>
      </c>
      <c r="C22" s="49"/>
      <c r="D22" s="2043" t="str">
        <f>IF(F23&lt;=1,"单利计息。","复利计息。")&amp;"建造成本、管理费用、销售费用产生的利息。"</f>
        <v>复利计息。建造成本、管理费用、销售费用产生的利息。</v>
      </c>
      <c r="E22" s="912"/>
      <c r="F22" s="52"/>
      <c r="G22" s="1666"/>
      <c r="H22" s="1367" t="s">
        <v>1412</v>
      </c>
      <c r="I22" s="719" t="s">
        <v>1295</v>
      </c>
      <c r="J22" s="49">
        <f ca="1">ROUND(J14*M22,2)</f>
        <v>28.12</v>
      </c>
      <c r="K22" s="904" t="s">
        <v>1296</v>
      </c>
      <c r="L22" s="719" t="s">
        <v>1274</v>
      </c>
      <c r="M22" s="751">
        <f ca="1">INDIRECT("'数据-取费表'!Ak"&amp;$G$1)</f>
        <v>2E-3</v>
      </c>
    </row>
    <row r="23" spans="1:33" s="1674" customFormat="1" ht="18" customHeight="1">
      <c r="A23" s="1366" t="s">
        <v>1358</v>
      </c>
      <c r="B23" s="719" t="s">
        <v>1816</v>
      </c>
      <c r="C23" s="49">
        <f ca="1">ROUND(IF('数据-取费表'!B22&lt;=1,(C19+C20)*F24*F23/2,(C19+C20)*(POWER((1+F24),F23/2)-1)),0)</f>
        <v>345</v>
      </c>
      <c r="D23" s="2042" t="str">
        <f>IF(F23&lt;=1,"(建造成本+管理费用)×利率×(建设周期÷2)","(建造成本+管理费用)×((1+利率)^(建设周期÷2)-1)")</f>
        <v>(建造成本+管理费用)×((1+利率)^(建设周期÷2)-1)</v>
      </c>
      <c r="E23" s="719" t="s">
        <v>1297</v>
      </c>
      <c r="F23" s="587">
        <f>'数据-取费表'!B20</f>
        <v>2</v>
      </c>
      <c r="G23" s="2760"/>
      <c r="H23" s="1367" t="s">
        <v>1413</v>
      </c>
      <c r="I23" s="719" t="s">
        <v>624</v>
      </c>
      <c r="J23" s="49">
        <f ca="1">ROUND(J13*M23,2)</f>
        <v>0</v>
      </c>
      <c r="K23" s="904" t="s">
        <v>1298</v>
      </c>
      <c r="L23" s="719" t="s">
        <v>1274</v>
      </c>
      <c r="M23" s="752">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6" t="s">
        <v>1359</v>
      </c>
      <c r="B24" s="719" t="s">
        <v>1299</v>
      </c>
      <c r="C24" s="49">
        <f ca="1">ROUND(IF('数据-取费表'!B22&lt;=1,F21*F24*F23/2,F21*(POWER((1+F24),F23/2)-1)),4)</f>
        <v>5.9999999999999995E-4</v>
      </c>
      <c r="D24" s="2042" t="str">
        <f>IF(F23&lt;=1,"销售费用×利率×(建设周期÷2)","销售费用×((1+利率)^(建设周期÷2)-1)")</f>
        <v>销售费用×((1+利率)^(建设周期÷2)-1)</v>
      </c>
      <c r="E24" s="719" t="s">
        <v>1300</v>
      </c>
      <c r="F24" s="753">
        <f ca="1">'数据-取费表'!B40</f>
        <v>0.03</v>
      </c>
      <c r="G24" s="2760"/>
      <c r="H24" s="2025" t="s">
        <v>1414</v>
      </c>
      <c r="I24" s="2020" t="s">
        <v>611</v>
      </c>
      <c r="J24" s="2018">
        <f ca="1">ROUND(J5*M24,2)</f>
        <v>0</v>
      </c>
      <c r="K24" s="2019" t="s">
        <v>1301</v>
      </c>
      <c r="L24" s="2020" t="s">
        <v>1274</v>
      </c>
      <c r="M24" s="2016">
        <f ca="1">INDIRECT("'数据-取费表'!Am"&amp;$G$1)</f>
        <v>0.01</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8" t="s">
        <v>1367</v>
      </c>
      <c r="B25" s="719" t="s">
        <v>629</v>
      </c>
      <c r="C25" s="49"/>
      <c r="D25" s="241" t="s">
        <v>1302</v>
      </c>
      <c r="E25" s="912"/>
      <c r="F25" s="52"/>
      <c r="G25" s="1666"/>
      <c r="H25" s="1518" t="s">
        <v>1303</v>
      </c>
      <c r="I25" s="2295" t="s">
        <v>2097</v>
      </c>
      <c r="J25" s="727">
        <f ca="1">J5-J16</f>
        <v>-30</v>
      </c>
      <c r="K25" s="2022" t="s">
        <v>1304</v>
      </c>
      <c r="L25" s="2023"/>
      <c r="M25" s="2024"/>
    </row>
    <row r="26" spans="1:33" ht="18" customHeight="1">
      <c r="A26" s="1366" t="s">
        <v>1358</v>
      </c>
      <c r="B26" s="719" t="s">
        <v>1783</v>
      </c>
      <c r="C26" s="49">
        <f ca="1">ROUND((C19+C20)*F26,0)</f>
        <v>1151</v>
      </c>
      <c r="D26" s="746" t="s">
        <v>1305</v>
      </c>
      <c r="E26" s="730" t="s">
        <v>1306</v>
      </c>
      <c r="F26" s="729">
        <f ca="1">INDIRECT("'数据-取费表'!q"&amp;$G$1)</f>
        <v>0.1</v>
      </c>
      <c r="G26" s="1666"/>
      <c r="H26" s="2005" t="s">
        <v>1307</v>
      </c>
      <c r="I26" s="1824" t="s">
        <v>2102</v>
      </c>
      <c r="J26" s="718">
        <f ca="1">IF(J5&lt;&gt;0,ROUND(J25*(1-((1+M28)/(1+M26))^M27)/(M26-M28),0),0)</f>
        <v>0</v>
      </c>
      <c r="K26" s="748" t="s">
        <v>1308</v>
      </c>
      <c r="L26" s="719" t="s">
        <v>1771</v>
      </c>
      <c r="M26" s="729">
        <f ca="1">INDIRECT("'数据-取费表'!I"&amp;$G$1)</f>
        <v>0.06</v>
      </c>
    </row>
    <row r="27" spans="1:33" ht="18" customHeight="1">
      <c r="A27" s="1366" t="s">
        <v>1359</v>
      </c>
      <c r="B27" s="719" t="s">
        <v>631</v>
      </c>
      <c r="C27" s="49">
        <f ca="1">ROUND(F21*F26,4)</f>
        <v>2E-3</v>
      </c>
      <c r="D27" s="746" t="s">
        <v>1309</v>
      </c>
      <c r="E27" s="741"/>
      <c r="F27" s="742"/>
      <c r="G27" s="1666"/>
      <c r="H27" s="2006"/>
      <c r="I27" s="722"/>
      <c r="J27" s="723"/>
      <c r="K27" s="755" t="s">
        <v>1310</v>
      </c>
      <c r="L27" s="719" t="s">
        <v>1311</v>
      </c>
      <c r="M27" s="756">
        <f ca="1">INDIRECT("'数据-取费表'!ag"&amp;$G$1)</f>
        <v>0</v>
      </c>
    </row>
    <row r="28" spans="1:33" s="1674" customFormat="1" ht="18" customHeight="1">
      <c r="A28" s="1368" t="s">
        <v>1368</v>
      </c>
      <c r="B28" s="719" t="s">
        <v>632</v>
      </c>
      <c r="C28" s="49">
        <f>ROUND(F28/(1+'数据-取费表'!C42),4)</f>
        <v>5.2400000000000002E-2</v>
      </c>
      <c r="D28" s="746" t="s">
        <v>1654</v>
      </c>
      <c r="E28" s="719" t="s">
        <v>1312</v>
      </c>
      <c r="F28" s="744">
        <f>'数据-取费表'!B41</f>
        <v>5.5000000000000007E-2</v>
      </c>
      <c r="G28" s="2760"/>
      <c r="H28" s="1518"/>
      <c r="I28" s="726"/>
      <c r="J28" s="727"/>
      <c r="K28" s="750"/>
      <c r="L28" s="719" t="s">
        <v>1313</v>
      </c>
      <c r="M28" s="729">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1415</v>
      </c>
      <c r="B29" s="2015" t="s">
        <v>1655</v>
      </c>
      <c r="C29" s="2018">
        <f ca="1">ROUND((C19+C20+C23+C26)/(1-F21-C24-C27-C28),0)</f>
        <v>14061</v>
      </c>
      <c r="D29" s="2019"/>
      <c r="E29" s="2020"/>
      <c r="F29" s="2021"/>
      <c r="G29" s="2760"/>
      <c r="H29" s="757" t="s">
        <v>1314</v>
      </c>
      <c r="I29" s="758" t="s">
        <v>1315</v>
      </c>
      <c r="J29" s="759">
        <f ca="1">ROUND(J26/(1+F40)^F41,0)</f>
        <v>0</v>
      </c>
      <c r="K29" s="760" t="s">
        <v>1316</v>
      </c>
      <c r="L29" s="761"/>
      <c r="M29" s="762">
        <f ca="1">INDIRECT("'数据-取费表'!k"&amp;$G$1)</f>
        <v>42292.15</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1416</v>
      </c>
      <c r="B30" s="1516" t="s">
        <v>1317</v>
      </c>
      <c r="C30" s="727">
        <f ca="1">ROUND(C31+C36+C37+C38,0)</f>
        <v>322</v>
      </c>
      <c r="D30" s="1512" t="s">
        <v>1318</v>
      </c>
      <c r="E30" s="906"/>
      <c r="F30" s="1994"/>
      <c r="G30" s="1666"/>
      <c r="H30" s="1675"/>
      <c r="I30" s="1676"/>
      <c r="J30" s="1677"/>
      <c r="K30" s="1634"/>
      <c r="L30" s="1678"/>
      <c r="M30" s="1679"/>
    </row>
    <row r="31" spans="1:33" ht="18" customHeight="1">
      <c r="A31" s="1367" t="s">
        <v>1357</v>
      </c>
      <c r="B31" s="719" t="s">
        <v>602</v>
      </c>
      <c r="C31" s="2553">
        <f ca="1">ROUND(IF(AND(项目基本情况!B11="自然人",项目基本情况!B10="北京市"),C6*F31/(1+'数据-取费表'!C42),C32+C33+C34),2)</f>
        <v>264.02</v>
      </c>
      <c r="D31" s="903" t="s">
        <v>1319</v>
      </c>
      <c r="E31" s="904" t="s">
        <v>1320</v>
      </c>
      <c r="F31" s="2552" t="str">
        <f>IF(项目基本情况!B11="企业","——",IF(M47="住宅",IF(F6*F7*F8/12/(1+'数据-取费表'!F30)&gt;100000,4%,2.5%),IF(F6*F7*F8/12/(1+'数据-取费表'!F30)&gt;100000,12%,7%)))</f>
        <v>——</v>
      </c>
      <c r="G31" s="1666"/>
      <c r="H31" s="2757" t="s">
        <v>2268</v>
      </c>
      <c r="I31" s="1676"/>
      <c r="J31" s="1677"/>
      <c r="K31" s="1634"/>
      <c r="L31" s="1678"/>
      <c r="M31" s="1679"/>
    </row>
    <row r="32" spans="1:33" ht="18" customHeight="1">
      <c r="A32" s="1366" t="s">
        <v>1358</v>
      </c>
      <c r="B32" s="719" t="s">
        <v>1321</v>
      </c>
      <c r="C32" s="49">
        <f ca="1">ROUND(C6*F32/(1+'数据-取费表'!C42),2)</f>
        <v>82.5</v>
      </c>
      <c r="D32" s="904" t="s">
        <v>1322</v>
      </c>
      <c r="E32" s="719" t="s">
        <v>1323</v>
      </c>
      <c r="F32" s="744">
        <f>'数据-取费表'!B41</f>
        <v>5.5000000000000007E-2</v>
      </c>
      <c r="G32" s="1666"/>
      <c r="H32" s="1680"/>
      <c r="I32" s="1681"/>
      <c r="J32" s="1682"/>
      <c r="K32" s="1683"/>
      <c r="L32" s="1684"/>
      <c r="M32" s="1685"/>
    </row>
    <row r="33" spans="1:18" ht="18" customHeight="1">
      <c r="A33" s="1366" t="s">
        <v>1359</v>
      </c>
      <c r="B33" s="719" t="s">
        <v>1324</v>
      </c>
      <c r="C33" s="49">
        <f ca="1">IF(D33="按租金收入计税",ROUND(C6*F33/(1+'数据-取费表'!C42),2),IF(D33="按房产原值计税",ROUND(C29*F33*0.7,2),INDIRECT("'数据-取费表'!Aj"&amp;$G$1)))</f>
        <v>180</v>
      </c>
      <c r="D33" s="745" t="s">
        <v>3231</v>
      </c>
      <c r="E33" s="719" t="s">
        <v>1323</v>
      </c>
      <c r="F33" s="744">
        <f>IF(D33="按租金收入计税",'数据-取费表'!B51,'数据-取费表'!B50)</f>
        <v>0.12</v>
      </c>
      <c r="G33" s="1666"/>
      <c r="H33" s="1686"/>
      <c r="I33" s="1686"/>
      <c r="J33" s="1686"/>
      <c r="K33" s="1687"/>
      <c r="L33" s="1686"/>
      <c r="M33" s="1686"/>
    </row>
    <row r="34" spans="1:18" ht="18" customHeight="1">
      <c r="A34" s="1369" t="s">
        <v>1360</v>
      </c>
      <c r="B34" s="315" t="s">
        <v>1325</v>
      </c>
      <c r="C34" s="50">
        <f ca="1">ROUND(F34*F35/10000,2)</f>
        <v>1.52</v>
      </c>
      <c r="D34" s="748" t="s">
        <v>1326</v>
      </c>
      <c r="E34" s="719" t="s">
        <v>1327</v>
      </c>
      <c r="F34" s="587">
        <f>'数据-取费表'!B52</f>
        <v>0.9</v>
      </c>
      <c r="G34" s="1666"/>
      <c r="H34" s="1675"/>
      <c r="I34" s="769" t="s">
        <v>1340</v>
      </c>
      <c r="J34" s="770"/>
      <c r="K34" s="1689"/>
      <c r="L34" s="1688"/>
      <c r="M34" s="1688"/>
    </row>
    <row r="35" spans="1:18" ht="18" customHeight="1">
      <c r="A35" s="749"/>
      <c r="B35" s="728"/>
      <c r="C35" s="65"/>
      <c r="D35" s="750"/>
      <c r="E35" s="719" t="s">
        <v>1328</v>
      </c>
      <c r="F35" s="720">
        <f ca="1">INDIRECT("'数据-取费表'!r"&amp;$G$1)</f>
        <v>16917.13</v>
      </c>
      <c r="G35" s="1666"/>
      <c r="H35" s="1675"/>
      <c r="I35" s="771" t="s">
        <v>1341</v>
      </c>
      <c r="J35" s="772">
        <f ca="1">ROUND(C13*J36,0)</f>
        <v>984</v>
      </c>
      <c r="K35" s="1687"/>
      <c r="L35" s="1686"/>
      <c r="M35" s="1686"/>
    </row>
    <row r="36" spans="1:18" ht="18" customHeight="1">
      <c r="A36" s="1367" t="s">
        <v>1412</v>
      </c>
      <c r="B36" s="719" t="s">
        <v>1329</v>
      </c>
      <c r="C36" s="49">
        <f ca="1">ROUND(C29*F36,2)</f>
        <v>28.12</v>
      </c>
      <c r="D36" s="904" t="s">
        <v>1330</v>
      </c>
      <c r="E36" s="719" t="s">
        <v>1323</v>
      </c>
      <c r="F36" s="751">
        <f ca="1">INDIRECT("'数据-取费表'!Ak"&amp;$G$1)</f>
        <v>2E-3</v>
      </c>
      <c r="G36" s="1666"/>
      <c r="H36" s="1686"/>
      <c r="I36" s="773" t="s">
        <v>1342</v>
      </c>
      <c r="J36" s="774">
        <f ca="1">INDIRECT("'数据-取费表'!j"&amp;$G$1)</f>
        <v>7.0000000000000007E-2</v>
      </c>
      <c r="K36" s="1690"/>
      <c r="L36" s="1686"/>
      <c r="M36" s="1686"/>
    </row>
    <row r="37" spans="1:18" ht="18" customHeight="1">
      <c r="A37" s="1367" t="s">
        <v>1413</v>
      </c>
      <c r="B37" s="719" t="s">
        <v>624</v>
      </c>
      <c r="C37" s="49">
        <f ca="1">ROUND(C13*F37,2)</f>
        <v>14.06</v>
      </c>
      <c r="D37" s="904" t="s">
        <v>1331</v>
      </c>
      <c r="E37" s="719" t="s">
        <v>1323</v>
      </c>
      <c r="F37" s="752">
        <f ca="1">INDIRECT("'数据-取费表'!Al"&amp;$G$1)</f>
        <v>1E-3</v>
      </c>
      <c r="G37" s="1666"/>
      <c r="H37" s="1686"/>
      <c r="I37" s="775" t="s">
        <v>1343</v>
      </c>
      <c r="J37" s="776"/>
      <c r="K37" s="1690"/>
      <c r="L37" s="1686"/>
      <c r="M37" s="1686"/>
    </row>
    <row r="38" spans="1:18" ht="18" customHeight="1" thickBot="1">
      <c r="A38" s="2025" t="s">
        <v>1414</v>
      </c>
      <c r="B38" s="2020" t="s">
        <v>611</v>
      </c>
      <c r="C38" s="2018">
        <f ca="1">ROUND(C5*F38,2)</f>
        <v>15.77</v>
      </c>
      <c r="D38" s="2019" t="s">
        <v>1332</v>
      </c>
      <c r="E38" s="2020" t="s">
        <v>1323</v>
      </c>
      <c r="F38" s="2016">
        <f ca="1">INDIRECT("'数据-取费表'!Am"&amp;$G$1)</f>
        <v>0.01</v>
      </c>
      <c r="G38" s="1666"/>
      <c r="H38" s="1686"/>
      <c r="I38" s="777" t="s">
        <v>1344</v>
      </c>
      <c r="J38" s="778"/>
      <c r="K38" s="1691"/>
      <c r="L38" s="1686"/>
      <c r="M38" s="1686"/>
    </row>
    <row r="39" spans="1:18" ht="24.6" customHeight="1" thickTop="1">
      <c r="A39" s="1518" t="s">
        <v>1417</v>
      </c>
      <c r="B39" s="2295" t="s">
        <v>2097</v>
      </c>
      <c r="C39" s="727">
        <f ca="1">C5-C30</f>
        <v>1255</v>
      </c>
      <c r="D39" s="2022" t="s">
        <v>1333</v>
      </c>
      <c r="E39" s="2023"/>
      <c r="F39" s="2024"/>
      <c r="G39" s="1666"/>
      <c r="H39" s="1686"/>
      <c r="I39" s="771" t="s">
        <v>1345</v>
      </c>
      <c r="J39" s="779">
        <f ca="1">ROUND(J35/C39,3)</f>
        <v>0.78400000000000003</v>
      </c>
      <c r="K39" s="1691"/>
      <c r="L39" s="1686"/>
      <c r="M39" s="1686"/>
    </row>
    <row r="40" spans="1:18" ht="18" customHeight="1">
      <c r="A40" s="716" t="s">
        <v>1418</v>
      </c>
      <c r="B40" s="1824" t="s">
        <v>1656</v>
      </c>
      <c r="C40" s="718">
        <f ca="1">ROUND(C39*(1-((1+F42)/(1+F40))^F41)/(F40-F42),0)</f>
        <v>19975</v>
      </c>
      <c r="D40" s="748" t="s">
        <v>1334</v>
      </c>
      <c r="E40" s="719" t="s">
        <v>1771</v>
      </c>
      <c r="F40" s="729">
        <f ca="1">INDIRECT("'数据-取费表'!I"&amp;$G$1)</f>
        <v>0.06</v>
      </c>
      <c r="G40" s="1666"/>
      <c r="H40" s="1666"/>
      <c r="I40" s="771" t="s">
        <v>1346</v>
      </c>
      <c r="J40" s="779">
        <f ca="1">1-J39</f>
        <v>0.21599999999999997</v>
      </c>
      <c r="K40" s="1691"/>
      <c r="L40" s="1666"/>
      <c r="M40" s="1666"/>
    </row>
    <row r="41" spans="1:18" ht="18" customHeight="1">
      <c r="A41" s="721"/>
      <c r="B41" s="722"/>
      <c r="C41" s="723"/>
      <c r="D41" s="755" t="s">
        <v>1335</v>
      </c>
      <c r="E41" s="719" t="s">
        <v>2212</v>
      </c>
      <c r="F41" s="756">
        <f ca="1">IF(INDIRECT("'数据-取费表'!af"&amp;$G$1)=0,INDIRECT("'数据-取费表'!ae"&amp;$G$1),INDIRECT("'数据-取费表'!af"&amp;$G$1))</f>
        <v>26.32</v>
      </c>
      <c r="G41" s="1666"/>
      <c r="H41" s="1634"/>
      <c r="I41" s="777" t="s">
        <v>1347</v>
      </c>
      <c r="J41" s="780"/>
      <c r="K41" s="1690"/>
      <c r="L41" s="1634"/>
      <c r="M41" s="1634"/>
    </row>
    <row r="42" spans="1:18" ht="18" customHeight="1">
      <c r="A42" s="725"/>
      <c r="B42" s="726"/>
      <c r="C42" s="727"/>
      <c r="D42" s="750"/>
      <c r="E42" s="719" t="s">
        <v>1336</v>
      </c>
      <c r="F42" s="729">
        <f ca="1">INDIRECT("'数据-取费表'!v"&amp;$G$1)</f>
        <v>0.02</v>
      </c>
      <c r="G42" s="1666"/>
      <c r="H42" s="1634"/>
      <c r="I42" s="781" t="s">
        <v>1348</v>
      </c>
      <c r="J42" s="779">
        <f ca="1">ROUND(C13/C40,3)</f>
        <v>0.70399999999999996</v>
      </c>
      <c r="K42" s="1690"/>
      <c r="L42" s="1634"/>
      <c r="M42" s="1634"/>
    </row>
    <row r="43" spans="1:18" ht="18" customHeight="1" thickBot="1">
      <c r="A43" s="757" t="s">
        <v>1314</v>
      </c>
      <c r="B43" s="758" t="s">
        <v>1337</v>
      </c>
      <c r="C43" s="759">
        <f ca="1">ROUND(C40*10000/F43,0)</f>
        <v>4723</v>
      </c>
      <c r="D43" s="760" t="s">
        <v>1338</v>
      </c>
      <c r="E43" s="761" t="s">
        <v>1339</v>
      </c>
      <c r="F43" s="762">
        <f ca="1">INDIRECT("'数据-取费表'!k"&amp;$G$1)</f>
        <v>42292.15</v>
      </c>
      <c r="G43" s="1666"/>
      <c r="H43" s="1634"/>
      <c r="I43" s="781" t="s">
        <v>1349</v>
      </c>
      <c r="J43" s="782">
        <f ca="1">1-J42</f>
        <v>0.29600000000000004</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1650</v>
      </c>
      <c r="B46" s="1693"/>
      <c r="C46" s="1144">
        <f ca="1">C67-C40</f>
        <v>-20550</v>
      </c>
      <c r="D46" s="2761"/>
      <c r="E46" s="2761"/>
      <c r="F46" s="2761"/>
      <c r="I46" s="1937" t="s">
        <v>1695</v>
      </c>
      <c r="J46" s="1938"/>
      <c r="K46" s="1939"/>
      <c r="L46" s="2373">
        <f>IF(OR(M47="住宅",D1="土地（套用方法）"),0,IF(L48&gt;J51,L60,J60))</f>
        <v>0</v>
      </c>
      <c r="M46" s="2762"/>
      <c r="O46" s="1951" t="s">
        <v>1762</v>
      </c>
      <c r="P46" s="1142"/>
      <c r="Q46" s="1328"/>
      <c r="R46" s="1142"/>
    </row>
    <row r="47" spans="1:18" s="1670" customFormat="1" ht="18" customHeight="1" thickBot="1">
      <c r="A47" s="3380">
        <v>1</v>
      </c>
      <c r="B47" s="3381" t="s">
        <v>581</v>
      </c>
      <c r="C47" s="3382">
        <f ca="1">C48+C52+C54</f>
        <v>0</v>
      </c>
      <c r="D47" s="3383"/>
      <c r="E47" s="3383"/>
      <c r="F47" s="3384"/>
      <c r="I47" s="2365" t="s">
        <v>1696</v>
      </c>
      <c r="J47" s="1940" t="s">
        <v>3668</v>
      </c>
      <c r="K47" s="2370" t="s">
        <v>1701</v>
      </c>
      <c r="L47" s="2374">
        <f ca="1">INDIRECT("'数据-取费表'!d"&amp;$G$1)</f>
        <v>40</v>
      </c>
      <c r="M47" s="1328" t="str">
        <f>IF(ISNUMBER(FIND("住宅",C1)),"住宅","非住宅")</f>
        <v>非住宅</v>
      </c>
      <c r="O47" s="1952" t="s">
        <v>1727</v>
      </c>
      <c r="P47" s="1953" t="s">
        <v>1728</v>
      </c>
      <c r="Q47" s="1954" t="s">
        <v>1729</v>
      </c>
      <c r="R47" s="1953" t="s">
        <v>1730</v>
      </c>
    </row>
    <row r="48" spans="1:18" s="1670" customFormat="1" ht="18" customHeight="1" thickBot="1">
      <c r="A48" s="2082" t="s">
        <v>1818</v>
      </c>
      <c r="B48" s="2083" t="s">
        <v>1819</v>
      </c>
      <c r="C48" s="1933">
        <f ca="1">ROUND(F48*F50*F49*(1-F51)/10000,0)</f>
        <v>0</v>
      </c>
      <c r="D48" s="1934" t="s">
        <v>582</v>
      </c>
      <c r="E48" s="1935" t="s">
        <v>1651</v>
      </c>
      <c r="F48" s="1936">
        <f ca="1">M6</f>
        <v>0</v>
      </c>
      <c r="G48" s="1697"/>
      <c r="I48" s="2362" t="s">
        <v>1697</v>
      </c>
      <c r="J48" s="1941" t="s">
        <v>1702</v>
      </c>
      <c r="K48" s="2371" t="s">
        <v>1703</v>
      </c>
      <c r="L48" s="1565">
        <f ca="1">INDIRECT("'数据-取费表'!f"&amp;$G$1)</f>
        <v>28.32</v>
      </c>
      <c r="M48" s="2762"/>
      <c r="O48" s="1955" t="s">
        <v>1731</v>
      </c>
      <c r="P48" s="1956" t="s">
        <v>1757</v>
      </c>
      <c r="Q48" s="1957">
        <f ca="1">C40+J29</f>
        <v>19975</v>
      </c>
      <c r="R48" s="1956" t="s">
        <v>1732</v>
      </c>
    </row>
    <row r="49" spans="1:18" s="1670" customFormat="1" ht="18" customHeight="1" thickBot="1">
      <c r="A49" s="721"/>
      <c r="B49" s="722"/>
      <c r="C49" s="723"/>
      <c r="D49" s="724"/>
      <c r="E49" s="719" t="s">
        <v>1266</v>
      </c>
      <c r="F49" s="720">
        <f ca="1">F7</f>
        <v>42292.15</v>
      </c>
      <c r="G49" s="1697"/>
      <c r="H49" s="1700"/>
      <c r="I49" s="2362" t="s">
        <v>1698</v>
      </c>
      <c r="J49" s="1942">
        <v>2027</v>
      </c>
      <c r="K49" s="2372" t="s">
        <v>1704</v>
      </c>
      <c r="L49" s="1564"/>
      <c r="M49" s="2762"/>
      <c r="O49" s="1955" t="s">
        <v>1733</v>
      </c>
      <c r="P49" s="1956" t="s">
        <v>1758</v>
      </c>
      <c r="Q49" s="1957" t="str">
        <f ca="1">J60</f>
        <v>0</v>
      </c>
      <c r="R49" s="1956" t="s">
        <v>1734</v>
      </c>
    </row>
    <row r="50" spans="1:18" s="1670" customFormat="1" ht="18" customHeight="1" thickBot="1">
      <c r="A50" s="721"/>
      <c r="B50" s="722"/>
      <c r="C50" s="723"/>
      <c r="D50" s="724"/>
      <c r="E50" s="719" t="s">
        <v>1267</v>
      </c>
      <c r="F50" s="720">
        <f ca="1">F8</f>
        <v>365</v>
      </c>
      <c r="H50" s="1700"/>
      <c r="I50" s="2362" t="s">
        <v>1699</v>
      </c>
      <c r="J50" s="2369">
        <f>SUMPRODUCT((I63:I65=J47)*(J62:L62=J48)*(J63:L65))</f>
        <v>50</v>
      </c>
      <c r="K50" s="2372" t="s">
        <v>1705</v>
      </c>
      <c r="L50" s="1564"/>
      <c r="M50" s="2762"/>
      <c r="O50" s="1958" t="s">
        <v>1735</v>
      </c>
      <c r="P50" s="1956" t="s">
        <v>1759</v>
      </c>
      <c r="Q50" s="1957">
        <f ca="1">C29</f>
        <v>14061</v>
      </c>
      <c r="R50" s="1956" t="s">
        <v>1732</v>
      </c>
    </row>
    <row r="51" spans="1:18" s="1670" customFormat="1" ht="18" customHeight="1" thickBot="1">
      <c r="A51" s="721"/>
      <c r="B51" s="722"/>
      <c r="C51" s="723"/>
      <c r="D51" s="724"/>
      <c r="E51" s="719" t="s">
        <v>586</v>
      </c>
      <c r="F51" s="1932"/>
      <c r="H51" s="1700"/>
      <c r="I51" s="2366" t="s">
        <v>1700</v>
      </c>
      <c r="J51" s="1565">
        <f>IF(J49="",J50,J49+J50-YEAR('数据-取费表'!B2))</f>
        <v>52</v>
      </c>
      <c r="K51" s="2362" t="s">
        <v>1706</v>
      </c>
      <c r="L51" s="2375">
        <f ca="1">ROUND(-PV(INDIRECT("'数据-取费表'!h"&amp;$G$1),J51,(C39-C13*J36),0),0)</f>
        <v>4986</v>
      </c>
      <c r="M51" s="2762"/>
      <c r="O51" s="1958" t="s">
        <v>1736</v>
      </c>
      <c r="P51" s="1956" t="s">
        <v>1737</v>
      </c>
      <c r="Q51" s="1959" t="e">
        <f ca="1">J58</f>
        <v>#VALUE!</v>
      </c>
      <c r="R51" s="1960"/>
    </row>
    <row r="52" spans="1:18" s="1670" customFormat="1" ht="18" customHeight="1" thickBot="1">
      <c r="A52" s="716" t="s">
        <v>1817</v>
      </c>
      <c r="B52" s="1997" t="s">
        <v>1801</v>
      </c>
      <c r="C52" s="734">
        <f ca="1">ROUND(IF(F52="押一",C48/12*F11,IF(F52="押二",C48/12*2*F11,IF(F52="押三",C48/12*3*F11,C53*F11))),0)</f>
        <v>0</v>
      </c>
      <c r="D52" s="2004" t="s">
        <v>2221</v>
      </c>
      <c r="E52" s="2001" t="s">
        <v>1806</v>
      </c>
      <c r="F52" s="2074"/>
      <c r="I52" s="2367" t="s">
        <v>1773</v>
      </c>
      <c r="J52" s="1943">
        <v>7.4999999999999997E-2</v>
      </c>
      <c r="K52" s="2367" t="s">
        <v>1772</v>
      </c>
      <c r="L52" s="1943"/>
      <c r="M52" s="2762"/>
      <c r="O52" s="1958" t="s">
        <v>1738</v>
      </c>
      <c r="P52" s="1956" t="s">
        <v>1739</v>
      </c>
      <c r="Q52" s="1959">
        <f>J52</f>
        <v>7.4999999999999997E-2</v>
      </c>
      <c r="R52" s="1960"/>
    </row>
    <row r="53" spans="1:18" s="1670" customFormat="1" ht="39.75" customHeight="1" thickBot="1">
      <c r="A53" s="721"/>
      <c r="B53" s="1998" t="s">
        <v>1854</v>
      </c>
      <c r="C53" s="2002"/>
      <c r="D53" s="2004"/>
      <c r="E53" s="2001"/>
      <c r="F53" s="735"/>
      <c r="I53" s="2368" t="s">
        <v>2224</v>
      </c>
      <c r="J53" s="2414">
        <f ca="1">IF(M47="住宅",IF(D1="——",MAX(J51,L48),MAX(J51,L48-'数据-取费表'!B20)),IF(D1="——",MIN(J51,L48),MIN(J51,L48-'数据-取费表'!B20)))</f>
        <v>26.32</v>
      </c>
      <c r="K53" s="3702" t="s">
        <v>2214</v>
      </c>
      <c r="L53" s="3703"/>
      <c r="M53" s="2762"/>
      <c r="O53" s="1958" t="s">
        <v>1740</v>
      </c>
      <c r="P53" s="1956" t="s">
        <v>1741</v>
      </c>
      <c r="Q53" s="1957">
        <f ca="1">J53</f>
        <v>26.32</v>
      </c>
      <c r="R53" s="1956" t="s">
        <v>1742</v>
      </c>
    </row>
    <row r="54" spans="1:18" s="1670" customFormat="1" ht="18" customHeight="1" thickBot="1">
      <c r="A54" s="2011" t="s">
        <v>1809</v>
      </c>
      <c r="B54" s="2012" t="s">
        <v>1802</v>
      </c>
      <c r="C54" s="2013"/>
      <c r="D54" s="2004"/>
      <c r="E54" s="2001"/>
      <c r="F54" s="735"/>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62"/>
      <c r="O54" s="1955" t="s">
        <v>1743</v>
      </c>
      <c r="P54" s="1956" t="s">
        <v>1760</v>
      </c>
      <c r="Q54" s="1957">
        <f ca="1">Q48+Q49</f>
        <v>19975</v>
      </c>
      <c r="R54" s="1960" t="s">
        <v>1744</v>
      </c>
    </row>
    <row r="55" spans="1:18" s="1670" customFormat="1" ht="18" customHeight="1" thickTop="1" thickBot="1">
      <c r="A55" s="732">
        <v>2</v>
      </c>
      <c r="B55" s="733" t="s">
        <v>590</v>
      </c>
      <c r="C55" s="734">
        <f ca="1">C13</f>
        <v>14061</v>
      </c>
      <c r="D55" s="730"/>
      <c r="E55" s="730"/>
      <c r="F55" s="735"/>
      <c r="I55" s="2378" t="s">
        <v>1707</v>
      </c>
      <c r="J55" s="2351" t="e">
        <f ca="1">ROUND(IF(J47="钢混",J57/J50,1-(1-2%)*(J50-J57)/J50),3)</f>
        <v>#VALUE!</v>
      </c>
      <c r="K55" s="2379" t="s">
        <v>1708</v>
      </c>
      <c r="L55" s="1944"/>
      <c r="M55" s="2762"/>
      <c r="O55" s="1961" t="s">
        <v>1763</v>
      </c>
      <c r="P55" s="1142"/>
      <c r="Q55" s="1328"/>
      <c r="R55" s="1142"/>
    </row>
    <row r="56" spans="1:18" s="1670" customFormat="1" ht="42.75" customHeight="1" thickBot="1">
      <c r="A56" s="1368"/>
      <c r="B56" s="1823" t="s">
        <v>1657</v>
      </c>
      <c r="C56" s="49">
        <f ca="1">C29</f>
        <v>14061</v>
      </c>
      <c r="D56" s="904"/>
      <c r="E56" s="719"/>
      <c r="F56" s="744"/>
      <c r="I56" s="2380" t="s">
        <v>1709</v>
      </c>
      <c r="J56" s="2390" t="s">
        <v>3310</v>
      </c>
      <c r="K56" s="2362" t="s">
        <v>1714</v>
      </c>
      <c r="L56" s="1565" t="str">
        <f ca="1">IF(L48&lt;J51,"——",L48-J51)</f>
        <v>——</v>
      </c>
      <c r="M56" s="2762"/>
      <c r="O56" s="1952" t="s">
        <v>1727</v>
      </c>
      <c r="P56" s="1953" t="s">
        <v>1728</v>
      </c>
      <c r="Q56" s="1954" t="s">
        <v>1729</v>
      </c>
      <c r="R56" s="1953" t="s">
        <v>1730</v>
      </c>
    </row>
    <row r="57" spans="1:18" s="1670" customFormat="1" ht="28.5" customHeight="1" thickBot="1">
      <c r="A57" s="732" t="s">
        <v>1275</v>
      </c>
      <c r="B57" s="733" t="s">
        <v>597</v>
      </c>
      <c r="C57" s="734">
        <f ca="1">ROUND(C58+C63+C64+C65,0)</f>
        <v>44</v>
      </c>
      <c r="D57" s="22" t="s">
        <v>1277</v>
      </c>
      <c r="E57" s="912"/>
      <c r="F57" s="52"/>
      <c r="I57" s="2381" t="s">
        <v>1710</v>
      </c>
      <c r="J57" s="2382" t="str">
        <f ca="1">IF(OR(M47="住宅",J51&lt;L48,J56="是"),"——",J51-L48)</f>
        <v>——</v>
      </c>
      <c r="K57" s="2362" t="s">
        <v>1715</v>
      </c>
      <c r="L57" s="1565" t="str">
        <f ca="1">IF(L48&lt;J51,"——",IF(L55="比较法",L49,IF(L55="基准地价",L50,L51)))</f>
        <v>——</v>
      </c>
      <c r="M57" s="2762"/>
      <c r="O57" s="1955" t="s">
        <v>1731</v>
      </c>
      <c r="P57" s="1956" t="s">
        <v>1761</v>
      </c>
      <c r="Q57" s="1957">
        <f ca="1">C40+J29</f>
        <v>19975</v>
      </c>
      <c r="R57" s="1956" t="s">
        <v>1732</v>
      </c>
    </row>
    <row r="58" spans="1:18" s="1670" customFormat="1" ht="28.5" customHeight="1" thickBot="1">
      <c r="A58" s="1367" t="s">
        <v>1351</v>
      </c>
      <c r="B58" s="719" t="s">
        <v>602</v>
      </c>
      <c r="C58" s="2553">
        <f ca="1">ROUND(IF(AND(项目基本情况!B11="自然人",项目基本情况!B10="北京市"),C48*F58/(1+'数据-取费表'!C42),C59+C60+C61),2)</f>
        <v>1.52</v>
      </c>
      <c r="D58" s="903" t="s">
        <v>603</v>
      </c>
      <c r="E58" s="904" t="s">
        <v>635</v>
      </c>
      <c r="F58" s="2552" t="str">
        <f>IF(项目基本情况!B11="企业","——",IF('数据-取费表'!B10="住宅",IF(F48*F49*F50/12/(1+'数据-取费表'!F30)&gt;100000,4%,2.5%),IF(F48*F49*F50/12/(1+'数据-取费表'!F30)&gt;100000,12%,7%)))</f>
        <v>——</v>
      </c>
      <c r="I58" s="2381" t="s">
        <v>1711</v>
      </c>
      <c r="J58" s="2352" t="e">
        <f ca="1">IF(J55&lt;0.4,0.4,J55)</f>
        <v>#VALUE!</v>
      </c>
      <c r="K58" s="2362" t="s">
        <v>1716</v>
      </c>
      <c r="L58" s="1565" t="e">
        <f ca="1">ROUND(POWER(1+L52,L47-L48)*(POWER(1+L52,L48)-1)/(POWER(1+L52,L47)-1),4)</f>
        <v>#DIV/0!</v>
      </c>
      <c r="M58" s="2762"/>
      <c r="O58" s="1955" t="s">
        <v>1733</v>
      </c>
      <c r="P58" s="1956" t="s">
        <v>1764</v>
      </c>
      <c r="Q58" s="1957">
        <f ca="1">L60</f>
        <v>0</v>
      </c>
      <c r="R58" s="1960" t="s">
        <v>1766</v>
      </c>
    </row>
    <row r="59" spans="1:18" s="1670" customFormat="1" ht="28.5" customHeight="1" thickBot="1">
      <c r="A59" s="1366" t="s">
        <v>1358</v>
      </c>
      <c r="B59" s="719" t="s">
        <v>606</v>
      </c>
      <c r="C59" s="49">
        <f ca="1">ROUND(C47*F59/1.05,2)</f>
        <v>0</v>
      </c>
      <c r="D59" s="904" t="s">
        <v>1283</v>
      </c>
      <c r="E59" s="719" t="s">
        <v>1274</v>
      </c>
      <c r="F59" s="744">
        <f t="shared" ref="F59:F65" si="0">F32</f>
        <v>5.5000000000000007E-2</v>
      </c>
      <c r="I59" s="2381" t="s">
        <v>1712</v>
      </c>
      <c r="J59" s="2382" t="str">
        <f ca="1">IF(OR(M47="住宅",J51&lt;L48,J56="是"),"——",ROUND(C29*J58,0))</f>
        <v>——</v>
      </c>
      <c r="K59" s="2362" t="str">
        <f>IF(D1="——","建筑物剩余耐用年限下的土地年期修正系数Kn","建设期及建筑物耐用年限下的土地年期修正系数Kn")</f>
        <v>建设期及建筑物耐用年限下的土地年期修正系数Kn</v>
      </c>
      <c r="L59" s="1565" t="e">
        <f ca="1">ROUND(IF(D1="土地（套用方法）",POWER(1+L52,L47-(J51+'数据-取费表'!B20))*(POWER(1+L52,(J51+'数据-取费表'!B20))-1)/(POWER(1+L52,L47)-1),POWER(1+L52,L47-J51)*(POWER(1+L52,J51)-1)/(POWER(1+L52,L47)-1)),4)</f>
        <v>#DIV/0!</v>
      </c>
      <c r="M59" s="2762"/>
      <c r="O59" s="1958" t="s">
        <v>1735</v>
      </c>
      <c r="P59" s="1956" t="s">
        <v>1765</v>
      </c>
      <c r="Q59" s="1957">
        <f>IF(L55="比较法",L49,IF(L55="基准地价",L50,0))</f>
        <v>0</v>
      </c>
      <c r="R59" s="1956" t="s">
        <v>1732</v>
      </c>
    </row>
    <row r="60" spans="1:18" s="1670" customFormat="1" ht="18" customHeight="1" thickBot="1">
      <c r="A60" s="1366" t="s">
        <v>1359</v>
      </c>
      <c r="B60" s="719" t="s">
        <v>1285</v>
      </c>
      <c r="C60" s="49">
        <f ca="1">IF(D60="按租金收入计税",ROUND(C48*F60/(1+'数据-取费表'!C42),2),IF(D60="按房产原值计税",ROUND(C56*F60*0.7,2),INDIRECT("'数据-取费表'!Aj"&amp;$G$1)))</f>
        <v>0</v>
      </c>
      <c r="D60" s="904" t="str">
        <f>D33</f>
        <v>按租金收入计税</v>
      </c>
      <c r="E60" s="719" t="s">
        <v>1274</v>
      </c>
      <c r="F60" s="744">
        <f t="shared" si="0"/>
        <v>0.12</v>
      </c>
      <c r="I60" s="2383" t="s">
        <v>1713</v>
      </c>
      <c r="J60" s="2384" t="str">
        <f ca="1">IF(OR(M47="住宅",J51&lt;L48,J56="是"),"0",ROUND(J59/(1+J52)^J53,0))</f>
        <v>0</v>
      </c>
      <c r="K60" s="2385" t="s">
        <v>1718</v>
      </c>
      <c r="L60" s="2384">
        <f ca="1">IF(OR(M47="住宅",L48&lt;J51),0,ROUND(L57*(L58/L59-1),0))</f>
        <v>0</v>
      </c>
      <c r="M60" s="2762"/>
      <c r="O60" s="1958" t="s">
        <v>1736</v>
      </c>
      <c r="P60" s="1956" t="s">
        <v>1745</v>
      </c>
      <c r="Q60" s="1959">
        <f>L52</f>
        <v>0</v>
      </c>
      <c r="R60" s="1960"/>
    </row>
    <row r="61" spans="1:18" s="1670" customFormat="1" ht="18" customHeight="1" thickBot="1">
      <c r="A61" s="1369" t="s">
        <v>1360</v>
      </c>
      <c r="B61" s="315" t="s">
        <v>613</v>
      </c>
      <c r="C61" s="50">
        <f ca="1">ROUND(F61*F62/10000,2)</f>
        <v>1.52</v>
      </c>
      <c r="D61" s="748" t="s">
        <v>614</v>
      </c>
      <c r="E61" s="719" t="s">
        <v>615</v>
      </c>
      <c r="F61" s="587">
        <f t="shared" si="0"/>
        <v>0.9</v>
      </c>
      <c r="K61" s="1694"/>
      <c r="O61" s="1958" t="s">
        <v>1738</v>
      </c>
      <c r="P61" s="1956" t="s">
        <v>1746</v>
      </c>
      <c r="Q61" s="1957" t="e">
        <f ca="1">L58</f>
        <v>#DIV/0!</v>
      </c>
      <c r="R61" s="1960" t="s">
        <v>1747</v>
      </c>
    </row>
    <row r="62" spans="1:18" s="1670" customFormat="1" ht="15.75" thickBot="1">
      <c r="A62" s="749"/>
      <c r="B62" s="728"/>
      <c r="C62" s="65"/>
      <c r="D62" s="750"/>
      <c r="E62" s="719" t="s">
        <v>619</v>
      </c>
      <c r="F62" s="720">
        <f t="shared" ca="1" si="0"/>
        <v>16917.13</v>
      </c>
      <c r="I62" s="2386" t="s">
        <v>1719</v>
      </c>
      <c r="J62" s="2387" t="s">
        <v>1720</v>
      </c>
      <c r="K62" s="2387" t="s">
        <v>1721</v>
      </c>
      <c r="L62" s="2387" t="s">
        <v>1702</v>
      </c>
      <c r="M62" s="2388" t="s">
        <v>2193</v>
      </c>
      <c r="O62" s="1958" t="s">
        <v>1740</v>
      </c>
      <c r="P62" s="1956" t="str">
        <f>K59</f>
        <v>建设期及建筑物耐用年限下的土地年期修正系数Kn</v>
      </c>
      <c r="Q62" s="1957" t="e">
        <f ca="1">L59</f>
        <v>#DIV/0!</v>
      </c>
      <c r="R62" s="1960" t="s">
        <v>1749</v>
      </c>
    </row>
    <row r="63" spans="1:18" s="1670" customFormat="1" ht="15.75" thickBot="1">
      <c r="A63" s="1367" t="s">
        <v>1412</v>
      </c>
      <c r="B63" s="719" t="s">
        <v>621</v>
      </c>
      <c r="C63" s="49">
        <f ca="1">ROUND(C56*F63,2)</f>
        <v>28.12</v>
      </c>
      <c r="D63" s="904" t="s">
        <v>1330</v>
      </c>
      <c r="E63" s="719" t="s">
        <v>1274</v>
      </c>
      <c r="F63" s="751">
        <f t="shared" ca="1" si="0"/>
        <v>2E-3</v>
      </c>
      <c r="I63" s="2386" t="s">
        <v>1722</v>
      </c>
      <c r="J63" s="2387">
        <v>70</v>
      </c>
      <c r="K63" s="2387">
        <v>50</v>
      </c>
      <c r="L63" s="2387">
        <v>80</v>
      </c>
      <c r="M63" s="2389">
        <v>0.02</v>
      </c>
      <c r="O63" s="1955" t="s">
        <v>1743</v>
      </c>
      <c r="P63" s="1956" t="s">
        <v>1760</v>
      </c>
      <c r="Q63" s="1957">
        <f ca="1">Q57+Q58</f>
        <v>19975</v>
      </c>
      <c r="R63" s="1960" t="s">
        <v>1744</v>
      </c>
    </row>
    <row r="64" spans="1:18" s="1670" customFormat="1" ht="16.5" thickBot="1">
      <c r="A64" s="1367" t="s">
        <v>1413</v>
      </c>
      <c r="B64" s="719" t="s">
        <v>624</v>
      </c>
      <c r="C64" s="49">
        <f ca="1">ROUND(C55*F64,2)</f>
        <v>14.06</v>
      </c>
      <c r="D64" s="904" t="s">
        <v>625</v>
      </c>
      <c r="E64" s="719" t="s">
        <v>1274</v>
      </c>
      <c r="F64" s="752">
        <f t="shared" ca="1" si="0"/>
        <v>1E-3</v>
      </c>
      <c r="I64" s="2386" t="s">
        <v>1723</v>
      </c>
      <c r="J64" s="2387">
        <v>50</v>
      </c>
      <c r="K64" s="2387">
        <v>35</v>
      </c>
      <c r="L64" s="2387">
        <v>60</v>
      </c>
      <c r="M64" s="780">
        <v>0</v>
      </c>
      <c r="O64" s="1961" t="s">
        <v>1767</v>
      </c>
      <c r="P64" s="1142"/>
      <c r="Q64" s="1328"/>
      <c r="R64" s="1142"/>
    </row>
    <row r="65" spans="1:18" s="1670" customFormat="1" ht="15.75" thickBot="1">
      <c r="A65" s="1367" t="s">
        <v>1414</v>
      </c>
      <c r="B65" s="719" t="s">
        <v>611</v>
      </c>
      <c r="C65" s="49">
        <f ca="1">ROUND(C47*F65,2)</f>
        <v>0</v>
      </c>
      <c r="D65" s="904" t="s">
        <v>628</v>
      </c>
      <c r="E65" s="719" t="s">
        <v>1274</v>
      </c>
      <c r="F65" s="729">
        <f t="shared" ca="1" si="0"/>
        <v>0.01</v>
      </c>
      <c r="I65" s="2386" t="s">
        <v>1724</v>
      </c>
      <c r="J65" s="2387">
        <v>40</v>
      </c>
      <c r="K65" s="2387">
        <v>30</v>
      </c>
      <c r="L65" s="2387">
        <v>50</v>
      </c>
      <c r="M65" s="2389">
        <v>0.02</v>
      </c>
      <c r="O65" s="1952" t="s">
        <v>1727</v>
      </c>
      <c r="P65" s="1953" t="s">
        <v>1728</v>
      </c>
      <c r="Q65" s="1954" t="s">
        <v>1729</v>
      </c>
      <c r="R65" s="1953" t="s">
        <v>1730</v>
      </c>
    </row>
    <row r="66" spans="1:18" s="1670" customFormat="1" ht="24.75" thickBot="1">
      <c r="A66" s="732" t="s">
        <v>1303</v>
      </c>
      <c r="B66" s="2296" t="s">
        <v>2097</v>
      </c>
      <c r="C66" s="734">
        <f ca="1">C47-C57</f>
        <v>-44</v>
      </c>
      <c r="D66" s="903" t="s">
        <v>645</v>
      </c>
      <c r="E66" s="901"/>
      <c r="F66" s="754"/>
      <c r="K66" s="1694"/>
      <c r="O66" s="1955" t="s">
        <v>1731</v>
      </c>
      <c r="P66" s="1956" t="s">
        <v>1761</v>
      </c>
      <c r="Q66" s="1957">
        <f ca="1">C40+J29</f>
        <v>19975</v>
      </c>
      <c r="R66" s="1956" t="s">
        <v>1732</v>
      </c>
    </row>
    <row r="67" spans="1:18" s="1670" customFormat="1" ht="20.25" thickBot="1">
      <c r="A67" s="716" t="s">
        <v>1307</v>
      </c>
      <c r="B67" s="1824" t="s">
        <v>1656</v>
      </c>
      <c r="C67" s="718">
        <f ca="1">ROUND(C66*(1-((1+F69)/(1+F67))^F68)/(F67-F69),0)</f>
        <v>-575</v>
      </c>
      <c r="D67" s="748" t="s">
        <v>649</v>
      </c>
      <c r="E67" s="719" t="s">
        <v>650</v>
      </c>
      <c r="F67" s="729">
        <f ca="1">F40</f>
        <v>0.06</v>
      </c>
      <c r="K67" s="1694"/>
      <c r="O67" s="1955" t="s">
        <v>1733</v>
      </c>
      <c r="P67" s="1956" t="s">
        <v>1764</v>
      </c>
      <c r="Q67" s="1957">
        <f ca="1">L60</f>
        <v>0</v>
      </c>
      <c r="R67" s="1960" t="s">
        <v>1766</v>
      </c>
    </row>
    <row r="68" spans="1:18" ht="21.75" thickBot="1">
      <c r="A68" s="721"/>
      <c r="B68" s="722"/>
      <c r="C68" s="723"/>
      <c r="D68" s="755" t="s">
        <v>1335</v>
      </c>
      <c r="E68" s="719" t="s">
        <v>1311</v>
      </c>
      <c r="F68" s="756">
        <f ca="1">F41</f>
        <v>26.32</v>
      </c>
      <c r="O68" s="1958" t="s">
        <v>1735</v>
      </c>
      <c r="P68" s="1956" t="s">
        <v>1765</v>
      </c>
      <c r="Q68" s="1962">
        <f ca="1">L51</f>
        <v>4986</v>
      </c>
      <c r="R68" s="1963" t="s">
        <v>1768</v>
      </c>
    </row>
    <row r="69" spans="1:18" ht="20.25" thickBot="1">
      <c r="A69" s="725"/>
      <c r="B69" s="726"/>
      <c r="C69" s="727"/>
      <c r="D69" s="750"/>
      <c r="E69" s="719" t="s">
        <v>655</v>
      </c>
      <c r="F69" s="1932"/>
      <c r="O69" s="1958" t="s">
        <v>1736</v>
      </c>
      <c r="P69" s="1964" t="s">
        <v>1750</v>
      </c>
      <c r="Q69" s="1957">
        <f ca="1">ROUND(Q70-Q71*Q72,0)</f>
        <v>271</v>
      </c>
      <c r="R69" s="1960"/>
    </row>
    <row r="70" spans="1:18" ht="15.75" thickBot="1">
      <c r="A70" s="757" t="s">
        <v>1314</v>
      </c>
      <c r="B70" s="758" t="s">
        <v>1337</v>
      </c>
      <c r="C70" s="759">
        <f ca="1">ROUND(C67*10000/F70,0)</f>
        <v>-136</v>
      </c>
      <c r="D70" s="760" t="s">
        <v>1338</v>
      </c>
      <c r="E70" s="761" t="s">
        <v>1339</v>
      </c>
      <c r="F70" s="762">
        <f ca="1">F43</f>
        <v>42292.15</v>
      </c>
      <c r="O70" s="1958" t="s">
        <v>1751</v>
      </c>
      <c r="P70" s="1964" t="s">
        <v>1752</v>
      </c>
      <c r="Q70" s="1957">
        <f ca="1">C39</f>
        <v>1255</v>
      </c>
      <c r="R70" s="1956" t="s">
        <v>1732</v>
      </c>
    </row>
    <row r="71" spans="1:18" ht="15.75" thickBot="1">
      <c r="O71" s="1958" t="s">
        <v>1753</v>
      </c>
      <c r="P71" s="1964" t="s">
        <v>1754</v>
      </c>
      <c r="Q71" s="1957">
        <f ca="1">C13</f>
        <v>14061</v>
      </c>
      <c r="R71" s="1956" t="s">
        <v>1732</v>
      </c>
    </row>
    <row r="72" spans="1:18" ht="15.75" thickBot="1">
      <c r="O72" s="1958" t="s">
        <v>1755</v>
      </c>
      <c r="P72" s="1964" t="s">
        <v>1756</v>
      </c>
      <c r="Q72" s="1959">
        <f ca="1">J36</f>
        <v>7.0000000000000007E-2</v>
      </c>
      <c r="R72" s="1960"/>
    </row>
    <row r="73" spans="1:18" ht="15.75" thickBot="1">
      <c r="O73" s="1958" t="s">
        <v>1738</v>
      </c>
      <c r="P73" s="1956" t="s">
        <v>1745</v>
      </c>
      <c r="Q73" s="1959">
        <f>L52</f>
        <v>0</v>
      </c>
      <c r="R73" s="1960"/>
    </row>
    <row r="74" spans="1:18" ht="20.25" thickBot="1">
      <c r="O74" s="1958" t="s">
        <v>1740</v>
      </c>
      <c r="P74" s="1956" t="s">
        <v>1746</v>
      </c>
      <c r="Q74" s="1957" t="e">
        <f ca="1">L58</f>
        <v>#DIV/0!</v>
      </c>
      <c r="R74" s="1960" t="s">
        <v>1747</v>
      </c>
    </row>
    <row r="75" spans="1:18" ht="15.75" thickBot="1">
      <c r="O75" s="1958" t="s">
        <v>1769</v>
      </c>
      <c r="P75" s="1956" t="str">
        <f>K59</f>
        <v>建设期及建筑物耐用年限下的土地年期修正系数Kn</v>
      </c>
      <c r="Q75" s="1957" t="e">
        <f ca="1">L59</f>
        <v>#DIV/0!</v>
      </c>
      <c r="R75" s="1960" t="s">
        <v>1749</v>
      </c>
    </row>
    <row r="76" spans="1:18" ht="15.75" thickBot="1">
      <c r="O76" s="1955" t="s">
        <v>1743</v>
      </c>
      <c r="P76" s="1956" t="s">
        <v>1760</v>
      </c>
      <c r="Q76" s="1957">
        <f ca="1">Q66+Q67</f>
        <v>19975</v>
      </c>
      <c r="R76" s="1960"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5" customWidth="1"/>
    <col min="2" max="2" width="8.875" style="2825"/>
    <col min="3" max="5" width="12.875" style="2825" customWidth="1"/>
    <col min="6" max="6" width="47.5" style="2825" customWidth="1"/>
    <col min="7" max="7" width="13" style="2819" customWidth="1"/>
    <col min="8" max="8" width="8.875" style="2819"/>
    <col min="9" max="9" width="8.875" style="2820"/>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20"/>
    <col min="23" max="256" width="8.875" style="2825"/>
    <col min="257" max="257" width="9.5" style="2825" customWidth="1"/>
    <col min="258" max="258" width="8.875" style="2825"/>
    <col min="259" max="261" width="12.875" style="2825" customWidth="1"/>
    <col min="262" max="262" width="47.5" style="2825" customWidth="1"/>
    <col min="263" max="263" width="13" style="2825" customWidth="1"/>
    <col min="264" max="265" width="8.875" style="2825"/>
    <col min="266" max="266" width="5.75" style="2825" customWidth="1"/>
    <col min="267" max="267" width="11.75" style="2825" customWidth="1"/>
    <col min="268" max="269" width="10.75" style="2825" customWidth="1"/>
    <col min="270" max="270" width="10" style="2825" customWidth="1"/>
    <col min="271" max="272" width="10.5" style="2825" bestFit="1" customWidth="1"/>
    <col min="273" max="273" width="10" style="2825" customWidth="1"/>
    <col min="274" max="274" width="10.125" style="2825" customWidth="1"/>
    <col min="275" max="275" width="10" style="2825" customWidth="1"/>
    <col min="276" max="276" width="26.125" style="2825" customWidth="1"/>
    <col min="277" max="512" width="8.875" style="2825"/>
    <col min="513" max="513" width="9.5" style="2825" customWidth="1"/>
    <col min="514" max="514" width="8.875" style="2825"/>
    <col min="515" max="517" width="12.875" style="2825" customWidth="1"/>
    <col min="518" max="518" width="47.5" style="2825" customWidth="1"/>
    <col min="519" max="519" width="13" style="2825" customWidth="1"/>
    <col min="520" max="521" width="8.875" style="2825"/>
    <col min="522" max="522" width="5.75" style="2825" customWidth="1"/>
    <col min="523" max="523" width="11.75" style="2825" customWidth="1"/>
    <col min="524" max="525" width="10.75" style="2825" customWidth="1"/>
    <col min="526" max="526" width="10" style="2825" customWidth="1"/>
    <col min="527" max="528" width="10.5" style="2825" bestFit="1" customWidth="1"/>
    <col min="529" max="529" width="10" style="2825" customWidth="1"/>
    <col min="530" max="530" width="10.125" style="2825" customWidth="1"/>
    <col min="531" max="531" width="10" style="2825" customWidth="1"/>
    <col min="532" max="532" width="26.125" style="2825" customWidth="1"/>
    <col min="533" max="768" width="8.875" style="2825"/>
    <col min="769" max="769" width="9.5" style="2825" customWidth="1"/>
    <col min="770" max="770" width="8.875" style="2825"/>
    <col min="771" max="773" width="12.875" style="2825" customWidth="1"/>
    <col min="774" max="774" width="47.5" style="2825" customWidth="1"/>
    <col min="775" max="775" width="13" style="2825" customWidth="1"/>
    <col min="776" max="777" width="8.875" style="2825"/>
    <col min="778" max="778" width="5.75" style="2825" customWidth="1"/>
    <col min="779" max="779" width="11.75" style="2825" customWidth="1"/>
    <col min="780" max="781" width="10.75" style="2825" customWidth="1"/>
    <col min="782" max="782" width="10" style="2825" customWidth="1"/>
    <col min="783" max="784" width="10.5" style="2825" bestFit="1" customWidth="1"/>
    <col min="785" max="785" width="10" style="2825" customWidth="1"/>
    <col min="786" max="786" width="10.125" style="2825" customWidth="1"/>
    <col min="787" max="787" width="10" style="2825" customWidth="1"/>
    <col min="788" max="788" width="26.125" style="2825" customWidth="1"/>
    <col min="789" max="1024" width="8.875" style="2825"/>
    <col min="1025" max="1025" width="9.5" style="2825" customWidth="1"/>
    <col min="1026" max="1026" width="8.875" style="2825"/>
    <col min="1027" max="1029" width="12.875" style="2825" customWidth="1"/>
    <col min="1030" max="1030" width="47.5" style="2825" customWidth="1"/>
    <col min="1031" max="1031" width="13" style="2825" customWidth="1"/>
    <col min="1032" max="1033" width="8.875" style="2825"/>
    <col min="1034" max="1034" width="5.75" style="2825" customWidth="1"/>
    <col min="1035" max="1035" width="11.75" style="2825" customWidth="1"/>
    <col min="1036" max="1037" width="10.75" style="2825" customWidth="1"/>
    <col min="1038" max="1038" width="10" style="2825" customWidth="1"/>
    <col min="1039" max="1040" width="10.5" style="2825" bestFit="1" customWidth="1"/>
    <col min="1041" max="1041" width="10" style="2825" customWidth="1"/>
    <col min="1042" max="1042" width="10.125" style="2825" customWidth="1"/>
    <col min="1043" max="1043" width="10" style="2825" customWidth="1"/>
    <col min="1044" max="1044" width="26.125" style="2825" customWidth="1"/>
    <col min="1045" max="1280" width="8.875" style="2825"/>
    <col min="1281" max="1281" width="9.5" style="2825" customWidth="1"/>
    <col min="1282" max="1282" width="8.875" style="2825"/>
    <col min="1283" max="1285" width="12.875" style="2825" customWidth="1"/>
    <col min="1286" max="1286" width="47.5" style="2825" customWidth="1"/>
    <col min="1287" max="1287" width="13" style="2825" customWidth="1"/>
    <col min="1288" max="1289" width="8.875" style="2825"/>
    <col min="1290" max="1290" width="5.75" style="2825" customWidth="1"/>
    <col min="1291" max="1291" width="11.75" style="2825" customWidth="1"/>
    <col min="1292" max="1293" width="10.75" style="2825" customWidth="1"/>
    <col min="1294" max="1294" width="10" style="2825" customWidth="1"/>
    <col min="1295" max="1296" width="10.5" style="2825" bestFit="1" customWidth="1"/>
    <col min="1297" max="1297" width="10" style="2825" customWidth="1"/>
    <col min="1298" max="1298" width="10.125" style="2825" customWidth="1"/>
    <col min="1299" max="1299" width="10" style="2825" customWidth="1"/>
    <col min="1300" max="1300" width="26.125" style="2825" customWidth="1"/>
    <col min="1301" max="1536" width="8.875" style="2825"/>
    <col min="1537" max="1537" width="9.5" style="2825" customWidth="1"/>
    <col min="1538" max="1538" width="8.875" style="2825"/>
    <col min="1539" max="1541" width="12.875" style="2825" customWidth="1"/>
    <col min="1542" max="1542" width="47.5" style="2825" customWidth="1"/>
    <col min="1543" max="1543" width="13" style="2825" customWidth="1"/>
    <col min="1544" max="1545" width="8.875" style="2825"/>
    <col min="1546" max="1546" width="5.75" style="2825" customWidth="1"/>
    <col min="1547" max="1547" width="11.75" style="2825" customWidth="1"/>
    <col min="1548" max="1549" width="10.75" style="2825" customWidth="1"/>
    <col min="1550" max="1550" width="10" style="2825" customWidth="1"/>
    <col min="1551" max="1552" width="10.5" style="2825" bestFit="1" customWidth="1"/>
    <col min="1553" max="1553" width="10" style="2825" customWidth="1"/>
    <col min="1554" max="1554" width="10.125" style="2825" customWidth="1"/>
    <col min="1555" max="1555" width="10" style="2825" customWidth="1"/>
    <col min="1556" max="1556" width="26.125" style="2825" customWidth="1"/>
    <col min="1557" max="1792" width="8.875" style="2825"/>
    <col min="1793" max="1793" width="9.5" style="2825" customWidth="1"/>
    <col min="1794" max="1794" width="8.875" style="2825"/>
    <col min="1795" max="1797" width="12.875" style="2825" customWidth="1"/>
    <col min="1798" max="1798" width="47.5" style="2825" customWidth="1"/>
    <col min="1799" max="1799" width="13" style="2825" customWidth="1"/>
    <col min="1800" max="1801" width="8.875" style="2825"/>
    <col min="1802" max="1802" width="5.75" style="2825" customWidth="1"/>
    <col min="1803" max="1803" width="11.75" style="2825" customWidth="1"/>
    <col min="1804" max="1805" width="10.75" style="2825" customWidth="1"/>
    <col min="1806" max="1806" width="10" style="2825" customWidth="1"/>
    <col min="1807" max="1808" width="10.5" style="2825" bestFit="1" customWidth="1"/>
    <col min="1809" max="1809" width="10" style="2825" customWidth="1"/>
    <col min="1810" max="1810" width="10.125" style="2825" customWidth="1"/>
    <col min="1811" max="1811" width="10" style="2825" customWidth="1"/>
    <col min="1812" max="1812" width="26.125" style="2825" customWidth="1"/>
    <col min="1813" max="2048" width="8.875" style="2825"/>
    <col min="2049" max="2049" width="9.5" style="2825" customWidth="1"/>
    <col min="2050" max="2050" width="8.875" style="2825"/>
    <col min="2051" max="2053" width="12.875" style="2825" customWidth="1"/>
    <col min="2054" max="2054" width="47.5" style="2825" customWidth="1"/>
    <col min="2055" max="2055" width="13" style="2825" customWidth="1"/>
    <col min="2056" max="2057" width="8.875" style="2825"/>
    <col min="2058" max="2058" width="5.75" style="2825" customWidth="1"/>
    <col min="2059" max="2059" width="11.75" style="2825" customWidth="1"/>
    <col min="2060" max="2061" width="10.75" style="2825" customWidth="1"/>
    <col min="2062" max="2062" width="10" style="2825" customWidth="1"/>
    <col min="2063" max="2064" width="10.5" style="2825" bestFit="1" customWidth="1"/>
    <col min="2065" max="2065" width="10" style="2825" customWidth="1"/>
    <col min="2066" max="2066" width="10.125" style="2825" customWidth="1"/>
    <col min="2067" max="2067" width="10" style="2825" customWidth="1"/>
    <col min="2068" max="2068" width="26.125" style="2825" customWidth="1"/>
    <col min="2069" max="2304" width="8.875" style="2825"/>
    <col min="2305" max="2305" width="9.5" style="2825" customWidth="1"/>
    <col min="2306" max="2306" width="8.875" style="2825"/>
    <col min="2307" max="2309" width="12.875" style="2825" customWidth="1"/>
    <col min="2310" max="2310" width="47.5" style="2825" customWidth="1"/>
    <col min="2311" max="2311" width="13" style="2825" customWidth="1"/>
    <col min="2312" max="2313" width="8.875" style="2825"/>
    <col min="2314" max="2314" width="5.75" style="2825" customWidth="1"/>
    <col min="2315" max="2315" width="11.75" style="2825" customWidth="1"/>
    <col min="2316" max="2317" width="10.75" style="2825" customWidth="1"/>
    <col min="2318" max="2318" width="10" style="2825" customWidth="1"/>
    <col min="2319" max="2320" width="10.5" style="2825" bestFit="1" customWidth="1"/>
    <col min="2321" max="2321" width="10" style="2825" customWidth="1"/>
    <col min="2322" max="2322" width="10.125" style="2825" customWidth="1"/>
    <col min="2323" max="2323" width="10" style="2825" customWidth="1"/>
    <col min="2324" max="2324" width="26.125" style="2825" customWidth="1"/>
    <col min="2325" max="2560" width="8.875" style="2825"/>
    <col min="2561" max="2561" width="9.5" style="2825" customWidth="1"/>
    <col min="2562" max="2562" width="8.875" style="2825"/>
    <col min="2563" max="2565" width="12.875" style="2825" customWidth="1"/>
    <col min="2566" max="2566" width="47.5" style="2825" customWidth="1"/>
    <col min="2567" max="2567" width="13" style="2825" customWidth="1"/>
    <col min="2568" max="2569" width="8.875" style="2825"/>
    <col min="2570" max="2570" width="5.75" style="2825" customWidth="1"/>
    <col min="2571" max="2571" width="11.75" style="2825" customWidth="1"/>
    <col min="2572" max="2573" width="10.75" style="2825" customWidth="1"/>
    <col min="2574" max="2574" width="10" style="2825" customWidth="1"/>
    <col min="2575" max="2576" width="10.5" style="2825" bestFit="1" customWidth="1"/>
    <col min="2577" max="2577" width="10" style="2825" customWidth="1"/>
    <col min="2578" max="2578" width="10.125" style="2825" customWidth="1"/>
    <col min="2579" max="2579" width="10" style="2825" customWidth="1"/>
    <col min="2580" max="2580" width="26.125" style="2825" customWidth="1"/>
    <col min="2581" max="2816" width="8.875" style="2825"/>
    <col min="2817" max="2817" width="9.5" style="2825" customWidth="1"/>
    <col min="2818" max="2818" width="8.875" style="2825"/>
    <col min="2819" max="2821" width="12.875" style="2825" customWidth="1"/>
    <col min="2822" max="2822" width="47.5" style="2825" customWidth="1"/>
    <col min="2823" max="2823" width="13" style="2825" customWidth="1"/>
    <col min="2824" max="2825" width="8.875" style="2825"/>
    <col min="2826" max="2826" width="5.75" style="2825" customWidth="1"/>
    <col min="2827" max="2827" width="11.75" style="2825" customWidth="1"/>
    <col min="2828" max="2829" width="10.75" style="2825" customWidth="1"/>
    <col min="2830" max="2830" width="10" style="2825" customWidth="1"/>
    <col min="2831" max="2832" width="10.5" style="2825" bestFit="1" customWidth="1"/>
    <col min="2833" max="2833" width="10" style="2825" customWidth="1"/>
    <col min="2834" max="2834" width="10.125" style="2825" customWidth="1"/>
    <col min="2835" max="2835" width="10" style="2825" customWidth="1"/>
    <col min="2836" max="2836" width="26.125" style="2825" customWidth="1"/>
    <col min="2837" max="3072" width="8.875" style="2825"/>
    <col min="3073" max="3073" width="9.5" style="2825" customWidth="1"/>
    <col min="3074" max="3074" width="8.875" style="2825"/>
    <col min="3075" max="3077" width="12.875" style="2825" customWidth="1"/>
    <col min="3078" max="3078" width="47.5" style="2825" customWidth="1"/>
    <col min="3079" max="3079" width="13" style="2825" customWidth="1"/>
    <col min="3080" max="3081" width="8.875" style="2825"/>
    <col min="3082" max="3082" width="5.75" style="2825" customWidth="1"/>
    <col min="3083" max="3083" width="11.75" style="2825" customWidth="1"/>
    <col min="3084" max="3085" width="10.75" style="2825" customWidth="1"/>
    <col min="3086" max="3086" width="10" style="2825" customWidth="1"/>
    <col min="3087" max="3088" width="10.5" style="2825" bestFit="1" customWidth="1"/>
    <col min="3089" max="3089" width="10" style="2825" customWidth="1"/>
    <col min="3090" max="3090" width="10.125" style="2825" customWidth="1"/>
    <col min="3091" max="3091" width="10" style="2825" customWidth="1"/>
    <col min="3092" max="3092" width="26.125" style="2825" customWidth="1"/>
    <col min="3093" max="3328" width="8.875" style="2825"/>
    <col min="3329" max="3329" width="9.5" style="2825" customWidth="1"/>
    <col min="3330" max="3330" width="8.875" style="2825"/>
    <col min="3331" max="3333" width="12.875" style="2825" customWidth="1"/>
    <col min="3334" max="3334" width="47.5" style="2825" customWidth="1"/>
    <col min="3335" max="3335" width="13" style="2825" customWidth="1"/>
    <col min="3336" max="3337" width="8.875" style="2825"/>
    <col min="3338" max="3338" width="5.75" style="2825" customWidth="1"/>
    <col min="3339" max="3339" width="11.75" style="2825" customWidth="1"/>
    <col min="3340" max="3341" width="10.75" style="2825" customWidth="1"/>
    <col min="3342" max="3342" width="10" style="2825" customWidth="1"/>
    <col min="3343" max="3344" width="10.5" style="2825" bestFit="1" customWidth="1"/>
    <col min="3345" max="3345" width="10" style="2825" customWidth="1"/>
    <col min="3346" max="3346" width="10.125" style="2825" customWidth="1"/>
    <col min="3347" max="3347" width="10" style="2825" customWidth="1"/>
    <col min="3348" max="3348" width="26.125" style="2825" customWidth="1"/>
    <col min="3349" max="3584" width="8.875" style="2825"/>
    <col min="3585" max="3585" width="9.5" style="2825" customWidth="1"/>
    <col min="3586" max="3586" width="8.875" style="2825"/>
    <col min="3587" max="3589" width="12.875" style="2825" customWidth="1"/>
    <col min="3590" max="3590" width="47.5" style="2825" customWidth="1"/>
    <col min="3591" max="3591" width="13" style="2825" customWidth="1"/>
    <col min="3592" max="3593" width="8.875" style="2825"/>
    <col min="3594" max="3594" width="5.75" style="2825" customWidth="1"/>
    <col min="3595" max="3595" width="11.75" style="2825" customWidth="1"/>
    <col min="3596" max="3597" width="10.75" style="2825" customWidth="1"/>
    <col min="3598" max="3598" width="10" style="2825" customWidth="1"/>
    <col min="3599" max="3600" width="10.5" style="2825" bestFit="1" customWidth="1"/>
    <col min="3601" max="3601" width="10" style="2825" customWidth="1"/>
    <col min="3602" max="3602" width="10.125" style="2825" customWidth="1"/>
    <col min="3603" max="3603" width="10" style="2825" customWidth="1"/>
    <col min="3604" max="3604" width="26.125" style="2825" customWidth="1"/>
    <col min="3605" max="3840" width="8.875" style="2825"/>
    <col min="3841" max="3841" width="9.5" style="2825" customWidth="1"/>
    <col min="3842" max="3842" width="8.875" style="2825"/>
    <col min="3843" max="3845" width="12.875" style="2825" customWidth="1"/>
    <col min="3846" max="3846" width="47.5" style="2825" customWidth="1"/>
    <col min="3847" max="3847" width="13" style="2825" customWidth="1"/>
    <col min="3848" max="3849" width="8.875" style="2825"/>
    <col min="3850" max="3850" width="5.75" style="2825" customWidth="1"/>
    <col min="3851" max="3851" width="11.75" style="2825" customWidth="1"/>
    <col min="3852" max="3853" width="10.75" style="2825" customWidth="1"/>
    <col min="3854" max="3854" width="10" style="2825" customWidth="1"/>
    <col min="3855" max="3856" width="10.5" style="2825" bestFit="1" customWidth="1"/>
    <col min="3857" max="3857" width="10" style="2825" customWidth="1"/>
    <col min="3858" max="3858" width="10.125" style="2825" customWidth="1"/>
    <col min="3859" max="3859" width="10" style="2825" customWidth="1"/>
    <col min="3860" max="3860" width="26.125" style="2825" customWidth="1"/>
    <col min="3861" max="4096" width="8.875" style="2825"/>
    <col min="4097" max="4097" width="9.5" style="2825" customWidth="1"/>
    <col min="4098" max="4098" width="8.875" style="2825"/>
    <col min="4099" max="4101" width="12.875" style="2825" customWidth="1"/>
    <col min="4102" max="4102" width="47.5" style="2825" customWidth="1"/>
    <col min="4103" max="4103" width="13" style="2825" customWidth="1"/>
    <col min="4104" max="4105" width="8.875" style="2825"/>
    <col min="4106" max="4106" width="5.75" style="2825" customWidth="1"/>
    <col min="4107" max="4107" width="11.75" style="2825" customWidth="1"/>
    <col min="4108" max="4109" width="10.75" style="2825" customWidth="1"/>
    <col min="4110" max="4110" width="10" style="2825" customWidth="1"/>
    <col min="4111" max="4112" width="10.5" style="2825" bestFit="1" customWidth="1"/>
    <col min="4113" max="4113" width="10" style="2825" customWidth="1"/>
    <col min="4114" max="4114" width="10.125" style="2825" customWidth="1"/>
    <col min="4115" max="4115" width="10" style="2825" customWidth="1"/>
    <col min="4116" max="4116" width="26.125" style="2825" customWidth="1"/>
    <col min="4117" max="4352" width="8.875" style="2825"/>
    <col min="4353" max="4353" width="9.5" style="2825" customWidth="1"/>
    <col min="4354" max="4354" width="8.875" style="2825"/>
    <col min="4355" max="4357" width="12.875" style="2825" customWidth="1"/>
    <col min="4358" max="4358" width="47.5" style="2825" customWidth="1"/>
    <col min="4359" max="4359" width="13" style="2825" customWidth="1"/>
    <col min="4360" max="4361" width="8.875" style="2825"/>
    <col min="4362" max="4362" width="5.75" style="2825" customWidth="1"/>
    <col min="4363" max="4363" width="11.75" style="2825" customWidth="1"/>
    <col min="4364" max="4365" width="10.75" style="2825" customWidth="1"/>
    <col min="4366" max="4366" width="10" style="2825" customWidth="1"/>
    <col min="4367" max="4368" width="10.5" style="2825" bestFit="1" customWidth="1"/>
    <col min="4369" max="4369" width="10" style="2825" customWidth="1"/>
    <col min="4370" max="4370" width="10.125" style="2825" customWidth="1"/>
    <col min="4371" max="4371" width="10" style="2825" customWidth="1"/>
    <col min="4372" max="4372" width="26.125" style="2825" customWidth="1"/>
    <col min="4373" max="4608" width="8.875" style="2825"/>
    <col min="4609" max="4609" width="9.5" style="2825" customWidth="1"/>
    <col min="4610" max="4610" width="8.875" style="2825"/>
    <col min="4611" max="4613" width="12.875" style="2825" customWidth="1"/>
    <col min="4614" max="4614" width="47.5" style="2825" customWidth="1"/>
    <col min="4615" max="4615" width="13" style="2825" customWidth="1"/>
    <col min="4616" max="4617" width="8.875" style="2825"/>
    <col min="4618" max="4618" width="5.75" style="2825" customWidth="1"/>
    <col min="4619" max="4619" width="11.75" style="2825" customWidth="1"/>
    <col min="4620" max="4621" width="10.75" style="2825" customWidth="1"/>
    <col min="4622" max="4622" width="10" style="2825" customWidth="1"/>
    <col min="4623" max="4624" width="10.5" style="2825" bestFit="1" customWidth="1"/>
    <col min="4625" max="4625" width="10" style="2825" customWidth="1"/>
    <col min="4626" max="4626" width="10.125" style="2825" customWidth="1"/>
    <col min="4627" max="4627" width="10" style="2825" customWidth="1"/>
    <col min="4628" max="4628" width="26.125" style="2825" customWidth="1"/>
    <col min="4629" max="4864" width="8.875" style="2825"/>
    <col min="4865" max="4865" width="9.5" style="2825" customWidth="1"/>
    <col min="4866" max="4866" width="8.875" style="2825"/>
    <col min="4867" max="4869" width="12.875" style="2825" customWidth="1"/>
    <col min="4870" max="4870" width="47.5" style="2825" customWidth="1"/>
    <col min="4871" max="4871" width="13" style="2825" customWidth="1"/>
    <col min="4872" max="4873" width="8.875" style="2825"/>
    <col min="4874" max="4874" width="5.75" style="2825" customWidth="1"/>
    <col min="4875" max="4875" width="11.75" style="2825" customWidth="1"/>
    <col min="4876" max="4877" width="10.75" style="2825" customWidth="1"/>
    <col min="4878" max="4878" width="10" style="2825" customWidth="1"/>
    <col min="4879" max="4880" width="10.5" style="2825" bestFit="1" customWidth="1"/>
    <col min="4881" max="4881" width="10" style="2825" customWidth="1"/>
    <col min="4882" max="4882" width="10.125" style="2825" customWidth="1"/>
    <col min="4883" max="4883" width="10" style="2825" customWidth="1"/>
    <col min="4884" max="4884" width="26.125" style="2825" customWidth="1"/>
    <col min="4885" max="5120" width="8.875" style="2825"/>
    <col min="5121" max="5121" width="9.5" style="2825" customWidth="1"/>
    <col min="5122" max="5122" width="8.875" style="2825"/>
    <col min="5123" max="5125" width="12.875" style="2825" customWidth="1"/>
    <col min="5126" max="5126" width="47.5" style="2825" customWidth="1"/>
    <col min="5127" max="5127" width="13" style="2825" customWidth="1"/>
    <col min="5128" max="5129" width="8.875" style="2825"/>
    <col min="5130" max="5130" width="5.75" style="2825" customWidth="1"/>
    <col min="5131" max="5131" width="11.75" style="2825" customWidth="1"/>
    <col min="5132" max="5133" width="10.75" style="2825" customWidth="1"/>
    <col min="5134" max="5134" width="10" style="2825" customWidth="1"/>
    <col min="5135" max="5136" width="10.5" style="2825" bestFit="1" customWidth="1"/>
    <col min="5137" max="5137" width="10" style="2825" customWidth="1"/>
    <col min="5138" max="5138" width="10.125" style="2825" customWidth="1"/>
    <col min="5139" max="5139" width="10" style="2825" customWidth="1"/>
    <col min="5140" max="5140" width="26.125" style="2825" customWidth="1"/>
    <col min="5141" max="5376" width="8.875" style="2825"/>
    <col min="5377" max="5377" width="9.5" style="2825" customWidth="1"/>
    <col min="5378" max="5378" width="8.875" style="2825"/>
    <col min="5379" max="5381" width="12.875" style="2825" customWidth="1"/>
    <col min="5382" max="5382" width="47.5" style="2825" customWidth="1"/>
    <col min="5383" max="5383" width="13" style="2825" customWidth="1"/>
    <col min="5384" max="5385" width="8.875" style="2825"/>
    <col min="5386" max="5386" width="5.75" style="2825" customWidth="1"/>
    <col min="5387" max="5387" width="11.75" style="2825" customWidth="1"/>
    <col min="5388" max="5389" width="10.75" style="2825" customWidth="1"/>
    <col min="5390" max="5390" width="10" style="2825" customWidth="1"/>
    <col min="5391" max="5392" width="10.5" style="2825" bestFit="1" customWidth="1"/>
    <col min="5393" max="5393" width="10" style="2825" customWidth="1"/>
    <col min="5394" max="5394" width="10.125" style="2825" customWidth="1"/>
    <col min="5395" max="5395" width="10" style="2825" customWidth="1"/>
    <col min="5396" max="5396" width="26.125" style="2825" customWidth="1"/>
    <col min="5397" max="5632" width="8.875" style="2825"/>
    <col min="5633" max="5633" width="9.5" style="2825" customWidth="1"/>
    <col min="5634" max="5634" width="8.875" style="2825"/>
    <col min="5635" max="5637" width="12.875" style="2825" customWidth="1"/>
    <col min="5638" max="5638" width="47.5" style="2825" customWidth="1"/>
    <col min="5639" max="5639" width="13" style="2825" customWidth="1"/>
    <col min="5640" max="5641" width="8.875" style="2825"/>
    <col min="5642" max="5642" width="5.75" style="2825" customWidth="1"/>
    <col min="5643" max="5643" width="11.75" style="2825" customWidth="1"/>
    <col min="5644" max="5645" width="10.75" style="2825" customWidth="1"/>
    <col min="5646" max="5646" width="10" style="2825" customWidth="1"/>
    <col min="5647" max="5648" width="10.5" style="2825" bestFit="1" customWidth="1"/>
    <col min="5649" max="5649" width="10" style="2825" customWidth="1"/>
    <col min="5650" max="5650" width="10.125" style="2825" customWidth="1"/>
    <col min="5651" max="5651" width="10" style="2825" customWidth="1"/>
    <col min="5652" max="5652" width="26.125" style="2825" customWidth="1"/>
    <col min="5653" max="5888" width="8.875" style="2825"/>
    <col min="5889" max="5889" width="9.5" style="2825" customWidth="1"/>
    <col min="5890" max="5890" width="8.875" style="2825"/>
    <col min="5891" max="5893" width="12.875" style="2825" customWidth="1"/>
    <col min="5894" max="5894" width="47.5" style="2825" customWidth="1"/>
    <col min="5895" max="5895" width="13" style="2825" customWidth="1"/>
    <col min="5896" max="5897" width="8.875" style="2825"/>
    <col min="5898" max="5898" width="5.75" style="2825" customWidth="1"/>
    <col min="5899" max="5899" width="11.75" style="2825" customWidth="1"/>
    <col min="5900" max="5901" width="10.75" style="2825" customWidth="1"/>
    <col min="5902" max="5902" width="10" style="2825" customWidth="1"/>
    <col min="5903" max="5904" width="10.5" style="2825" bestFit="1" customWidth="1"/>
    <col min="5905" max="5905" width="10" style="2825" customWidth="1"/>
    <col min="5906" max="5906" width="10.125" style="2825" customWidth="1"/>
    <col min="5907" max="5907" width="10" style="2825" customWidth="1"/>
    <col min="5908" max="5908" width="26.125" style="2825" customWidth="1"/>
    <col min="5909" max="6144" width="8.875" style="2825"/>
    <col min="6145" max="6145" width="9.5" style="2825" customWidth="1"/>
    <col min="6146" max="6146" width="8.875" style="2825"/>
    <col min="6147" max="6149" width="12.875" style="2825" customWidth="1"/>
    <col min="6150" max="6150" width="47.5" style="2825" customWidth="1"/>
    <col min="6151" max="6151" width="13" style="2825" customWidth="1"/>
    <col min="6152" max="6153" width="8.875" style="2825"/>
    <col min="6154" max="6154" width="5.75" style="2825" customWidth="1"/>
    <col min="6155" max="6155" width="11.75" style="2825" customWidth="1"/>
    <col min="6156" max="6157" width="10.75" style="2825" customWidth="1"/>
    <col min="6158" max="6158" width="10" style="2825" customWidth="1"/>
    <col min="6159" max="6160" width="10.5" style="2825" bestFit="1" customWidth="1"/>
    <col min="6161" max="6161" width="10" style="2825" customWidth="1"/>
    <col min="6162" max="6162" width="10.125" style="2825" customWidth="1"/>
    <col min="6163" max="6163" width="10" style="2825" customWidth="1"/>
    <col min="6164" max="6164" width="26.125" style="2825" customWidth="1"/>
    <col min="6165" max="6400" width="8.875" style="2825"/>
    <col min="6401" max="6401" width="9.5" style="2825" customWidth="1"/>
    <col min="6402" max="6402" width="8.875" style="2825"/>
    <col min="6403" max="6405" width="12.875" style="2825" customWidth="1"/>
    <col min="6406" max="6406" width="47.5" style="2825" customWidth="1"/>
    <col min="6407" max="6407" width="13" style="2825" customWidth="1"/>
    <col min="6408" max="6409" width="8.875" style="2825"/>
    <col min="6410" max="6410" width="5.75" style="2825" customWidth="1"/>
    <col min="6411" max="6411" width="11.75" style="2825" customWidth="1"/>
    <col min="6412" max="6413" width="10.75" style="2825" customWidth="1"/>
    <col min="6414" max="6414" width="10" style="2825" customWidth="1"/>
    <col min="6415" max="6416" width="10.5" style="2825" bestFit="1" customWidth="1"/>
    <col min="6417" max="6417" width="10" style="2825" customWidth="1"/>
    <col min="6418" max="6418" width="10.125" style="2825" customWidth="1"/>
    <col min="6419" max="6419" width="10" style="2825" customWidth="1"/>
    <col min="6420" max="6420" width="26.125" style="2825" customWidth="1"/>
    <col min="6421" max="6656" width="8.875" style="2825"/>
    <col min="6657" max="6657" width="9.5" style="2825" customWidth="1"/>
    <col min="6658" max="6658" width="8.875" style="2825"/>
    <col min="6659" max="6661" width="12.875" style="2825" customWidth="1"/>
    <col min="6662" max="6662" width="47.5" style="2825" customWidth="1"/>
    <col min="6663" max="6663" width="13" style="2825" customWidth="1"/>
    <col min="6664" max="6665" width="8.875" style="2825"/>
    <col min="6666" max="6666" width="5.75" style="2825" customWidth="1"/>
    <col min="6667" max="6667" width="11.75" style="2825" customWidth="1"/>
    <col min="6668" max="6669" width="10.75" style="2825" customWidth="1"/>
    <col min="6670" max="6670" width="10" style="2825" customWidth="1"/>
    <col min="6671" max="6672" width="10.5" style="2825" bestFit="1" customWidth="1"/>
    <col min="6673" max="6673" width="10" style="2825" customWidth="1"/>
    <col min="6674" max="6674" width="10.125" style="2825" customWidth="1"/>
    <col min="6675" max="6675" width="10" style="2825" customWidth="1"/>
    <col min="6676" max="6676" width="26.125" style="2825" customWidth="1"/>
    <col min="6677" max="6912" width="8.875" style="2825"/>
    <col min="6913" max="6913" width="9.5" style="2825" customWidth="1"/>
    <col min="6914" max="6914" width="8.875" style="2825"/>
    <col min="6915" max="6917" width="12.875" style="2825" customWidth="1"/>
    <col min="6918" max="6918" width="47.5" style="2825" customWidth="1"/>
    <col min="6919" max="6919" width="13" style="2825" customWidth="1"/>
    <col min="6920" max="6921" width="8.875" style="2825"/>
    <col min="6922" max="6922" width="5.75" style="2825" customWidth="1"/>
    <col min="6923" max="6923" width="11.75" style="2825" customWidth="1"/>
    <col min="6924" max="6925" width="10.75" style="2825" customWidth="1"/>
    <col min="6926" max="6926" width="10" style="2825" customWidth="1"/>
    <col min="6927" max="6928" width="10.5" style="2825" bestFit="1" customWidth="1"/>
    <col min="6929" max="6929" width="10" style="2825" customWidth="1"/>
    <col min="6930" max="6930" width="10.125" style="2825" customWidth="1"/>
    <col min="6931" max="6931" width="10" style="2825" customWidth="1"/>
    <col min="6932" max="6932" width="26.125" style="2825" customWidth="1"/>
    <col min="6933" max="7168" width="8.875" style="2825"/>
    <col min="7169" max="7169" width="9.5" style="2825" customWidth="1"/>
    <col min="7170" max="7170" width="8.875" style="2825"/>
    <col min="7171" max="7173" width="12.875" style="2825" customWidth="1"/>
    <col min="7174" max="7174" width="47.5" style="2825" customWidth="1"/>
    <col min="7175" max="7175" width="13" style="2825" customWidth="1"/>
    <col min="7176" max="7177" width="8.875" style="2825"/>
    <col min="7178" max="7178" width="5.75" style="2825" customWidth="1"/>
    <col min="7179" max="7179" width="11.75" style="2825" customWidth="1"/>
    <col min="7180" max="7181" width="10.75" style="2825" customWidth="1"/>
    <col min="7182" max="7182" width="10" style="2825" customWidth="1"/>
    <col min="7183" max="7184" width="10.5" style="2825" bestFit="1" customWidth="1"/>
    <col min="7185" max="7185" width="10" style="2825" customWidth="1"/>
    <col min="7186" max="7186" width="10.125" style="2825" customWidth="1"/>
    <col min="7187" max="7187" width="10" style="2825" customWidth="1"/>
    <col min="7188" max="7188" width="26.125" style="2825" customWidth="1"/>
    <col min="7189" max="7424" width="8.875" style="2825"/>
    <col min="7425" max="7425" width="9.5" style="2825" customWidth="1"/>
    <col min="7426" max="7426" width="8.875" style="2825"/>
    <col min="7427" max="7429" width="12.875" style="2825" customWidth="1"/>
    <col min="7430" max="7430" width="47.5" style="2825" customWidth="1"/>
    <col min="7431" max="7431" width="13" style="2825" customWidth="1"/>
    <col min="7432" max="7433" width="8.875" style="2825"/>
    <col min="7434" max="7434" width="5.75" style="2825" customWidth="1"/>
    <col min="7435" max="7435" width="11.75" style="2825" customWidth="1"/>
    <col min="7436" max="7437" width="10.75" style="2825" customWidth="1"/>
    <col min="7438" max="7438" width="10" style="2825" customWidth="1"/>
    <col min="7439" max="7440" width="10.5" style="2825" bestFit="1" customWidth="1"/>
    <col min="7441" max="7441" width="10" style="2825" customWidth="1"/>
    <col min="7442" max="7442" width="10.125" style="2825" customWidth="1"/>
    <col min="7443" max="7443" width="10" style="2825" customWidth="1"/>
    <col min="7444" max="7444" width="26.125" style="2825" customWidth="1"/>
    <col min="7445" max="7680" width="8.875" style="2825"/>
    <col min="7681" max="7681" width="9.5" style="2825" customWidth="1"/>
    <col min="7682" max="7682" width="8.875" style="2825"/>
    <col min="7683" max="7685" width="12.875" style="2825" customWidth="1"/>
    <col min="7686" max="7686" width="47.5" style="2825" customWidth="1"/>
    <col min="7687" max="7687" width="13" style="2825" customWidth="1"/>
    <col min="7688" max="7689" width="8.875" style="2825"/>
    <col min="7690" max="7690" width="5.75" style="2825" customWidth="1"/>
    <col min="7691" max="7691" width="11.75" style="2825" customWidth="1"/>
    <col min="7692" max="7693" width="10.75" style="2825" customWidth="1"/>
    <col min="7694" max="7694" width="10" style="2825" customWidth="1"/>
    <col min="7695" max="7696" width="10.5" style="2825" bestFit="1" customWidth="1"/>
    <col min="7697" max="7697" width="10" style="2825" customWidth="1"/>
    <col min="7698" max="7698" width="10.125" style="2825" customWidth="1"/>
    <col min="7699" max="7699" width="10" style="2825" customWidth="1"/>
    <col min="7700" max="7700" width="26.125" style="2825" customWidth="1"/>
    <col min="7701" max="7936" width="8.875" style="2825"/>
    <col min="7937" max="7937" width="9.5" style="2825" customWidth="1"/>
    <col min="7938" max="7938" width="8.875" style="2825"/>
    <col min="7939" max="7941" width="12.875" style="2825" customWidth="1"/>
    <col min="7942" max="7942" width="47.5" style="2825" customWidth="1"/>
    <col min="7943" max="7943" width="13" style="2825" customWidth="1"/>
    <col min="7944" max="7945" width="8.875" style="2825"/>
    <col min="7946" max="7946" width="5.75" style="2825" customWidth="1"/>
    <col min="7947" max="7947" width="11.75" style="2825" customWidth="1"/>
    <col min="7948" max="7949" width="10.75" style="2825" customWidth="1"/>
    <col min="7950" max="7950" width="10" style="2825" customWidth="1"/>
    <col min="7951" max="7952" width="10.5" style="2825" bestFit="1" customWidth="1"/>
    <col min="7953" max="7953" width="10" style="2825" customWidth="1"/>
    <col min="7954" max="7954" width="10.125" style="2825" customWidth="1"/>
    <col min="7955" max="7955" width="10" style="2825" customWidth="1"/>
    <col min="7956" max="7956" width="26.125" style="2825" customWidth="1"/>
    <col min="7957" max="8192" width="8.875" style="2825"/>
    <col min="8193" max="8193" width="9.5" style="2825" customWidth="1"/>
    <col min="8194" max="8194" width="8.875" style="2825"/>
    <col min="8195" max="8197" width="12.875" style="2825" customWidth="1"/>
    <col min="8198" max="8198" width="47.5" style="2825" customWidth="1"/>
    <col min="8199" max="8199" width="13" style="2825" customWidth="1"/>
    <col min="8200" max="8201" width="8.875" style="2825"/>
    <col min="8202" max="8202" width="5.75" style="2825" customWidth="1"/>
    <col min="8203" max="8203" width="11.75" style="2825" customWidth="1"/>
    <col min="8204" max="8205" width="10.75" style="2825" customWidth="1"/>
    <col min="8206" max="8206" width="10" style="2825" customWidth="1"/>
    <col min="8207" max="8208" width="10.5" style="2825" bestFit="1" customWidth="1"/>
    <col min="8209" max="8209" width="10" style="2825" customWidth="1"/>
    <col min="8210" max="8210" width="10.125" style="2825" customWidth="1"/>
    <col min="8211" max="8211" width="10" style="2825" customWidth="1"/>
    <col min="8212" max="8212" width="26.125" style="2825" customWidth="1"/>
    <col min="8213" max="8448" width="8.875" style="2825"/>
    <col min="8449" max="8449" width="9.5" style="2825" customWidth="1"/>
    <col min="8450" max="8450" width="8.875" style="2825"/>
    <col min="8451" max="8453" width="12.875" style="2825" customWidth="1"/>
    <col min="8454" max="8454" width="47.5" style="2825" customWidth="1"/>
    <col min="8455" max="8455" width="13" style="2825" customWidth="1"/>
    <col min="8456" max="8457" width="8.875" style="2825"/>
    <col min="8458" max="8458" width="5.75" style="2825" customWidth="1"/>
    <col min="8459" max="8459" width="11.75" style="2825" customWidth="1"/>
    <col min="8460" max="8461" width="10.75" style="2825" customWidth="1"/>
    <col min="8462" max="8462" width="10" style="2825" customWidth="1"/>
    <col min="8463" max="8464" width="10.5" style="2825" bestFit="1" customWidth="1"/>
    <col min="8465" max="8465" width="10" style="2825" customWidth="1"/>
    <col min="8466" max="8466" width="10.125" style="2825" customWidth="1"/>
    <col min="8467" max="8467" width="10" style="2825" customWidth="1"/>
    <col min="8468" max="8468" width="26.125" style="2825" customWidth="1"/>
    <col min="8469" max="8704" width="8.875" style="2825"/>
    <col min="8705" max="8705" width="9.5" style="2825" customWidth="1"/>
    <col min="8706" max="8706" width="8.875" style="2825"/>
    <col min="8707" max="8709" width="12.875" style="2825" customWidth="1"/>
    <col min="8710" max="8710" width="47.5" style="2825" customWidth="1"/>
    <col min="8711" max="8711" width="13" style="2825" customWidth="1"/>
    <col min="8712" max="8713" width="8.875" style="2825"/>
    <col min="8714" max="8714" width="5.75" style="2825" customWidth="1"/>
    <col min="8715" max="8715" width="11.75" style="2825" customWidth="1"/>
    <col min="8716" max="8717" width="10.75" style="2825" customWidth="1"/>
    <col min="8718" max="8718" width="10" style="2825" customWidth="1"/>
    <col min="8719" max="8720" width="10.5" style="2825" bestFit="1" customWidth="1"/>
    <col min="8721" max="8721" width="10" style="2825" customWidth="1"/>
    <col min="8722" max="8722" width="10.125" style="2825" customWidth="1"/>
    <col min="8723" max="8723" width="10" style="2825" customWidth="1"/>
    <col min="8724" max="8724" width="26.125" style="2825" customWidth="1"/>
    <col min="8725" max="8960" width="8.875" style="2825"/>
    <col min="8961" max="8961" width="9.5" style="2825" customWidth="1"/>
    <col min="8962" max="8962" width="8.875" style="2825"/>
    <col min="8963" max="8965" width="12.875" style="2825" customWidth="1"/>
    <col min="8966" max="8966" width="47.5" style="2825" customWidth="1"/>
    <col min="8967" max="8967" width="13" style="2825" customWidth="1"/>
    <col min="8968" max="8969" width="8.875" style="2825"/>
    <col min="8970" max="8970" width="5.75" style="2825" customWidth="1"/>
    <col min="8971" max="8971" width="11.75" style="2825" customWidth="1"/>
    <col min="8972" max="8973" width="10.75" style="2825" customWidth="1"/>
    <col min="8974" max="8974" width="10" style="2825" customWidth="1"/>
    <col min="8975" max="8976" width="10.5" style="2825" bestFit="1" customWidth="1"/>
    <col min="8977" max="8977" width="10" style="2825" customWidth="1"/>
    <col min="8978" max="8978" width="10.125" style="2825" customWidth="1"/>
    <col min="8979" max="8979" width="10" style="2825" customWidth="1"/>
    <col min="8980" max="8980" width="26.125" style="2825" customWidth="1"/>
    <col min="8981" max="9216" width="8.875" style="2825"/>
    <col min="9217" max="9217" width="9.5" style="2825" customWidth="1"/>
    <col min="9218" max="9218" width="8.875" style="2825"/>
    <col min="9219" max="9221" width="12.875" style="2825" customWidth="1"/>
    <col min="9222" max="9222" width="47.5" style="2825" customWidth="1"/>
    <col min="9223" max="9223" width="13" style="2825" customWidth="1"/>
    <col min="9224" max="9225" width="8.875" style="2825"/>
    <col min="9226" max="9226" width="5.75" style="2825" customWidth="1"/>
    <col min="9227" max="9227" width="11.75" style="2825" customWidth="1"/>
    <col min="9228" max="9229" width="10.75" style="2825" customWidth="1"/>
    <col min="9230" max="9230" width="10" style="2825" customWidth="1"/>
    <col min="9231" max="9232" width="10.5" style="2825" bestFit="1" customWidth="1"/>
    <col min="9233" max="9233" width="10" style="2825" customWidth="1"/>
    <col min="9234" max="9234" width="10.125" style="2825" customWidth="1"/>
    <col min="9235" max="9235" width="10" style="2825" customWidth="1"/>
    <col min="9236" max="9236" width="26.125" style="2825" customWidth="1"/>
    <col min="9237" max="9472" width="8.875" style="2825"/>
    <col min="9473" max="9473" width="9.5" style="2825" customWidth="1"/>
    <col min="9474" max="9474" width="8.875" style="2825"/>
    <col min="9475" max="9477" width="12.875" style="2825" customWidth="1"/>
    <col min="9478" max="9478" width="47.5" style="2825" customWidth="1"/>
    <col min="9479" max="9479" width="13" style="2825" customWidth="1"/>
    <col min="9480" max="9481" width="8.875" style="2825"/>
    <col min="9482" max="9482" width="5.75" style="2825" customWidth="1"/>
    <col min="9483" max="9483" width="11.75" style="2825" customWidth="1"/>
    <col min="9484" max="9485" width="10.75" style="2825" customWidth="1"/>
    <col min="9486" max="9486" width="10" style="2825" customWidth="1"/>
    <col min="9487" max="9488" width="10.5" style="2825" bestFit="1" customWidth="1"/>
    <col min="9489" max="9489" width="10" style="2825" customWidth="1"/>
    <col min="9490" max="9490" width="10.125" style="2825" customWidth="1"/>
    <col min="9491" max="9491" width="10" style="2825" customWidth="1"/>
    <col min="9492" max="9492" width="26.125" style="2825" customWidth="1"/>
    <col min="9493" max="9728" width="8.875" style="2825"/>
    <col min="9729" max="9729" width="9.5" style="2825" customWidth="1"/>
    <col min="9730" max="9730" width="8.875" style="2825"/>
    <col min="9731" max="9733" width="12.875" style="2825" customWidth="1"/>
    <col min="9734" max="9734" width="47.5" style="2825" customWidth="1"/>
    <col min="9735" max="9735" width="13" style="2825" customWidth="1"/>
    <col min="9736" max="9737" width="8.875" style="2825"/>
    <col min="9738" max="9738" width="5.75" style="2825" customWidth="1"/>
    <col min="9739" max="9739" width="11.75" style="2825" customWidth="1"/>
    <col min="9740" max="9741" width="10.75" style="2825" customWidth="1"/>
    <col min="9742" max="9742" width="10" style="2825" customWidth="1"/>
    <col min="9743" max="9744" width="10.5" style="2825" bestFit="1" customWidth="1"/>
    <col min="9745" max="9745" width="10" style="2825" customWidth="1"/>
    <col min="9746" max="9746" width="10.125" style="2825" customWidth="1"/>
    <col min="9747" max="9747" width="10" style="2825" customWidth="1"/>
    <col min="9748" max="9748" width="26.125" style="2825" customWidth="1"/>
    <col min="9749" max="9984" width="8.875" style="2825"/>
    <col min="9985" max="9985" width="9.5" style="2825" customWidth="1"/>
    <col min="9986" max="9986" width="8.875" style="2825"/>
    <col min="9987" max="9989" width="12.875" style="2825" customWidth="1"/>
    <col min="9990" max="9990" width="47.5" style="2825" customWidth="1"/>
    <col min="9991" max="9991" width="13" style="2825" customWidth="1"/>
    <col min="9992" max="9993" width="8.875" style="2825"/>
    <col min="9994" max="9994" width="5.75" style="2825" customWidth="1"/>
    <col min="9995" max="9995" width="11.75" style="2825" customWidth="1"/>
    <col min="9996" max="9997" width="10.75" style="2825" customWidth="1"/>
    <col min="9998" max="9998" width="10" style="2825" customWidth="1"/>
    <col min="9999" max="10000" width="10.5" style="2825" bestFit="1" customWidth="1"/>
    <col min="10001" max="10001" width="10" style="2825" customWidth="1"/>
    <col min="10002" max="10002" width="10.125" style="2825" customWidth="1"/>
    <col min="10003" max="10003" width="10" style="2825" customWidth="1"/>
    <col min="10004" max="10004" width="26.125" style="2825" customWidth="1"/>
    <col min="10005" max="10240" width="8.875" style="2825"/>
    <col min="10241" max="10241" width="9.5" style="2825" customWidth="1"/>
    <col min="10242" max="10242" width="8.875" style="2825"/>
    <col min="10243" max="10245" width="12.875" style="2825" customWidth="1"/>
    <col min="10246" max="10246" width="47.5" style="2825" customWidth="1"/>
    <col min="10247" max="10247" width="13" style="2825" customWidth="1"/>
    <col min="10248" max="10249" width="8.875" style="2825"/>
    <col min="10250" max="10250" width="5.75" style="2825" customWidth="1"/>
    <col min="10251" max="10251" width="11.75" style="2825" customWidth="1"/>
    <col min="10252" max="10253" width="10.75" style="2825" customWidth="1"/>
    <col min="10254" max="10254" width="10" style="2825" customWidth="1"/>
    <col min="10255" max="10256" width="10.5" style="2825" bestFit="1" customWidth="1"/>
    <col min="10257" max="10257" width="10" style="2825" customWidth="1"/>
    <col min="10258" max="10258" width="10.125" style="2825" customWidth="1"/>
    <col min="10259" max="10259" width="10" style="2825" customWidth="1"/>
    <col min="10260" max="10260" width="26.125" style="2825" customWidth="1"/>
    <col min="10261" max="10496" width="8.875" style="2825"/>
    <col min="10497" max="10497" width="9.5" style="2825" customWidth="1"/>
    <col min="10498" max="10498" width="8.875" style="2825"/>
    <col min="10499" max="10501" width="12.875" style="2825" customWidth="1"/>
    <col min="10502" max="10502" width="47.5" style="2825" customWidth="1"/>
    <col min="10503" max="10503" width="13" style="2825" customWidth="1"/>
    <col min="10504" max="10505" width="8.875" style="2825"/>
    <col min="10506" max="10506" width="5.75" style="2825" customWidth="1"/>
    <col min="10507" max="10507" width="11.75" style="2825" customWidth="1"/>
    <col min="10508" max="10509" width="10.75" style="2825" customWidth="1"/>
    <col min="10510" max="10510" width="10" style="2825" customWidth="1"/>
    <col min="10511" max="10512" width="10.5" style="2825" bestFit="1" customWidth="1"/>
    <col min="10513" max="10513" width="10" style="2825" customWidth="1"/>
    <col min="10514" max="10514" width="10.125" style="2825" customWidth="1"/>
    <col min="10515" max="10515" width="10" style="2825" customWidth="1"/>
    <col min="10516" max="10516" width="26.125" style="2825" customWidth="1"/>
    <col min="10517" max="10752" width="8.875" style="2825"/>
    <col min="10753" max="10753" width="9.5" style="2825" customWidth="1"/>
    <col min="10754" max="10754" width="8.875" style="2825"/>
    <col min="10755" max="10757" width="12.875" style="2825" customWidth="1"/>
    <col min="10758" max="10758" width="47.5" style="2825" customWidth="1"/>
    <col min="10759" max="10759" width="13" style="2825" customWidth="1"/>
    <col min="10760" max="10761" width="8.875" style="2825"/>
    <col min="10762" max="10762" width="5.75" style="2825" customWidth="1"/>
    <col min="10763" max="10763" width="11.75" style="2825" customWidth="1"/>
    <col min="10764" max="10765" width="10.75" style="2825" customWidth="1"/>
    <col min="10766" max="10766" width="10" style="2825" customWidth="1"/>
    <col min="10767" max="10768" width="10.5" style="2825" bestFit="1" customWidth="1"/>
    <col min="10769" max="10769" width="10" style="2825" customWidth="1"/>
    <col min="10770" max="10770" width="10.125" style="2825" customWidth="1"/>
    <col min="10771" max="10771" width="10" style="2825" customWidth="1"/>
    <col min="10772" max="10772" width="26.125" style="2825" customWidth="1"/>
    <col min="10773" max="11008" width="8.875" style="2825"/>
    <col min="11009" max="11009" width="9.5" style="2825" customWidth="1"/>
    <col min="11010" max="11010" width="8.875" style="2825"/>
    <col min="11011" max="11013" width="12.875" style="2825" customWidth="1"/>
    <col min="11014" max="11014" width="47.5" style="2825" customWidth="1"/>
    <col min="11015" max="11015" width="13" style="2825" customWidth="1"/>
    <col min="11016" max="11017" width="8.875" style="2825"/>
    <col min="11018" max="11018" width="5.75" style="2825" customWidth="1"/>
    <col min="11019" max="11019" width="11.75" style="2825" customWidth="1"/>
    <col min="11020" max="11021" width="10.75" style="2825" customWidth="1"/>
    <col min="11022" max="11022" width="10" style="2825" customWidth="1"/>
    <col min="11023" max="11024" width="10.5" style="2825" bestFit="1" customWidth="1"/>
    <col min="11025" max="11025" width="10" style="2825" customWidth="1"/>
    <col min="11026" max="11026" width="10.125" style="2825" customWidth="1"/>
    <col min="11027" max="11027" width="10" style="2825" customWidth="1"/>
    <col min="11028" max="11028" width="26.125" style="2825" customWidth="1"/>
    <col min="11029" max="11264" width="8.875" style="2825"/>
    <col min="11265" max="11265" width="9.5" style="2825" customWidth="1"/>
    <col min="11266" max="11266" width="8.875" style="2825"/>
    <col min="11267" max="11269" width="12.875" style="2825" customWidth="1"/>
    <col min="11270" max="11270" width="47.5" style="2825" customWidth="1"/>
    <col min="11271" max="11271" width="13" style="2825" customWidth="1"/>
    <col min="11272" max="11273" width="8.875" style="2825"/>
    <col min="11274" max="11274" width="5.75" style="2825" customWidth="1"/>
    <col min="11275" max="11275" width="11.75" style="2825" customWidth="1"/>
    <col min="11276" max="11277" width="10.75" style="2825" customWidth="1"/>
    <col min="11278" max="11278" width="10" style="2825" customWidth="1"/>
    <col min="11279" max="11280" width="10.5" style="2825" bestFit="1" customWidth="1"/>
    <col min="11281" max="11281" width="10" style="2825" customWidth="1"/>
    <col min="11282" max="11282" width="10.125" style="2825" customWidth="1"/>
    <col min="11283" max="11283" width="10" style="2825" customWidth="1"/>
    <col min="11284" max="11284" width="26.125" style="2825" customWidth="1"/>
    <col min="11285" max="11520" width="8.875" style="2825"/>
    <col min="11521" max="11521" width="9.5" style="2825" customWidth="1"/>
    <col min="11522" max="11522" width="8.875" style="2825"/>
    <col min="11523" max="11525" width="12.875" style="2825" customWidth="1"/>
    <col min="11526" max="11526" width="47.5" style="2825" customWidth="1"/>
    <col min="11527" max="11527" width="13" style="2825" customWidth="1"/>
    <col min="11528" max="11529" width="8.875" style="2825"/>
    <col min="11530" max="11530" width="5.75" style="2825" customWidth="1"/>
    <col min="11531" max="11531" width="11.75" style="2825" customWidth="1"/>
    <col min="11532" max="11533" width="10.75" style="2825" customWidth="1"/>
    <col min="11534" max="11534" width="10" style="2825" customWidth="1"/>
    <col min="11535" max="11536" width="10.5" style="2825" bestFit="1" customWidth="1"/>
    <col min="11537" max="11537" width="10" style="2825" customWidth="1"/>
    <col min="11538" max="11538" width="10.125" style="2825" customWidth="1"/>
    <col min="11539" max="11539" width="10" style="2825" customWidth="1"/>
    <col min="11540" max="11540" width="26.125" style="2825" customWidth="1"/>
    <col min="11541" max="11776" width="8.875" style="2825"/>
    <col min="11777" max="11777" width="9.5" style="2825" customWidth="1"/>
    <col min="11778" max="11778" width="8.875" style="2825"/>
    <col min="11779" max="11781" width="12.875" style="2825" customWidth="1"/>
    <col min="11782" max="11782" width="47.5" style="2825" customWidth="1"/>
    <col min="11783" max="11783" width="13" style="2825" customWidth="1"/>
    <col min="11784" max="11785" width="8.875" style="2825"/>
    <col min="11786" max="11786" width="5.75" style="2825" customWidth="1"/>
    <col min="11787" max="11787" width="11.75" style="2825" customWidth="1"/>
    <col min="11788" max="11789" width="10.75" style="2825" customWidth="1"/>
    <col min="11790" max="11790" width="10" style="2825" customWidth="1"/>
    <col min="11791" max="11792" width="10.5" style="2825" bestFit="1" customWidth="1"/>
    <col min="11793" max="11793" width="10" style="2825" customWidth="1"/>
    <col min="11794" max="11794" width="10.125" style="2825" customWidth="1"/>
    <col min="11795" max="11795" width="10" style="2825" customWidth="1"/>
    <col min="11796" max="11796" width="26.125" style="2825" customWidth="1"/>
    <col min="11797" max="12032" width="8.875" style="2825"/>
    <col min="12033" max="12033" width="9.5" style="2825" customWidth="1"/>
    <col min="12034" max="12034" width="8.875" style="2825"/>
    <col min="12035" max="12037" width="12.875" style="2825" customWidth="1"/>
    <col min="12038" max="12038" width="47.5" style="2825" customWidth="1"/>
    <col min="12039" max="12039" width="13" style="2825" customWidth="1"/>
    <col min="12040" max="12041" width="8.875" style="2825"/>
    <col min="12042" max="12042" width="5.75" style="2825" customWidth="1"/>
    <col min="12043" max="12043" width="11.75" style="2825" customWidth="1"/>
    <col min="12044" max="12045" width="10.75" style="2825" customWidth="1"/>
    <col min="12046" max="12046" width="10" style="2825" customWidth="1"/>
    <col min="12047" max="12048" width="10.5" style="2825" bestFit="1" customWidth="1"/>
    <col min="12049" max="12049" width="10" style="2825" customWidth="1"/>
    <col min="12050" max="12050" width="10.125" style="2825" customWidth="1"/>
    <col min="12051" max="12051" width="10" style="2825" customWidth="1"/>
    <col min="12052" max="12052" width="26.125" style="2825" customWidth="1"/>
    <col min="12053" max="12288" width="8.875" style="2825"/>
    <col min="12289" max="12289" width="9.5" style="2825" customWidth="1"/>
    <col min="12290" max="12290" width="8.875" style="2825"/>
    <col min="12291" max="12293" width="12.875" style="2825" customWidth="1"/>
    <col min="12294" max="12294" width="47.5" style="2825" customWidth="1"/>
    <col min="12295" max="12295" width="13" style="2825" customWidth="1"/>
    <col min="12296" max="12297" width="8.875" style="2825"/>
    <col min="12298" max="12298" width="5.75" style="2825" customWidth="1"/>
    <col min="12299" max="12299" width="11.75" style="2825" customWidth="1"/>
    <col min="12300" max="12301" width="10.75" style="2825" customWidth="1"/>
    <col min="12302" max="12302" width="10" style="2825" customWidth="1"/>
    <col min="12303" max="12304" width="10.5" style="2825" bestFit="1" customWidth="1"/>
    <col min="12305" max="12305" width="10" style="2825" customWidth="1"/>
    <col min="12306" max="12306" width="10.125" style="2825" customWidth="1"/>
    <col min="12307" max="12307" width="10" style="2825" customWidth="1"/>
    <col min="12308" max="12308" width="26.125" style="2825" customWidth="1"/>
    <col min="12309" max="12544" width="8.875" style="2825"/>
    <col min="12545" max="12545" width="9.5" style="2825" customWidth="1"/>
    <col min="12546" max="12546" width="8.875" style="2825"/>
    <col min="12547" max="12549" width="12.875" style="2825" customWidth="1"/>
    <col min="12550" max="12550" width="47.5" style="2825" customWidth="1"/>
    <col min="12551" max="12551" width="13" style="2825" customWidth="1"/>
    <col min="12552" max="12553" width="8.875" style="2825"/>
    <col min="12554" max="12554" width="5.75" style="2825" customWidth="1"/>
    <col min="12555" max="12555" width="11.75" style="2825" customWidth="1"/>
    <col min="12556" max="12557" width="10.75" style="2825" customWidth="1"/>
    <col min="12558" max="12558" width="10" style="2825" customWidth="1"/>
    <col min="12559" max="12560" width="10.5" style="2825" bestFit="1" customWidth="1"/>
    <col min="12561" max="12561" width="10" style="2825" customWidth="1"/>
    <col min="12562" max="12562" width="10.125" style="2825" customWidth="1"/>
    <col min="12563" max="12563" width="10" style="2825" customWidth="1"/>
    <col min="12564" max="12564" width="26.125" style="2825" customWidth="1"/>
    <col min="12565" max="12800" width="8.875" style="2825"/>
    <col min="12801" max="12801" width="9.5" style="2825" customWidth="1"/>
    <col min="12802" max="12802" width="8.875" style="2825"/>
    <col min="12803" max="12805" width="12.875" style="2825" customWidth="1"/>
    <col min="12806" max="12806" width="47.5" style="2825" customWidth="1"/>
    <col min="12807" max="12807" width="13" style="2825" customWidth="1"/>
    <col min="12808" max="12809" width="8.875" style="2825"/>
    <col min="12810" max="12810" width="5.75" style="2825" customWidth="1"/>
    <col min="12811" max="12811" width="11.75" style="2825" customWidth="1"/>
    <col min="12812" max="12813" width="10.75" style="2825" customWidth="1"/>
    <col min="12814" max="12814" width="10" style="2825" customWidth="1"/>
    <col min="12815" max="12816" width="10.5" style="2825" bestFit="1" customWidth="1"/>
    <col min="12817" max="12817" width="10" style="2825" customWidth="1"/>
    <col min="12818" max="12818" width="10.125" style="2825" customWidth="1"/>
    <col min="12819" max="12819" width="10" style="2825" customWidth="1"/>
    <col min="12820" max="12820" width="26.125" style="2825" customWidth="1"/>
    <col min="12821" max="13056" width="8.875" style="2825"/>
    <col min="13057" max="13057" width="9.5" style="2825" customWidth="1"/>
    <col min="13058" max="13058" width="8.875" style="2825"/>
    <col min="13059" max="13061" width="12.875" style="2825" customWidth="1"/>
    <col min="13062" max="13062" width="47.5" style="2825" customWidth="1"/>
    <col min="13063" max="13063" width="13" style="2825" customWidth="1"/>
    <col min="13064" max="13065" width="8.875" style="2825"/>
    <col min="13066" max="13066" width="5.75" style="2825" customWidth="1"/>
    <col min="13067" max="13067" width="11.75" style="2825" customWidth="1"/>
    <col min="13068" max="13069" width="10.75" style="2825" customWidth="1"/>
    <col min="13070" max="13070" width="10" style="2825" customWidth="1"/>
    <col min="13071" max="13072" width="10.5" style="2825" bestFit="1" customWidth="1"/>
    <col min="13073" max="13073" width="10" style="2825" customWidth="1"/>
    <col min="13074" max="13074" width="10.125" style="2825" customWidth="1"/>
    <col min="13075" max="13075" width="10" style="2825" customWidth="1"/>
    <col min="13076" max="13076" width="26.125" style="2825" customWidth="1"/>
    <col min="13077" max="13312" width="8.875" style="2825"/>
    <col min="13313" max="13313" width="9.5" style="2825" customWidth="1"/>
    <col min="13314" max="13314" width="8.875" style="2825"/>
    <col min="13315" max="13317" width="12.875" style="2825" customWidth="1"/>
    <col min="13318" max="13318" width="47.5" style="2825" customWidth="1"/>
    <col min="13319" max="13319" width="13" style="2825" customWidth="1"/>
    <col min="13320" max="13321" width="8.875" style="2825"/>
    <col min="13322" max="13322" width="5.75" style="2825" customWidth="1"/>
    <col min="13323" max="13323" width="11.75" style="2825" customWidth="1"/>
    <col min="13324" max="13325" width="10.75" style="2825" customWidth="1"/>
    <col min="13326" max="13326" width="10" style="2825" customWidth="1"/>
    <col min="13327" max="13328" width="10.5" style="2825" bestFit="1" customWidth="1"/>
    <col min="13329" max="13329" width="10" style="2825" customWidth="1"/>
    <col min="13330" max="13330" width="10.125" style="2825" customWidth="1"/>
    <col min="13331" max="13331" width="10" style="2825" customWidth="1"/>
    <col min="13332" max="13332" width="26.125" style="2825" customWidth="1"/>
    <col min="13333" max="13568" width="8.875" style="2825"/>
    <col min="13569" max="13569" width="9.5" style="2825" customWidth="1"/>
    <col min="13570" max="13570" width="8.875" style="2825"/>
    <col min="13571" max="13573" width="12.875" style="2825" customWidth="1"/>
    <col min="13574" max="13574" width="47.5" style="2825" customWidth="1"/>
    <col min="13575" max="13575" width="13" style="2825" customWidth="1"/>
    <col min="13576" max="13577" width="8.875" style="2825"/>
    <col min="13578" max="13578" width="5.75" style="2825" customWidth="1"/>
    <col min="13579" max="13579" width="11.75" style="2825" customWidth="1"/>
    <col min="13580" max="13581" width="10.75" style="2825" customWidth="1"/>
    <col min="13582" max="13582" width="10" style="2825" customWidth="1"/>
    <col min="13583" max="13584" width="10.5" style="2825" bestFit="1" customWidth="1"/>
    <col min="13585" max="13585" width="10" style="2825" customWidth="1"/>
    <col min="13586" max="13586" width="10.125" style="2825" customWidth="1"/>
    <col min="13587" max="13587" width="10" style="2825" customWidth="1"/>
    <col min="13588" max="13588" width="26.125" style="2825" customWidth="1"/>
    <col min="13589" max="13824" width="8.875" style="2825"/>
    <col min="13825" max="13825" width="9.5" style="2825" customWidth="1"/>
    <col min="13826" max="13826" width="8.875" style="2825"/>
    <col min="13827" max="13829" width="12.875" style="2825" customWidth="1"/>
    <col min="13830" max="13830" width="47.5" style="2825" customWidth="1"/>
    <col min="13831" max="13831" width="13" style="2825" customWidth="1"/>
    <col min="13832" max="13833" width="8.875" style="2825"/>
    <col min="13834" max="13834" width="5.75" style="2825" customWidth="1"/>
    <col min="13835" max="13835" width="11.75" style="2825" customWidth="1"/>
    <col min="13836" max="13837" width="10.75" style="2825" customWidth="1"/>
    <col min="13838" max="13838" width="10" style="2825" customWidth="1"/>
    <col min="13839" max="13840" width="10.5" style="2825" bestFit="1" customWidth="1"/>
    <col min="13841" max="13841" width="10" style="2825" customWidth="1"/>
    <col min="13842" max="13842" width="10.125" style="2825" customWidth="1"/>
    <col min="13843" max="13843" width="10" style="2825" customWidth="1"/>
    <col min="13844" max="13844" width="26.125" style="2825" customWidth="1"/>
    <col min="13845" max="14080" width="8.875" style="2825"/>
    <col min="14081" max="14081" width="9.5" style="2825" customWidth="1"/>
    <col min="14082" max="14082" width="8.875" style="2825"/>
    <col min="14083" max="14085" width="12.875" style="2825" customWidth="1"/>
    <col min="14086" max="14086" width="47.5" style="2825" customWidth="1"/>
    <col min="14087" max="14087" width="13" style="2825" customWidth="1"/>
    <col min="14088" max="14089" width="8.875" style="2825"/>
    <col min="14090" max="14090" width="5.75" style="2825" customWidth="1"/>
    <col min="14091" max="14091" width="11.75" style="2825" customWidth="1"/>
    <col min="14092" max="14093" width="10.75" style="2825" customWidth="1"/>
    <col min="14094" max="14094" width="10" style="2825" customWidth="1"/>
    <col min="14095" max="14096" width="10.5" style="2825" bestFit="1" customWidth="1"/>
    <col min="14097" max="14097" width="10" style="2825" customWidth="1"/>
    <col min="14098" max="14098" width="10.125" style="2825" customWidth="1"/>
    <col min="14099" max="14099" width="10" style="2825" customWidth="1"/>
    <col min="14100" max="14100" width="26.125" style="2825" customWidth="1"/>
    <col min="14101" max="14336" width="8.875" style="2825"/>
    <col min="14337" max="14337" width="9.5" style="2825" customWidth="1"/>
    <col min="14338" max="14338" width="8.875" style="2825"/>
    <col min="14339" max="14341" width="12.875" style="2825" customWidth="1"/>
    <col min="14342" max="14342" width="47.5" style="2825" customWidth="1"/>
    <col min="14343" max="14343" width="13" style="2825" customWidth="1"/>
    <col min="14344" max="14345" width="8.875" style="2825"/>
    <col min="14346" max="14346" width="5.75" style="2825" customWidth="1"/>
    <col min="14347" max="14347" width="11.75" style="2825" customWidth="1"/>
    <col min="14348" max="14349" width="10.75" style="2825" customWidth="1"/>
    <col min="14350" max="14350" width="10" style="2825" customWidth="1"/>
    <col min="14351" max="14352" width="10.5" style="2825" bestFit="1" customWidth="1"/>
    <col min="14353" max="14353" width="10" style="2825" customWidth="1"/>
    <col min="14354" max="14354" width="10.125" style="2825" customWidth="1"/>
    <col min="14355" max="14355" width="10" style="2825" customWidth="1"/>
    <col min="14356" max="14356" width="26.125" style="2825" customWidth="1"/>
    <col min="14357" max="14592" width="8.875" style="2825"/>
    <col min="14593" max="14593" width="9.5" style="2825" customWidth="1"/>
    <col min="14594" max="14594" width="8.875" style="2825"/>
    <col min="14595" max="14597" width="12.875" style="2825" customWidth="1"/>
    <col min="14598" max="14598" width="47.5" style="2825" customWidth="1"/>
    <col min="14599" max="14599" width="13" style="2825" customWidth="1"/>
    <col min="14600" max="14601" width="8.875" style="2825"/>
    <col min="14602" max="14602" width="5.75" style="2825" customWidth="1"/>
    <col min="14603" max="14603" width="11.75" style="2825" customWidth="1"/>
    <col min="14604" max="14605" width="10.75" style="2825" customWidth="1"/>
    <col min="14606" max="14606" width="10" style="2825" customWidth="1"/>
    <col min="14607" max="14608" width="10.5" style="2825" bestFit="1" customWidth="1"/>
    <col min="14609" max="14609" width="10" style="2825" customWidth="1"/>
    <col min="14610" max="14610" width="10.125" style="2825" customWidth="1"/>
    <col min="14611" max="14611" width="10" style="2825" customWidth="1"/>
    <col min="14612" max="14612" width="26.125" style="2825" customWidth="1"/>
    <col min="14613" max="14848" width="8.875" style="2825"/>
    <col min="14849" max="14849" width="9.5" style="2825" customWidth="1"/>
    <col min="14850" max="14850" width="8.875" style="2825"/>
    <col min="14851" max="14853" width="12.875" style="2825" customWidth="1"/>
    <col min="14854" max="14854" width="47.5" style="2825" customWidth="1"/>
    <col min="14855" max="14855" width="13" style="2825" customWidth="1"/>
    <col min="14856" max="14857" width="8.875" style="2825"/>
    <col min="14858" max="14858" width="5.75" style="2825" customWidth="1"/>
    <col min="14859" max="14859" width="11.75" style="2825" customWidth="1"/>
    <col min="14860" max="14861" width="10.75" style="2825" customWidth="1"/>
    <col min="14862" max="14862" width="10" style="2825" customWidth="1"/>
    <col min="14863" max="14864" width="10.5" style="2825" bestFit="1" customWidth="1"/>
    <col min="14865" max="14865" width="10" style="2825" customWidth="1"/>
    <col min="14866" max="14866" width="10.125" style="2825" customWidth="1"/>
    <col min="14867" max="14867" width="10" style="2825" customWidth="1"/>
    <col min="14868" max="14868" width="26.125" style="2825" customWidth="1"/>
    <col min="14869" max="15104" width="8.875" style="2825"/>
    <col min="15105" max="15105" width="9.5" style="2825" customWidth="1"/>
    <col min="15106" max="15106" width="8.875" style="2825"/>
    <col min="15107" max="15109" width="12.875" style="2825" customWidth="1"/>
    <col min="15110" max="15110" width="47.5" style="2825" customWidth="1"/>
    <col min="15111" max="15111" width="13" style="2825" customWidth="1"/>
    <col min="15112" max="15113" width="8.875" style="2825"/>
    <col min="15114" max="15114" width="5.75" style="2825" customWidth="1"/>
    <col min="15115" max="15115" width="11.75" style="2825" customWidth="1"/>
    <col min="15116" max="15117" width="10.75" style="2825" customWidth="1"/>
    <col min="15118" max="15118" width="10" style="2825" customWidth="1"/>
    <col min="15119" max="15120" width="10.5" style="2825" bestFit="1" customWidth="1"/>
    <col min="15121" max="15121" width="10" style="2825" customWidth="1"/>
    <col min="15122" max="15122" width="10.125" style="2825" customWidth="1"/>
    <col min="15123" max="15123" width="10" style="2825" customWidth="1"/>
    <col min="15124" max="15124" width="26.125" style="2825" customWidth="1"/>
    <col min="15125" max="15360" width="8.875" style="2825"/>
    <col min="15361" max="15361" width="9.5" style="2825" customWidth="1"/>
    <col min="15362" max="15362" width="8.875" style="2825"/>
    <col min="15363" max="15365" width="12.875" style="2825" customWidth="1"/>
    <col min="15366" max="15366" width="47.5" style="2825" customWidth="1"/>
    <col min="15367" max="15367" width="13" style="2825" customWidth="1"/>
    <col min="15368" max="15369" width="8.875" style="2825"/>
    <col min="15370" max="15370" width="5.75" style="2825" customWidth="1"/>
    <col min="15371" max="15371" width="11.75" style="2825" customWidth="1"/>
    <col min="15372" max="15373" width="10.75" style="2825" customWidth="1"/>
    <col min="15374" max="15374" width="10" style="2825" customWidth="1"/>
    <col min="15375" max="15376" width="10.5" style="2825" bestFit="1" customWidth="1"/>
    <col min="15377" max="15377" width="10" style="2825" customWidth="1"/>
    <col min="15378" max="15378" width="10.125" style="2825" customWidth="1"/>
    <col min="15379" max="15379" width="10" style="2825" customWidth="1"/>
    <col min="15380" max="15380" width="26.125" style="2825" customWidth="1"/>
    <col min="15381" max="15616" width="8.875" style="2825"/>
    <col min="15617" max="15617" width="9.5" style="2825" customWidth="1"/>
    <col min="15618" max="15618" width="8.875" style="2825"/>
    <col min="15619" max="15621" width="12.875" style="2825" customWidth="1"/>
    <col min="15622" max="15622" width="47.5" style="2825" customWidth="1"/>
    <col min="15623" max="15623" width="13" style="2825" customWidth="1"/>
    <col min="15624" max="15625" width="8.875" style="2825"/>
    <col min="15626" max="15626" width="5.75" style="2825" customWidth="1"/>
    <col min="15627" max="15627" width="11.75" style="2825" customWidth="1"/>
    <col min="15628" max="15629" width="10.75" style="2825" customWidth="1"/>
    <col min="15630" max="15630" width="10" style="2825" customWidth="1"/>
    <col min="15631" max="15632" width="10.5" style="2825" bestFit="1" customWidth="1"/>
    <col min="15633" max="15633" width="10" style="2825" customWidth="1"/>
    <col min="15634" max="15634" width="10.125" style="2825" customWidth="1"/>
    <col min="15635" max="15635" width="10" style="2825" customWidth="1"/>
    <col min="15636" max="15636" width="26.125" style="2825" customWidth="1"/>
    <col min="15637" max="15872" width="8.875" style="2825"/>
    <col min="15873" max="15873" width="9.5" style="2825" customWidth="1"/>
    <col min="15874" max="15874" width="8.875" style="2825"/>
    <col min="15875" max="15877" width="12.875" style="2825" customWidth="1"/>
    <col min="15878" max="15878" width="47.5" style="2825" customWidth="1"/>
    <col min="15879" max="15879" width="13" style="2825" customWidth="1"/>
    <col min="15880" max="15881" width="8.875" style="2825"/>
    <col min="15882" max="15882" width="5.75" style="2825" customWidth="1"/>
    <col min="15883" max="15883" width="11.75" style="2825" customWidth="1"/>
    <col min="15884" max="15885" width="10.75" style="2825" customWidth="1"/>
    <col min="15886" max="15886" width="10" style="2825" customWidth="1"/>
    <col min="15887" max="15888" width="10.5" style="2825" bestFit="1" customWidth="1"/>
    <col min="15889" max="15889" width="10" style="2825" customWidth="1"/>
    <col min="15890" max="15890" width="10.125" style="2825" customWidth="1"/>
    <col min="15891" max="15891" width="10" style="2825" customWidth="1"/>
    <col min="15892" max="15892" width="26.125" style="2825" customWidth="1"/>
    <col min="15893" max="16128" width="8.875" style="2825"/>
    <col min="16129" max="16129" width="9.5" style="2825" customWidth="1"/>
    <col min="16130" max="16130" width="8.875" style="2825"/>
    <col min="16131" max="16133" width="12.875" style="2825" customWidth="1"/>
    <col min="16134" max="16134" width="47.5" style="2825" customWidth="1"/>
    <col min="16135" max="16135" width="13" style="2825" customWidth="1"/>
    <col min="16136" max="16137" width="8.875" style="2825"/>
    <col min="16138" max="16138" width="5.75" style="2825" customWidth="1"/>
    <col min="16139" max="16139" width="11.75" style="2825" customWidth="1"/>
    <col min="16140" max="16141" width="10.75" style="2825" customWidth="1"/>
    <col min="16142" max="16142" width="10" style="2825" customWidth="1"/>
    <col min="16143" max="16144" width="10.5" style="2825" bestFit="1" customWidth="1"/>
    <col min="16145" max="16145" width="10" style="2825" customWidth="1"/>
    <col min="16146" max="16146" width="10.125" style="2825" customWidth="1"/>
    <col min="16147" max="16147" width="10" style="2825" customWidth="1"/>
    <col min="16148" max="16148" width="26.125" style="2825" customWidth="1"/>
    <col min="16149" max="16384" width="8.875" style="2825"/>
  </cols>
  <sheetData>
    <row r="1" spans="1:22" ht="21" customHeight="1">
      <c r="A1" s="2814" t="s">
        <v>2428</v>
      </c>
      <c r="B1" s="2815"/>
      <c r="C1" s="2828"/>
      <c r="D1" s="2828"/>
      <c r="E1" s="2816"/>
      <c r="F1" s="2817"/>
      <c r="G1" s="2818"/>
      <c r="J1" s="2821" t="s">
        <v>2285</v>
      </c>
      <c r="K1" s="2822"/>
      <c r="L1" s="2822"/>
      <c r="M1" s="2822"/>
      <c r="N1" s="2822"/>
      <c r="O1" s="2822"/>
      <c r="P1" s="2822"/>
      <c r="Q1" s="2822"/>
      <c r="R1" s="2823"/>
      <c r="S1" s="2824"/>
      <c r="T1" s="2824"/>
      <c r="U1" s="2824"/>
    </row>
    <row r="2" spans="1:22" s="2837" customFormat="1" ht="13.15" customHeight="1">
      <c r="A2" s="2826" t="s">
        <v>2286</v>
      </c>
      <c r="B2" s="2827" t="e">
        <f>C40</f>
        <v>#DIV/0!</v>
      </c>
      <c r="C2" s="2828" t="s">
        <v>2287</v>
      </c>
      <c r="D2" s="2828"/>
      <c r="E2" s="2829"/>
      <c r="F2" s="2830"/>
      <c r="G2" s="2831"/>
      <c r="H2" s="2832"/>
      <c r="I2" s="2833"/>
      <c r="J2" s="3704" t="s">
        <v>2288</v>
      </c>
      <c r="K2" s="3705"/>
      <c r="L2" s="2834" t="s">
        <v>2289</v>
      </c>
      <c r="M2" s="2834" t="s">
        <v>2290</v>
      </c>
      <c r="N2" s="2834" t="s">
        <v>2291</v>
      </c>
      <c r="O2" s="2834" t="s">
        <v>2292</v>
      </c>
      <c r="P2" s="2834" t="s">
        <v>2293</v>
      </c>
      <c r="Q2" s="2835" t="s">
        <v>2294</v>
      </c>
      <c r="R2" s="2836" t="s">
        <v>2295</v>
      </c>
      <c r="S2" s="2824"/>
      <c r="T2" s="2824"/>
      <c r="U2" s="2824"/>
      <c r="V2" s="2833"/>
    </row>
    <row r="3" spans="1:22" s="2837" customFormat="1" ht="13.15" customHeight="1">
      <c r="A3" s="2838" t="s">
        <v>2296</v>
      </c>
      <c r="B3" s="2839" t="e">
        <f>ROUND(B2*10000/B4,0)</f>
        <v>#DIV/0!</v>
      </c>
      <c r="C3" s="2828" t="s">
        <v>2297</v>
      </c>
      <c r="D3" s="2828"/>
      <c r="E3" s="2829"/>
      <c r="F3" s="2830"/>
      <c r="G3" s="2831"/>
      <c r="H3" s="2832"/>
      <c r="I3" s="2833"/>
      <c r="J3" s="3706" t="s">
        <v>2298</v>
      </c>
      <c r="K3" s="3707"/>
      <c r="L3" s="2840"/>
      <c r="M3" s="2840"/>
      <c r="N3" s="2840"/>
      <c r="O3" s="2840"/>
      <c r="P3" s="2840"/>
      <c r="Q3" s="2841"/>
      <c r="R3" s="2842">
        <f>SUM(L3:Q3)</f>
        <v>0</v>
      </c>
      <c r="S3" s="2824"/>
      <c r="T3" s="2824"/>
      <c r="U3" s="2824"/>
      <c r="V3" s="2833"/>
    </row>
    <row r="4" spans="1:22" s="2837" customFormat="1" ht="13.15" customHeight="1">
      <c r="A4" s="2843" t="s">
        <v>2299</v>
      </c>
      <c r="B4" s="2844"/>
      <c r="C4" s="2828"/>
      <c r="D4" s="2828"/>
      <c r="E4" s="2829"/>
      <c r="F4" s="2830"/>
      <c r="G4" s="2831"/>
      <c r="H4" s="2832"/>
      <c r="I4" s="2833"/>
      <c r="J4" s="3706" t="s">
        <v>2300</v>
      </c>
      <c r="K4" s="3707"/>
      <c r="L4" s="2845"/>
      <c r="M4" s="2845"/>
      <c r="N4" s="2845"/>
      <c r="O4" s="2845"/>
      <c r="P4" s="2845"/>
      <c r="Q4" s="2846"/>
      <c r="R4" s="2847">
        <f>SUM(L4:Q4)</f>
        <v>0</v>
      </c>
      <c r="S4" s="2824"/>
      <c r="T4" s="2824"/>
      <c r="U4" s="2824"/>
      <c r="V4" s="2833"/>
    </row>
    <row r="5" spans="1:22" s="2837" customFormat="1" ht="13.15" customHeight="1" thickBot="1">
      <c r="A5" s="2848" t="s">
        <v>2301</v>
      </c>
      <c r="B5" s="2849"/>
      <c r="C5" s="2828"/>
      <c r="D5" s="2850"/>
      <c r="E5" s="2830"/>
      <c r="F5" s="2830"/>
      <c r="G5" s="2831"/>
      <c r="H5" s="2832"/>
      <c r="I5" s="2833"/>
      <c r="J5" s="2851" t="s">
        <v>2302</v>
      </c>
      <c r="K5" s="2852"/>
      <c r="L5" s="2852"/>
      <c r="M5" s="2853"/>
      <c r="N5" s="2853"/>
      <c r="O5" s="2853"/>
      <c r="P5" s="2853"/>
      <c r="Q5" s="2853"/>
      <c r="R5" s="2836">
        <f>SUM(R14,R19,R24,R25,R27,R28)</f>
        <v>0</v>
      </c>
      <c r="S5" s="2824"/>
      <c r="T5" s="2824" t="s">
        <v>2303</v>
      </c>
      <c r="U5" s="2824" t="e">
        <f>ROUND(R5*10000/365/R3,1)</f>
        <v>#DIV/0!</v>
      </c>
      <c r="V5" s="2833"/>
    </row>
    <row r="6" spans="1:22" s="2837" customFormat="1" ht="13.15" customHeight="1" thickBot="1">
      <c r="A6" s="3708" t="s">
        <v>2304</v>
      </c>
      <c r="B6" s="3709"/>
      <c r="C6" s="3710"/>
      <c r="D6" s="2854"/>
      <c r="E6" s="2855"/>
      <c r="F6" s="2856"/>
      <c r="G6" s="2857"/>
      <c r="H6" s="2832"/>
      <c r="I6" s="2833"/>
      <c r="J6" s="3711">
        <v>1</v>
      </c>
      <c r="K6" s="3712" t="s">
        <v>2305</v>
      </c>
      <c r="L6" s="2858" t="s">
        <v>2306</v>
      </c>
      <c r="M6" s="2859" t="s">
        <v>2307</v>
      </c>
      <c r="N6" s="2859" t="s">
        <v>2308</v>
      </c>
      <c r="O6" s="2859" t="s">
        <v>2309</v>
      </c>
      <c r="P6" s="2859" t="s">
        <v>2310</v>
      </c>
      <c r="Q6" s="2859" t="s">
        <v>2311</v>
      </c>
      <c r="R6" s="2842" t="s">
        <v>2312</v>
      </c>
      <c r="S6" s="2824"/>
      <c r="T6" s="2824" t="s">
        <v>2313</v>
      </c>
      <c r="U6" s="2824"/>
      <c r="V6" s="2833"/>
    </row>
    <row r="7" spans="1:22" s="2837" customFormat="1" ht="13.15" customHeight="1">
      <c r="A7" s="2860" t="s">
        <v>2314</v>
      </c>
      <c r="B7" s="2861"/>
      <c r="C7" s="2862"/>
      <c r="D7" s="2863">
        <f>SUM(D9,D10,D11,D17,0)</f>
        <v>0</v>
      </c>
      <c r="E7" s="2864" t="e">
        <f>E9+E10+E11+E17</f>
        <v>#DIV/0!</v>
      </c>
      <c r="F7" s="2865"/>
      <c r="G7" s="2866"/>
      <c r="H7" s="2832"/>
      <c r="I7" s="2833"/>
      <c r="J7" s="3711"/>
      <c r="K7" s="3713"/>
      <c r="L7" s="2867" t="s">
        <v>2315</v>
      </c>
      <c r="M7" s="2868"/>
      <c r="N7" s="2844"/>
      <c r="O7" s="2869"/>
      <c r="P7" s="2869"/>
      <c r="Q7" s="2870">
        <v>365</v>
      </c>
      <c r="R7" s="2871">
        <f>ROUND(M7*N7*O7*P7*Q7/10000,0)</f>
        <v>0</v>
      </c>
      <c r="S7" s="2824"/>
      <c r="T7" s="2824" t="s">
        <v>2316</v>
      </c>
      <c r="U7" s="2824"/>
      <c r="V7" s="2833"/>
    </row>
    <row r="8" spans="1:22" s="2837" customFormat="1" ht="13.15" customHeight="1">
      <c r="A8" s="2872" t="s">
        <v>2317</v>
      </c>
      <c r="B8" s="3715" t="s">
        <v>2318</v>
      </c>
      <c r="C8" s="3716"/>
      <c r="D8" s="2873" t="s">
        <v>2319</v>
      </c>
      <c r="E8" s="2874" t="s">
        <v>2320</v>
      </c>
      <c r="F8" s="2875" t="s">
        <v>2321</v>
      </c>
      <c r="G8" s="2876"/>
      <c r="H8" s="2832"/>
      <c r="I8" s="2833"/>
      <c r="J8" s="3711"/>
      <c r="K8" s="3713"/>
      <c r="L8" s="2867" t="s">
        <v>2322</v>
      </c>
      <c r="M8" s="2868"/>
      <c r="N8" s="2844"/>
      <c r="O8" s="2869"/>
      <c r="P8" s="2869"/>
      <c r="Q8" s="2870">
        <v>365</v>
      </c>
      <c r="R8" s="2871">
        <f t="shared" ref="R8:R13" si="0">ROUND(M8*N8*O8*P8*Q8/10000,0)</f>
        <v>0</v>
      </c>
      <c r="S8" s="2824"/>
      <c r="T8" s="2824" t="s">
        <v>2323</v>
      </c>
      <c r="U8" s="2824"/>
      <c r="V8" s="2833"/>
    </row>
    <row r="9" spans="1:22" s="2837" customFormat="1" ht="13.15" customHeight="1">
      <c r="A9" s="2872">
        <v>1</v>
      </c>
      <c r="B9" s="3715" t="s">
        <v>2324</v>
      </c>
      <c r="C9" s="3716"/>
      <c r="D9" s="2873">
        <f>ROUND(D6*E9,0)</f>
        <v>0</v>
      </c>
      <c r="E9" s="2877"/>
      <c r="F9" s="2878" t="s">
        <v>2325</v>
      </c>
      <c r="G9" s="2857"/>
      <c r="H9" s="2832"/>
      <c r="I9" s="2833"/>
      <c r="J9" s="3711"/>
      <c r="K9" s="3713"/>
      <c r="L9" s="2867" t="s">
        <v>2326</v>
      </c>
      <c r="M9" s="2868"/>
      <c r="N9" s="2844"/>
      <c r="O9" s="2869"/>
      <c r="P9" s="2869"/>
      <c r="Q9" s="2870">
        <v>365</v>
      </c>
      <c r="R9" s="2871">
        <f t="shared" si="0"/>
        <v>0</v>
      </c>
      <c r="S9" s="2824"/>
      <c r="T9" s="2824"/>
      <c r="U9" s="2824"/>
      <c r="V9" s="2833"/>
    </row>
    <row r="10" spans="1:22" s="2837" customFormat="1" ht="13.15" customHeight="1">
      <c r="A10" s="2872">
        <v>2</v>
      </c>
      <c r="B10" s="3715" t="s">
        <v>2327</v>
      </c>
      <c r="C10" s="3716"/>
      <c r="D10" s="2873">
        <f>ROUND(D6*E10,0)</f>
        <v>0</v>
      </c>
      <c r="E10" s="2877"/>
      <c r="F10" s="2878" t="s">
        <v>2328</v>
      </c>
      <c r="G10" s="2857"/>
      <c r="H10" s="2832"/>
      <c r="I10" s="2833"/>
      <c r="J10" s="3711"/>
      <c r="K10" s="3713"/>
      <c r="L10" s="2867" t="s">
        <v>2329</v>
      </c>
      <c r="M10" s="2868"/>
      <c r="N10" s="2844"/>
      <c r="O10" s="2869"/>
      <c r="P10" s="2869"/>
      <c r="Q10" s="2870">
        <v>365</v>
      </c>
      <c r="R10" s="2871">
        <f t="shared" si="0"/>
        <v>0</v>
      </c>
      <c r="S10" s="2824"/>
      <c r="T10" s="2824"/>
      <c r="U10" s="2824"/>
      <c r="V10" s="2833"/>
    </row>
    <row r="11" spans="1:22" s="2837" customFormat="1" ht="13.15" customHeight="1">
      <c r="A11" s="2872">
        <v>3</v>
      </c>
      <c r="B11" s="3715" t="s">
        <v>2330</v>
      </c>
      <c r="C11" s="3716"/>
      <c r="D11" s="2873">
        <f>D12+D14+D15+D16</f>
        <v>0</v>
      </c>
      <c r="E11" s="2879" t="e">
        <f>D11/D6</f>
        <v>#DIV/0!</v>
      </c>
      <c r="F11" s="2875"/>
      <c r="G11" s="2876"/>
      <c r="H11" s="2832"/>
      <c r="I11" s="2833"/>
      <c r="J11" s="3711"/>
      <c r="K11" s="3713"/>
      <c r="L11" s="2867" t="s">
        <v>2331</v>
      </c>
      <c r="M11" s="2868"/>
      <c r="N11" s="2844"/>
      <c r="O11" s="2869"/>
      <c r="P11" s="2869"/>
      <c r="Q11" s="2870">
        <v>365</v>
      </c>
      <c r="R11" s="2871">
        <f t="shared" si="0"/>
        <v>0</v>
      </c>
      <c r="S11" s="2824"/>
      <c r="T11" s="2824"/>
      <c r="U11" s="2824"/>
      <c r="V11" s="2833"/>
    </row>
    <row r="12" spans="1:22" s="2837" customFormat="1" ht="13.15" customHeight="1">
      <c r="A12" s="2880" t="s">
        <v>2332</v>
      </c>
      <c r="B12" s="3717" t="s">
        <v>2333</v>
      </c>
      <c r="C12" s="3718"/>
      <c r="D12" s="2881">
        <f>ROUND(D13*1.2%*(1-30%),0)</f>
        <v>0</v>
      </c>
      <c r="E12" s="2882">
        <v>1.2E-2</v>
      </c>
      <c r="F12" s="2875" t="s">
        <v>2334</v>
      </c>
      <c r="G12" s="2876"/>
      <c r="H12" s="2832"/>
      <c r="I12" s="2833"/>
      <c r="J12" s="3711"/>
      <c r="K12" s="3713"/>
      <c r="L12" s="2867" t="s">
        <v>2335</v>
      </c>
      <c r="M12" s="2868"/>
      <c r="N12" s="2844"/>
      <c r="O12" s="2869"/>
      <c r="P12" s="2869"/>
      <c r="Q12" s="2870">
        <v>365</v>
      </c>
      <c r="R12" s="2871">
        <f t="shared" si="0"/>
        <v>0</v>
      </c>
      <c r="S12" s="2824"/>
      <c r="T12" s="2824"/>
      <c r="U12" s="2824"/>
      <c r="V12" s="2833"/>
    </row>
    <row r="13" spans="1:22" s="2837" customFormat="1" ht="13.15" customHeight="1">
      <c r="A13" s="2880"/>
      <c r="B13" s="2883"/>
      <c r="C13" s="2884" t="s">
        <v>2336</v>
      </c>
      <c r="D13" s="2885"/>
      <c r="E13" s="2886"/>
      <c r="F13" s="2875"/>
      <c r="G13" s="2876"/>
      <c r="H13" s="2832"/>
      <c r="I13" s="2833"/>
      <c r="J13" s="3711"/>
      <c r="K13" s="3713"/>
      <c r="L13" s="2867" t="s">
        <v>2337</v>
      </c>
      <c r="M13" s="2868"/>
      <c r="N13" s="2844"/>
      <c r="O13" s="2869"/>
      <c r="P13" s="2869"/>
      <c r="Q13" s="2870">
        <v>365</v>
      </c>
      <c r="R13" s="2871">
        <f t="shared" si="0"/>
        <v>0</v>
      </c>
      <c r="S13" s="2824"/>
      <c r="T13" s="2824"/>
      <c r="U13" s="2824"/>
      <c r="V13" s="2833"/>
    </row>
    <row r="14" spans="1:22" s="2837" customFormat="1" ht="13.15" customHeight="1">
      <c r="A14" s="2880" t="s">
        <v>2338</v>
      </c>
      <c r="B14" s="3717" t="s">
        <v>2339</v>
      </c>
      <c r="C14" s="3718"/>
      <c r="D14" s="2881">
        <f>ROUND(E14*B5/10000,0)</f>
        <v>0</v>
      </c>
      <c r="E14" s="2870"/>
      <c r="F14" s="2875" t="s">
        <v>2340</v>
      </c>
      <c r="G14" s="2876"/>
      <c r="H14" s="2832"/>
      <c r="I14" s="2833"/>
      <c r="J14" s="3711"/>
      <c r="K14" s="3714"/>
      <c r="L14" s="2887" t="s">
        <v>2341</v>
      </c>
      <c r="M14" s="2888">
        <f>SUM(M7:M13)</f>
        <v>0</v>
      </c>
      <c r="N14" s="2888" t="e">
        <f>ROUND((N7*M7+N8*M8+N9*M9+N10*M10+N11*M11+N12*M12+N13*M13)/M14,0)</f>
        <v>#DIV/0!</v>
      </c>
      <c r="O14" s="2889"/>
      <c r="P14" s="2889"/>
      <c r="Q14" s="2890"/>
      <c r="R14" s="2836">
        <f>SUM(R7:R13)</f>
        <v>0</v>
      </c>
      <c r="S14" s="2824"/>
      <c r="T14" s="2824"/>
      <c r="U14" s="2824"/>
      <c r="V14" s="2833"/>
    </row>
    <row r="15" spans="1:22" s="2837" customFormat="1" ht="13.15" customHeight="1">
      <c r="A15" s="2880" t="s">
        <v>2342</v>
      </c>
      <c r="B15" s="3717" t="s">
        <v>2343</v>
      </c>
      <c r="C15" s="3718"/>
      <c r="D15" s="2881">
        <f>ROUND(D6*E15,0)</f>
        <v>0</v>
      </c>
      <c r="E15" s="2882">
        <v>5.5E-2</v>
      </c>
      <c r="F15" s="2875" t="s">
        <v>2344</v>
      </c>
      <c r="G15" s="2857"/>
      <c r="H15" s="2832"/>
      <c r="I15" s="2833"/>
      <c r="J15" s="3711">
        <v>2</v>
      </c>
      <c r="K15" s="3712" t="s">
        <v>2345</v>
      </c>
      <c r="L15" s="2867" t="s">
        <v>2346</v>
      </c>
      <c r="M15" s="2868" t="s">
        <v>2347</v>
      </c>
      <c r="N15" s="2868" t="s">
        <v>2348</v>
      </c>
      <c r="O15" s="2869" t="s">
        <v>2349</v>
      </c>
      <c r="P15" s="2869" t="s">
        <v>2350</v>
      </c>
      <c r="Q15" s="2844" t="s">
        <v>2351</v>
      </c>
      <c r="R15" s="2891" t="s">
        <v>2352</v>
      </c>
      <c r="S15" s="2824"/>
      <c r="T15" s="2824"/>
      <c r="U15" s="2824"/>
      <c r="V15" s="2833"/>
    </row>
    <row r="16" spans="1:22" s="2837" customFormat="1" ht="13.15" customHeight="1">
      <c r="A16" s="2880" t="s">
        <v>2353</v>
      </c>
      <c r="B16" s="3717" t="s">
        <v>2354</v>
      </c>
      <c r="C16" s="3718"/>
      <c r="D16" s="2892">
        <f>D6*E16</f>
        <v>0</v>
      </c>
      <c r="E16" s="2893"/>
      <c r="F16" s="2878" t="s">
        <v>2355</v>
      </c>
      <c r="G16" s="2857"/>
      <c r="H16" s="2832"/>
      <c r="I16" s="2833"/>
      <c r="J16" s="3711"/>
      <c r="K16" s="3713"/>
      <c r="L16" s="2867" t="s">
        <v>2356</v>
      </c>
      <c r="M16" s="2868"/>
      <c r="N16" s="2868"/>
      <c r="O16" s="2869"/>
      <c r="P16" s="2870">
        <v>365</v>
      </c>
      <c r="Q16" s="2844"/>
      <c r="R16" s="2891">
        <f>ROUND(M16*N16*O16*P16/10000,0)</f>
        <v>0</v>
      </c>
      <c r="S16" s="2824"/>
      <c r="T16" s="2824"/>
      <c r="U16" s="2824"/>
      <c r="V16" s="2833"/>
    </row>
    <row r="17" spans="1:22" s="2837" customFormat="1" ht="13.15" customHeight="1" thickBot="1">
      <c r="A17" s="2894">
        <v>4</v>
      </c>
      <c r="B17" s="3719" t="s">
        <v>2357</v>
      </c>
      <c r="C17" s="3720"/>
      <c r="D17" s="2895">
        <f>ROUND(D6*E17,0)</f>
        <v>0</v>
      </c>
      <c r="E17" s="2896"/>
      <c r="F17" s="2897" t="s">
        <v>2358</v>
      </c>
      <c r="G17" s="2857"/>
      <c r="H17" s="2832"/>
      <c r="I17" s="2833"/>
      <c r="J17" s="3711"/>
      <c r="K17" s="3713"/>
      <c r="L17" s="2867" t="s">
        <v>2359</v>
      </c>
      <c r="M17" s="2868"/>
      <c r="N17" s="2868"/>
      <c r="O17" s="2869"/>
      <c r="P17" s="2870">
        <v>365</v>
      </c>
      <c r="Q17" s="2844"/>
      <c r="R17" s="2891">
        <f>ROUND(M17*N17*O17*P17/10000,0)</f>
        <v>0</v>
      </c>
      <c r="S17" s="2824"/>
      <c r="T17" s="2824"/>
      <c r="U17" s="2824"/>
      <c r="V17" s="2833"/>
    </row>
    <row r="18" spans="1:22" s="2837" customFormat="1" ht="13.15" customHeight="1" thickBot="1">
      <c r="A18" s="2860" t="s">
        <v>2360</v>
      </c>
      <c r="B18" s="2861"/>
      <c r="C18" s="2861"/>
      <c r="D18" s="2898">
        <f>ROUND(D6*E18,0)</f>
        <v>0</v>
      </c>
      <c r="E18" s="2899"/>
      <c r="F18" s="2900" t="s">
        <v>2361</v>
      </c>
      <c r="G18" s="2857"/>
      <c r="H18" s="2832"/>
      <c r="I18" s="2833"/>
      <c r="J18" s="3711"/>
      <c r="K18" s="3713"/>
      <c r="L18" s="2867" t="s">
        <v>2362</v>
      </c>
      <c r="M18" s="2868"/>
      <c r="N18" s="2868"/>
      <c r="O18" s="2869"/>
      <c r="P18" s="2870">
        <v>365</v>
      </c>
      <c r="Q18" s="2844"/>
      <c r="R18" s="2891">
        <f>ROUND(M18*N18*O18*P18/10000,0)</f>
        <v>0</v>
      </c>
      <c r="S18" s="2824"/>
      <c r="T18" s="2824"/>
      <c r="U18" s="2824"/>
      <c r="V18" s="2833"/>
    </row>
    <row r="19" spans="1:22" s="2837" customFormat="1" ht="13.15" customHeight="1" thickBot="1">
      <c r="A19" s="2901" t="s">
        <v>2363</v>
      </c>
      <c r="B19" s="2855"/>
      <c r="C19" s="2855"/>
      <c r="D19" s="2855"/>
      <c r="E19" s="2855"/>
      <c r="F19" s="2856"/>
      <c r="G19" s="2876"/>
      <c r="H19" s="2832"/>
      <c r="I19" s="2833"/>
      <c r="J19" s="3711"/>
      <c r="K19" s="3714"/>
      <c r="L19" s="2887" t="s">
        <v>2341</v>
      </c>
      <c r="M19" s="2888"/>
      <c r="N19" s="2888">
        <f>SUM(N16:N18)</f>
        <v>0</v>
      </c>
      <c r="O19" s="2889"/>
      <c r="P19" s="2902" t="s">
        <v>2429</v>
      </c>
      <c r="Q19" s="2869"/>
      <c r="R19" s="2903">
        <f>ROUND(IF(P19="按比例",R14*Q19,SUM(R16:R18)),0)</f>
        <v>0</v>
      </c>
      <c r="S19" s="2824"/>
      <c r="T19" s="2824"/>
      <c r="U19" s="2824"/>
      <c r="V19" s="2833"/>
    </row>
    <row r="20" spans="1:22" s="2837" customFormat="1" ht="13.15" customHeight="1">
      <c r="A20" s="2860"/>
      <c r="B20" s="2861"/>
      <c r="C20" s="2861"/>
      <c r="D20" s="2861"/>
      <c r="E20" s="2861"/>
      <c r="F20" s="2904"/>
      <c r="G20" s="2876"/>
      <c r="H20" s="2832"/>
      <c r="I20" s="2833"/>
      <c r="J20" s="3711">
        <v>3</v>
      </c>
      <c r="K20" s="3712" t="s">
        <v>2364</v>
      </c>
      <c r="L20" s="2867" t="s">
        <v>2365</v>
      </c>
      <c r="M20" s="2868" t="s">
        <v>2366</v>
      </c>
      <c r="N20" s="2905" t="s">
        <v>2367</v>
      </c>
      <c r="O20" s="2869" t="s">
        <v>2368</v>
      </c>
      <c r="P20" s="2870" t="s">
        <v>2369</v>
      </c>
      <c r="Q20" s="2844" t="s">
        <v>2370</v>
      </c>
      <c r="R20" s="2891" t="s">
        <v>2312</v>
      </c>
      <c r="S20" s="2824"/>
      <c r="T20" s="2824"/>
      <c r="U20" s="2824"/>
      <c r="V20" s="2833"/>
    </row>
    <row r="21" spans="1:22" s="2837" customFormat="1" ht="13.15" customHeight="1">
      <c r="A21" s="2860"/>
      <c r="B21" s="2861"/>
      <c r="C21" s="2906" t="s">
        <v>2371</v>
      </c>
      <c r="D21" s="2907" t="s">
        <v>2372</v>
      </c>
      <c r="E21" s="2908" t="s">
        <v>2373</v>
      </c>
      <c r="F21" s="2904"/>
      <c r="G21" s="2876"/>
      <c r="H21" s="2832"/>
      <c r="I21" s="2833"/>
      <c r="J21" s="3711"/>
      <c r="K21" s="3713"/>
      <c r="L21" s="2867" t="s">
        <v>2374</v>
      </c>
      <c r="M21" s="2868"/>
      <c r="N21" s="2868"/>
      <c r="O21" s="2869"/>
      <c r="P21" s="2870">
        <v>365</v>
      </c>
      <c r="Q21" s="2844"/>
      <c r="R21" s="2909">
        <f>ROUND(M21*N21*O21*P21/10000,0)</f>
        <v>0</v>
      </c>
      <c r="S21" s="2824"/>
      <c r="T21" s="2824"/>
      <c r="U21" s="2824"/>
      <c r="V21" s="2833"/>
    </row>
    <row r="22" spans="1:22" s="2837" customFormat="1" ht="13.15" customHeight="1">
      <c r="A22" s="2860"/>
      <c r="B22" s="2861"/>
      <c r="C22" s="2910" t="s">
        <v>2375</v>
      </c>
      <c r="D22" s="2911" t="s">
        <v>2376</v>
      </c>
      <c r="E22" s="2912" t="s">
        <v>2377</v>
      </c>
      <c r="F22" s="2904"/>
      <c r="G22" s="2824"/>
      <c r="H22" s="2832"/>
      <c r="I22" s="2833"/>
      <c r="J22" s="3711"/>
      <c r="K22" s="3713"/>
      <c r="L22" s="2867" t="s">
        <v>2378</v>
      </c>
      <c r="M22" s="2868"/>
      <c r="N22" s="2868"/>
      <c r="O22" s="2869"/>
      <c r="P22" s="2870">
        <v>365</v>
      </c>
      <c r="Q22" s="2844"/>
      <c r="R22" s="2909">
        <f>ROUND(M22*N22*O22*P22/10000,0)</f>
        <v>0</v>
      </c>
      <c r="S22" s="2824"/>
      <c r="T22" s="2824"/>
      <c r="U22" s="2824"/>
      <c r="V22" s="2833"/>
    </row>
    <row r="23" spans="1:22" s="2837" customFormat="1" ht="13.15" customHeight="1">
      <c r="A23" s="2913">
        <v>1</v>
      </c>
      <c r="B23" s="2914" t="s">
        <v>2379</v>
      </c>
      <c r="C23" s="2915">
        <f>D6</f>
        <v>0</v>
      </c>
      <c r="D23" s="2916">
        <f>C23*(1+D24)</f>
        <v>0</v>
      </c>
      <c r="E23" s="2917">
        <f>D23*(1+E24)</f>
        <v>0</v>
      </c>
      <c r="F23" s="2918"/>
      <c r="G23" s="2919"/>
      <c r="H23" s="2832"/>
      <c r="I23" s="2833"/>
      <c r="J23" s="3711"/>
      <c r="K23" s="3713"/>
      <c r="L23" s="2867" t="s">
        <v>2380</v>
      </c>
      <c r="M23" s="2868"/>
      <c r="N23" s="2868"/>
      <c r="O23" s="2869"/>
      <c r="P23" s="2870">
        <v>365</v>
      </c>
      <c r="Q23" s="2844"/>
      <c r="R23" s="2909">
        <f>ROUND(M23*N23*O23*P23/10000,0)</f>
        <v>0</v>
      </c>
      <c r="S23" s="2824"/>
      <c r="T23" s="2824"/>
      <c r="U23" s="2824"/>
      <c r="V23" s="2833"/>
    </row>
    <row r="24" spans="1:22" s="2837" customFormat="1" ht="13.15" customHeight="1">
      <c r="A24" s="2920"/>
      <c r="B24" s="2921" t="s">
        <v>2381</v>
      </c>
      <c r="C24" s="2922"/>
      <c r="D24" s="2923"/>
      <c r="E24" s="2924"/>
      <c r="F24" s="2925"/>
      <c r="G24" s="2919"/>
      <c r="H24" s="2832"/>
      <c r="I24" s="2833"/>
      <c r="J24" s="3711"/>
      <c r="K24" s="3714"/>
      <c r="L24" s="2887" t="s">
        <v>2341</v>
      </c>
      <c r="M24" s="2888">
        <f>SUM(M21:M23)</f>
        <v>0</v>
      </c>
      <c r="N24" s="2888"/>
      <c r="O24" s="2889"/>
      <c r="P24" s="2902" t="s">
        <v>2429</v>
      </c>
      <c r="Q24" s="2869"/>
      <c r="R24" s="2903">
        <f>ROUND(IF(P24="按比例",R14*Q24,SUM(R21:R23)),0)</f>
        <v>0</v>
      </c>
      <c r="S24" s="2824"/>
      <c r="T24" s="2824"/>
      <c r="U24" s="2824"/>
      <c r="V24" s="2833"/>
    </row>
    <row r="25" spans="1:22" s="2932" customFormat="1" ht="13.15" customHeight="1">
      <c r="A25" s="2920"/>
      <c r="B25" s="2921"/>
      <c r="C25" s="2922"/>
      <c r="D25" s="2923"/>
      <c r="E25" s="2924"/>
      <c r="F25" s="2925"/>
      <c r="G25" s="2824"/>
      <c r="H25" s="2832"/>
      <c r="I25" s="2833"/>
      <c r="J25" s="2926">
        <v>4</v>
      </c>
      <c r="K25" s="2927" t="s">
        <v>2382</v>
      </c>
      <c r="L25" s="2928"/>
      <c r="M25" s="2928"/>
      <c r="N25" s="2928"/>
      <c r="O25" s="2928"/>
      <c r="P25" s="2929"/>
      <c r="Q25" s="2930"/>
      <c r="R25" s="2903">
        <f>ROUND(R14*Q25,0)</f>
        <v>0</v>
      </c>
      <c r="S25" s="2824"/>
      <c r="T25" s="2824"/>
      <c r="U25" s="2824"/>
      <c r="V25" s="2931"/>
    </row>
    <row r="26" spans="1:22" s="2932" customFormat="1" ht="13.15" customHeight="1">
      <c r="A26" s="2913">
        <v>2</v>
      </c>
      <c r="B26" s="2914" t="s">
        <v>2383</v>
      </c>
      <c r="C26" s="2915">
        <f>D7</f>
        <v>0</v>
      </c>
      <c r="D26" s="2916">
        <f>D23*D27</f>
        <v>0</v>
      </c>
      <c r="E26" s="2917">
        <f>E23*E27</f>
        <v>0</v>
      </c>
      <c r="F26" s="2918"/>
      <c r="G26" s="2919"/>
      <c r="H26" s="2832"/>
      <c r="I26" s="2833"/>
      <c r="J26" s="3721">
        <v>5</v>
      </c>
      <c r="K26" s="2933" t="s">
        <v>2384</v>
      </c>
      <c r="L26" s="2934"/>
      <c r="M26" s="2935"/>
      <c r="N26" s="2936" t="s">
        <v>2385</v>
      </c>
      <c r="O26" s="2936" t="s">
        <v>2386</v>
      </c>
      <c r="P26" s="2937" t="s">
        <v>2387</v>
      </c>
      <c r="Q26" s="2937" t="s">
        <v>2388</v>
      </c>
      <c r="R26" s="2842" t="s">
        <v>2389</v>
      </c>
      <c r="S26" s="2876"/>
      <c r="T26" s="2876"/>
      <c r="U26" s="2876"/>
      <c r="V26" s="2931"/>
    </row>
    <row r="27" spans="1:22" s="2837" customFormat="1" ht="13.15" customHeight="1">
      <c r="A27" s="2920"/>
      <c r="B27" s="2921" t="s">
        <v>2390</v>
      </c>
      <c r="C27" s="2938" t="e">
        <f>E7</f>
        <v>#DIV/0!</v>
      </c>
      <c r="D27" s="2923"/>
      <c r="E27" s="2924"/>
      <c r="F27" s="2925"/>
      <c r="G27" s="2919"/>
      <c r="H27" s="2939"/>
      <c r="I27" s="2931"/>
      <c r="J27" s="3722"/>
      <c r="K27" s="2940"/>
      <c r="L27" s="2941"/>
      <c r="M27" s="2942"/>
      <c r="N27" s="2943"/>
      <c r="O27" s="2943"/>
      <c r="P27" s="2943"/>
      <c r="Q27" s="2944"/>
      <c r="R27" s="2903">
        <f>ROUND(O27*N27*P27*(1-Q27)/10000,0)</f>
        <v>0</v>
      </c>
      <c r="S27" s="2824"/>
      <c r="T27" s="2824"/>
      <c r="U27" s="2824"/>
      <c r="V27" s="2833"/>
    </row>
    <row r="28" spans="1:22" s="2932" customFormat="1" ht="13.15" customHeight="1" thickBot="1">
      <c r="A28" s="2920"/>
      <c r="B28" s="2921"/>
      <c r="C28" s="2938"/>
      <c r="D28" s="2923"/>
      <c r="E28" s="2924" t="s">
        <v>2391</v>
      </c>
      <c r="F28" s="2925"/>
      <c r="G28" s="2824"/>
      <c r="H28" s="2939"/>
      <c r="I28" s="2931"/>
      <c r="J28" s="2945">
        <v>6</v>
      </c>
      <c r="K28" s="2946" t="s">
        <v>2392</v>
      </c>
      <c r="L28" s="2947" t="s">
        <v>2393</v>
      </c>
      <c r="M28" s="2948"/>
      <c r="N28" s="2947" t="s">
        <v>2394</v>
      </c>
      <c r="O28" s="2949"/>
      <c r="P28" s="2947" t="s">
        <v>2395</v>
      </c>
      <c r="Q28" s="2950">
        <v>1.4999999999999999E-2</v>
      </c>
      <c r="R28" s="2951"/>
      <c r="S28" s="2824"/>
      <c r="T28" s="2824"/>
      <c r="U28" s="2824"/>
      <c r="V28" s="2931"/>
    </row>
    <row r="29" spans="1:22" s="2932" customFormat="1" ht="13.15" customHeight="1">
      <c r="A29" s="2913">
        <v>3</v>
      </c>
      <c r="B29" s="2914" t="s">
        <v>2396</v>
      </c>
      <c r="C29" s="2915">
        <f>C23*C30</f>
        <v>0</v>
      </c>
      <c r="D29" s="2916">
        <f>D23*C30</f>
        <v>0</v>
      </c>
      <c r="E29" s="2917">
        <f>E23*C30</f>
        <v>0</v>
      </c>
      <c r="F29" s="2918"/>
      <c r="G29" s="2919"/>
      <c r="H29" s="2832"/>
      <c r="I29" s="2833"/>
      <c r="J29" s="2824"/>
      <c r="K29" s="2824"/>
      <c r="L29" s="2824"/>
      <c r="M29" s="2824"/>
      <c r="N29" s="2824"/>
      <c r="O29" s="2824"/>
      <c r="P29" s="2824"/>
      <c r="Q29" s="2824"/>
      <c r="R29" s="2824"/>
      <c r="S29" s="2824"/>
      <c r="T29" s="2824"/>
      <c r="U29" s="2824"/>
      <c r="V29" s="2931"/>
    </row>
    <row r="30" spans="1:22" s="2837" customFormat="1" ht="13.15" customHeight="1" thickBot="1">
      <c r="A30" s="2920"/>
      <c r="B30" s="2921" t="s">
        <v>2397</v>
      </c>
      <c r="C30" s="2938">
        <f>E18</f>
        <v>0</v>
      </c>
      <c r="D30" s="2952"/>
      <c r="E30" s="2886"/>
      <c r="F30" s="2925"/>
      <c r="G30" s="2919"/>
      <c r="H30" s="2939"/>
      <c r="I30" s="2931"/>
      <c r="J30" s="2824"/>
      <c r="K30" s="2824"/>
      <c r="L30" s="2824"/>
      <c r="M30" s="2824"/>
      <c r="N30" s="2824"/>
      <c r="O30" s="2824"/>
      <c r="P30" s="2824"/>
      <c r="Q30" s="2824"/>
      <c r="R30" s="2824"/>
      <c r="S30" s="2824"/>
      <c r="T30" s="2824"/>
      <c r="U30" s="2824"/>
      <c r="V30" s="2833"/>
    </row>
    <row r="31" spans="1:22" s="2932" customFormat="1" ht="13.15" customHeight="1">
      <c r="A31" s="2920"/>
      <c r="B31" s="2921"/>
      <c r="C31" s="2953"/>
      <c r="D31" s="2952"/>
      <c r="E31" s="2886"/>
      <c r="F31" s="2925"/>
      <c r="G31" s="2824"/>
      <c r="H31" s="2939"/>
      <c r="I31" s="2931"/>
      <c r="J31" s="2821" t="s">
        <v>2398</v>
      </c>
      <c r="K31" s="2822"/>
      <c r="L31" s="2822"/>
      <c r="M31" s="2822"/>
      <c r="N31" s="2822"/>
      <c r="O31" s="2822"/>
      <c r="P31" s="2822"/>
      <c r="Q31" s="2822"/>
      <c r="R31" s="2823"/>
      <c r="S31" s="2824"/>
      <c r="T31" s="2824"/>
      <c r="U31" s="2824"/>
      <c r="V31" s="2931"/>
    </row>
    <row r="32" spans="1:22" s="2932" customFormat="1" ht="13.15" customHeight="1">
      <c r="A32" s="2913">
        <v>4</v>
      </c>
      <c r="B32" s="2914" t="s">
        <v>2399</v>
      </c>
      <c r="C32" s="2915">
        <f>C23-C26-C29</f>
        <v>0</v>
      </c>
      <c r="D32" s="2916">
        <f>D23-D26-D29</f>
        <v>0</v>
      </c>
      <c r="E32" s="2917">
        <f>E23-E26-E29</f>
        <v>0</v>
      </c>
      <c r="F32" s="2918"/>
      <c r="G32" s="2824"/>
      <c r="H32" s="2832"/>
      <c r="I32" s="2833"/>
      <c r="J32" s="3704" t="s">
        <v>2400</v>
      </c>
      <c r="K32" s="3705"/>
      <c r="L32" s="2834" t="s">
        <v>2401</v>
      </c>
      <c r="M32" s="2834" t="s">
        <v>2290</v>
      </c>
      <c r="N32" s="2834" t="s">
        <v>2291</v>
      </c>
      <c r="O32" s="2834" t="s">
        <v>2292</v>
      </c>
      <c r="P32" s="2834" t="s">
        <v>2293</v>
      </c>
      <c r="Q32" s="2835" t="s">
        <v>2402</v>
      </c>
      <c r="R32" s="2954" t="s">
        <v>2403</v>
      </c>
      <c r="S32" s="2824"/>
      <c r="T32" s="2824"/>
      <c r="U32" s="2824"/>
      <c r="V32" s="2931"/>
    </row>
    <row r="33" spans="1:23" s="2837" customFormat="1" ht="13.15" customHeight="1">
      <c r="A33" s="2913"/>
      <c r="B33" s="2914"/>
      <c r="C33" s="2915"/>
      <c r="D33" s="2955"/>
      <c r="E33" s="2956"/>
      <c r="F33" s="2918"/>
      <c r="G33" s="2824"/>
      <c r="H33" s="2939"/>
      <c r="I33" s="2931"/>
      <c r="J33" s="3706" t="s">
        <v>2404</v>
      </c>
      <c r="K33" s="3707"/>
      <c r="L33" s="2840"/>
      <c r="M33" s="2840"/>
      <c r="N33" s="2840"/>
      <c r="O33" s="2840"/>
      <c r="P33" s="2840"/>
      <c r="Q33" s="2841"/>
      <c r="R33" s="2957">
        <f>SUM(L33:Q33)</f>
        <v>0</v>
      </c>
      <c r="S33" s="2824"/>
      <c r="T33" s="2824"/>
      <c r="U33" s="2824"/>
      <c r="V33" s="2833"/>
    </row>
    <row r="34" spans="1:23" s="2837" customFormat="1" ht="13.15" customHeight="1">
      <c r="A34" s="2913">
        <v>5</v>
      </c>
      <c r="B34" s="2914" t="s">
        <v>2405</v>
      </c>
      <c r="C34" s="2958"/>
      <c r="D34" s="2959"/>
      <c r="E34" s="2960"/>
      <c r="F34" s="2918"/>
      <c r="G34" s="2824"/>
      <c r="H34" s="2939"/>
      <c r="I34" s="2931"/>
      <c r="J34" s="3706" t="s">
        <v>2406</v>
      </c>
      <c r="K34" s="3707"/>
      <c r="L34" s="2845"/>
      <c r="M34" s="2845"/>
      <c r="N34" s="2845"/>
      <c r="O34" s="2845"/>
      <c r="P34" s="2845"/>
      <c r="Q34" s="2846"/>
      <c r="R34" s="2961">
        <f>SUM(L34:Q34)</f>
        <v>0</v>
      </c>
      <c r="S34" s="2824"/>
      <c r="T34" s="2824"/>
      <c r="U34" s="2824" t="e">
        <f>ROUND(R35*10000/365/R33,1)</f>
        <v>#DIV/0!</v>
      </c>
      <c r="V34" s="2833"/>
    </row>
    <row r="35" spans="1:23" s="2837" customFormat="1" ht="13.15" customHeight="1">
      <c r="A35" s="2913">
        <v>6</v>
      </c>
      <c r="B35" s="2914" t="s">
        <v>2407</v>
      </c>
      <c r="C35" s="2962"/>
      <c r="D35" s="2963"/>
      <c r="E35" s="2964"/>
      <c r="F35" s="2918"/>
      <c r="G35" s="2965"/>
      <c r="H35" s="2832"/>
      <c r="I35" s="2931"/>
      <c r="J35" s="2851" t="s">
        <v>2408</v>
      </c>
      <c r="K35" s="2852"/>
      <c r="L35" s="2852"/>
      <c r="M35" s="2853"/>
      <c r="N35" s="2853"/>
      <c r="O35" s="2853"/>
      <c r="P35" s="2853"/>
      <c r="Q35" s="2853"/>
      <c r="R35" s="2966">
        <f>R40+R41+R43</f>
        <v>0</v>
      </c>
      <c r="S35" s="2824"/>
      <c r="T35" s="2824" t="s">
        <v>2409</v>
      </c>
      <c r="U35" s="2824"/>
      <c r="V35" s="2833"/>
    </row>
    <row r="36" spans="1:23" s="2837" customFormat="1" ht="13.15" customHeight="1" thickBot="1">
      <c r="A36" s="2913">
        <v>7</v>
      </c>
      <c r="B36" s="2967" t="s">
        <v>2410</v>
      </c>
      <c r="C36" s="2968"/>
      <c r="D36" s="2969"/>
      <c r="E36" s="2970"/>
      <c r="F36" s="2971">
        <f>C36+D36+E36</f>
        <v>0</v>
      </c>
      <c r="G36" s="2824"/>
      <c r="H36" s="2832"/>
      <c r="I36" s="2833"/>
      <c r="J36" s="3711">
        <v>1</v>
      </c>
      <c r="K36" s="3712" t="s">
        <v>2411</v>
      </c>
      <c r="L36" s="2858"/>
      <c r="M36" s="2859"/>
      <c r="N36" s="2859"/>
      <c r="O36" s="2859"/>
      <c r="P36" s="2859"/>
      <c r="Q36" s="2859"/>
      <c r="R36" s="2842" t="s">
        <v>2312</v>
      </c>
      <c r="S36" s="2824"/>
      <c r="T36" s="2824" t="s">
        <v>2313</v>
      </c>
      <c r="U36" s="2824"/>
      <c r="V36" s="2833"/>
    </row>
    <row r="37" spans="1:23" s="2837" customFormat="1" ht="13.15" customHeight="1">
      <c r="A37" s="2913"/>
      <c r="B37" s="2914"/>
      <c r="C37" s="2914"/>
      <c r="D37" s="2914"/>
      <c r="E37" s="2914"/>
      <c r="F37" s="2918"/>
      <c r="G37" s="2824"/>
      <c r="H37" s="2832"/>
      <c r="I37" s="2833"/>
      <c r="J37" s="3711"/>
      <c r="K37" s="3713"/>
      <c r="L37" s="2867"/>
      <c r="M37" s="2868"/>
      <c r="N37" s="2844"/>
      <c r="O37" s="2869"/>
      <c r="P37" s="2869"/>
      <c r="Q37" s="2870"/>
      <c r="R37" s="2871"/>
      <c r="S37" s="2824"/>
      <c r="T37" s="2824" t="s">
        <v>2316</v>
      </c>
      <c r="U37" s="2824"/>
      <c r="V37" s="2833"/>
    </row>
    <row r="38" spans="1:23" s="2837" customFormat="1" ht="13.15" customHeight="1">
      <c r="A38" s="2913">
        <v>8</v>
      </c>
      <c r="B38" s="2914"/>
      <c r="C38" s="2873" t="e">
        <f>ROUND(C32*(1-((1+C35)/(1+C34))^C36)/(C34-C35),0)</f>
        <v>#DIV/0!</v>
      </c>
      <c r="D38" s="2873">
        <f>IF(D23=0,0,ROUND(D32*(1-((1+D35)/(1+D34))^D36)/(D34-D35),0))</f>
        <v>0</v>
      </c>
      <c r="E38" s="2873">
        <f>IF(E23=0,0,ROUND(E32*(1-((1+E35)/(1+E34))^E36)/(E34-E35),0))</f>
        <v>0</v>
      </c>
      <c r="F38" s="2918"/>
      <c r="G38" s="2824"/>
      <c r="H38" s="2832"/>
      <c r="I38" s="2833"/>
      <c r="J38" s="3711"/>
      <c r="K38" s="3713"/>
      <c r="L38" s="2867"/>
      <c r="M38" s="2868"/>
      <c r="N38" s="2844"/>
      <c r="O38" s="2869"/>
      <c r="P38" s="2869"/>
      <c r="Q38" s="2870"/>
      <c r="R38" s="2871"/>
      <c r="S38" s="2824"/>
      <c r="T38" s="2824" t="s">
        <v>2323</v>
      </c>
      <c r="U38" s="2824"/>
      <c r="V38" s="2833"/>
    </row>
    <row r="39" spans="1:23" s="2837" customFormat="1" ht="13.15" customHeight="1">
      <c r="A39" s="2913">
        <v>9</v>
      </c>
      <c r="B39" s="2914" t="s">
        <v>2412</v>
      </c>
      <c r="C39" s="2881" t="e">
        <f>C38</f>
        <v>#DIV/0!</v>
      </c>
      <c r="D39" s="2914">
        <f>D38/(1+D34)^C36</f>
        <v>0</v>
      </c>
      <c r="E39" s="2914">
        <f>E38/(1+E34)^(C36+D36)</f>
        <v>0</v>
      </c>
      <c r="F39" s="2918"/>
      <c r="G39" s="2833"/>
      <c r="H39" s="2832"/>
      <c r="I39" s="2833"/>
      <c r="J39" s="3711"/>
      <c r="K39" s="3713"/>
      <c r="L39" s="2867"/>
      <c r="M39" s="2868"/>
      <c r="N39" s="2844"/>
      <c r="O39" s="2869"/>
      <c r="P39" s="2869"/>
      <c r="Q39" s="2870"/>
      <c r="R39" s="2871"/>
      <c r="S39" s="2824"/>
      <c r="T39" s="2824"/>
      <c r="U39" s="2824"/>
      <c r="V39" s="2833"/>
    </row>
    <row r="40" spans="1:23" s="2837" customFormat="1" ht="13.15" customHeight="1">
      <c r="A40" s="2972">
        <v>10</v>
      </c>
      <c r="B40" s="2914" t="s">
        <v>2413</v>
      </c>
      <c r="C40" s="2973" t="e">
        <f>C39+D39+E39</f>
        <v>#DIV/0!</v>
      </c>
      <c r="D40" s="2974"/>
      <c r="E40" s="2974"/>
      <c r="F40" s="2975"/>
      <c r="G40" s="2824"/>
      <c r="H40" s="2832"/>
      <c r="I40" s="2833"/>
      <c r="J40" s="3711"/>
      <c r="K40" s="3714"/>
      <c r="L40" s="2887" t="s">
        <v>2414</v>
      </c>
      <c r="M40" s="2888"/>
      <c r="N40" s="2888"/>
      <c r="O40" s="2889"/>
      <c r="P40" s="2889"/>
      <c r="Q40" s="2890"/>
      <c r="R40" s="2836">
        <f>SUM(R37:R39)</f>
        <v>0</v>
      </c>
      <c r="S40" s="2824"/>
      <c r="T40" s="2824"/>
      <c r="U40" s="2824"/>
      <c r="V40" s="2833"/>
    </row>
    <row r="41" spans="1:23" s="2837" customFormat="1" ht="13.15" customHeight="1" thickBot="1">
      <c r="A41" s="2976">
        <v>11</v>
      </c>
      <c r="B41" s="2977" t="s">
        <v>2415</v>
      </c>
      <c r="C41" s="2977" t="e">
        <f>ROUND(C40*10000/B4,0)</f>
        <v>#DIV/0!</v>
      </c>
      <c r="D41" s="2978"/>
      <c r="E41" s="2978"/>
      <c r="F41" s="2979"/>
      <c r="G41" s="2832"/>
      <c r="H41" s="2832"/>
      <c r="I41" s="2833"/>
      <c r="J41" s="2926">
        <v>2</v>
      </c>
      <c r="K41" s="2927" t="s">
        <v>2416</v>
      </c>
      <c r="L41" s="2928"/>
      <c r="M41" s="2928"/>
      <c r="N41" s="2928"/>
      <c r="O41" s="2928"/>
      <c r="P41" s="2929"/>
      <c r="Q41" s="2930"/>
      <c r="R41" s="2903">
        <f>ROUND(R40*Q41,0)</f>
        <v>0</v>
      </c>
      <c r="S41" s="2824"/>
      <c r="T41" s="2824"/>
      <c r="U41" s="2876"/>
      <c r="V41" s="2833"/>
    </row>
    <row r="42" spans="1:23" s="2837" customFormat="1" ht="13.15" customHeight="1">
      <c r="G42" s="2832"/>
      <c r="H42" s="2832"/>
      <c r="I42" s="2833"/>
      <c r="J42" s="3721">
        <v>3</v>
      </c>
      <c r="K42" s="2933" t="s">
        <v>2417</v>
      </c>
      <c r="L42" s="2934"/>
      <c r="M42" s="2935"/>
      <c r="N42" s="2936" t="s">
        <v>2418</v>
      </c>
      <c r="O42" s="2936" t="s">
        <v>2419</v>
      </c>
      <c r="P42" s="2937" t="s">
        <v>2420</v>
      </c>
      <c r="Q42" s="2937" t="s">
        <v>2421</v>
      </c>
      <c r="R42" s="2842" t="s">
        <v>2422</v>
      </c>
      <c r="S42" s="2876"/>
      <c r="T42" s="2876"/>
      <c r="U42" s="2824"/>
      <c r="V42" s="2833"/>
    </row>
    <row r="43" spans="1:23" ht="13.15" customHeight="1">
      <c r="A43" s="2837"/>
      <c r="B43" s="2837"/>
      <c r="C43" s="2837"/>
      <c r="D43" s="2837"/>
      <c r="E43" s="2837"/>
      <c r="F43" s="2837"/>
      <c r="I43" s="2819"/>
      <c r="J43" s="3722"/>
      <c r="K43" s="2940"/>
      <c r="L43" s="2941"/>
      <c r="M43" s="2942"/>
      <c r="N43" s="2868"/>
      <c r="O43" s="2868"/>
      <c r="P43" s="2868"/>
      <c r="Q43" s="2930"/>
      <c r="R43" s="2903">
        <f>ROUND(O43*N43*P43*(1-Q43)/10000,0)</f>
        <v>0</v>
      </c>
      <c r="S43" s="2824"/>
      <c r="T43" s="2824"/>
      <c r="V43" s="2980"/>
      <c r="W43" s="2981"/>
    </row>
    <row r="44" spans="1:23" ht="13.15" customHeight="1" thickBot="1">
      <c r="J44" s="2945">
        <v>6</v>
      </c>
      <c r="K44" s="2946" t="s">
        <v>2423</v>
      </c>
      <c r="L44" s="2982" t="s">
        <v>2424</v>
      </c>
      <c r="M44" s="2948"/>
      <c r="N44" s="2982" t="s">
        <v>2425</v>
      </c>
      <c r="O44" s="2948"/>
      <c r="P44" s="2982" t="s">
        <v>2426</v>
      </c>
      <c r="Q44" s="2950">
        <v>1.4999999999999999E-2</v>
      </c>
      <c r="R44" s="29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91" t="s">
        <v>549</v>
      </c>
      <c r="B1" s="679"/>
      <c r="C1" s="1780"/>
      <c r="D1" s="1780"/>
      <c r="E1" s="1780"/>
      <c r="F1" s="1780"/>
      <c r="G1" s="1714"/>
    </row>
    <row r="2" spans="1:25" s="1670" customFormat="1" ht="18" customHeight="1">
      <c r="A2" s="393" t="s">
        <v>425</v>
      </c>
      <c r="B2" s="395">
        <f ca="1">C23</f>
        <v>0</v>
      </c>
      <c r="C2" s="2766"/>
      <c r="D2" s="2766"/>
      <c r="E2" s="2766"/>
      <c r="F2" s="2766"/>
      <c r="G2" s="2766"/>
    </row>
    <row r="3" spans="1:25" s="1670" customFormat="1" ht="18" customHeight="1">
      <c r="A3" s="1168" t="s">
        <v>1216</v>
      </c>
      <c r="B3" s="395">
        <f ca="1">ROUND(B2*10000/'数据-汇总表'!E3,0)</f>
        <v>0</v>
      </c>
      <c r="C3" s="2766"/>
      <c r="D3" s="2766"/>
      <c r="E3" s="2766"/>
      <c r="F3" s="2766"/>
      <c r="G3" s="2766"/>
    </row>
    <row r="4" spans="1:25" s="1670" customFormat="1" ht="18" customHeight="1">
      <c r="A4" s="396" t="s">
        <v>426</v>
      </c>
      <c r="B4" s="397">
        <f ca="1">ROUND(B2*10000/'数据-汇总表'!D3,0)</f>
        <v>0</v>
      </c>
      <c r="C4" s="2726"/>
      <c r="D4" s="2766"/>
      <c r="E4" s="2766"/>
      <c r="F4" s="2766"/>
      <c r="G4" s="2766"/>
    </row>
    <row r="5" spans="1:25" s="1670" customFormat="1" ht="18" customHeight="1" thickBot="1">
      <c r="A5" s="399"/>
      <c r="B5" s="400">
        <f ca="1">ROUND(B2/('数据-汇总表'!D3/666.67),0)</f>
        <v>0</v>
      </c>
      <c r="C5" s="401" t="s">
        <v>427</v>
      </c>
      <c r="D5" s="2766"/>
      <c r="E5" s="2766"/>
      <c r="F5" s="2766"/>
      <c r="G5" s="2766"/>
    </row>
    <row r="6" spans="1:25" s="1781" customFormat="1" ht="13.5" customHeight="1">
      <c r="A6" s="680"/>
      <c r="B6" s="681" t="s">
        <v>550</v>
      </c>
      <c r="C6" s="682" t="s">
        <v>551</v>
      </c>
      <c r="D6" s="682" t="s">
        <v>552</v>
      </c>
      <c r="E6" s="683" t="s">
        <v>553</v>
      </c>
      <c r="F6" s="683" t="s">
        <v>554</v>
      </c>
      <c r="G6" s="2765" t="s">
        <v>2269</v>
      </c>
    </row>
    <row r="7" spans="1:25" s="1781" customFormat="1" ht="13.5" customHeight="1">
      <c r="A7" s="1979">
        <v>1</v>
      </c>
      <c r="B7" s="684" t="s">
        <v>555</v>
      </c>
      <c r="C7" s="685">
        <f>C8+C9</f>
        <v>0</v>
      </c>
      <c r="D7" s="685"/>
      <c r="E7" s="686"/>
      <c r="F7" s="686"/>
      <c r="G7" s="1988"/>
    </row>
    <row r="8" spans="1:25" s="1781" customFormat="1" ht="13.5" customHeight="1">
      <c r="A8" s="1979" t="s">
        <v>1784</v>
      </c>
      <c r="B8" s="1982" t="s">
        <v>1786</v>
      </c>
      <c r="C8" s="2769">
        <f>ROUND(D8*E8/10000,0)</f>
        <v>0</v>
      </c>
      <c r="D8" s="2769">
        <v>0</v>
      </c>
      <c r="E8" s="2770">
        <v>0</v>
      </c>
      <c r="F8" s="686"/>
      <c r="G8" s="687"/>
    </row>
    <row r="9" spans="1:25" s="1781" customFormat="1" ht="13.5" customHeight="1">
      <c r="A9" s="1979" t="s">
        <v>1785</v>
      </c>
      <c r="B9" s="1982" t="s">
        <v>1787</v>
      </c>
      <c r="C9" s="2769">
        <f>ROUND(D9*E9/10000,0)</f>
        <v>0</v>
      </c>
      <c r="D9" s="2769">
        <v>0</v>
      </c>
      <c r="E9" s="2770">
        <v>0</v>
      </c>
      <c r="F9" s="686"/>
      <c r="G9" s="687"/>
    </row>
    <row r="10" spans="1:25" s="1781" customFormat="1" ht="36">
      <c r="A10" s="1979">
        <v>2</v>
      </c>
      <c r="B10" s="684" t="s">
        <v>559</v>
      </c>
      <c r="C10" s="685">
        <f>C11+C14+C15</f>
        <v>0</v>
      </c>
      <c r="D10" s="695"/>
      <c r="E10" s="685"/>
      <c r="F10" s="696"/>
      <c r="G10" s="694" t="s">
        <v>560</v>
      </c>
    </row>
    <row r="11" spans="1:25" s="1781" customFormat="1" ht="13.5" customHeight="1">
      <c r="A11" s="1979" t="s">
        <v>1784</v>
      </c>
      <c r="B11" s="688" t="s">
        <v>556</v>
      </c>
      <c r="C11" s="689">
        <f>'数据-取费表'!B29</f>
        <v>0</v>
      </c>
      <c r="D11" s="690"/>
      <c r="E11" s="689"/>
      <c r="F11" s="691"/>
      <c r="G11" s="1987" t="s">
        <v>1795</v>
      </c>
    </row>
    <row r="12" spans="1:25" s="1781" customFormat="1" ht="13.5" customHeight="1">
      <c r="A12" s="1985" t="s">
        <v>1792</v>
      </c>
      <c r="B12" s="692" t="s">
        <v>557</v>
      </c>
      <c r="C12" s="693">
        <f>ROUND(D12*E12/10000,0)</f>
        <v>0</v>
      </c>
      <c r="D12" s="2769">
        <f>'数据-汇总表'!E5</f>
        <v>0</v>
      </c>
      <c r="E12" s="2769">
        <f>'数据-取费表'!B27</f>
        <v>75</v>
      </c>
      <c r="F12" s="691"/>
      <c r="G12" s="694"/>
    </row>
    <row r="13" spans="1:25" s="1781" customFormat="1" ht="13.5" customHeight="1">
      <c r="A13" s="1985" t="s">
        <v>1791</v>
      </c>
      <c r="B13" s="692" t="s">
        <v>558</v>
      </c>
      <c r="C13" s="693">
        <f>ROUND(D13*E13/10000,0)</f>
        <v>318</v>
      </c>
      <c r="D13" s="2769">
        <f>'数据-汇总表'!E6</f>
        <v>42462</v>
      </c>
      <c r="E13" s="2769">
        <f>'数据-取费表'!B28</f>
        <v>75</v>
      </c>
      <c r="F13" s="691"/>
      <c r="G13" s="694"/>
    </row>
    <row r="14" spans="1:25" s="1781" customFormat="1" ht="13.5" customHeight="1">
      <c r="A14" s="1979" t="s">
        <v>1785</v>
      </c>
      <c r="B14" s="1984" t="s">
        <v>1788</v>
      </c>
      <c r="C14" s="2771">
        <f>ROUND(D14*E14/10000,0)</f>
        <v>0</v>
      </c>
      <c r="D14" s="2769">
        <v>0</v>
      </c>
      <c r="E14" s="2770">
        <v>0</v>
      </c>
      <c r="F14" s="1983"/>
      <c r="G14" s="1986" t="s">
        <v>1793</v>
      </c>
    </row>
    <row r="15" spans="1:25" s="1781" customFormat="1" ht="13.5" customHeight="1">
      <c r="A15" s="1979" t="s">
        <v>1790</v>
      </c>
      <c r="B15" s="1984" t="s">
        <v>1789</v>
      </c>
      <c r="C15" s="2771">
        <f>ROUND(D15*E15/10000,0)</f>
        <v>0</v>
      </c>
      <c r="D15" s="2769">
        <v>0</v>
      </c>
      <c r="E15" s="2770">
        <v>0</v>
      </c>
      <c r="F15" s="1983"/>
      <c r="G15" s="1986" t="s">
        <v>1794</v>
      </c>
    </row>
    <row r="16" spans="1:25" s="1782" customFormat="1" ht="48">
      <c r="A16" s="1979">
        <v>3</v>
      </c>
      <c r="B16" s="684" t="s">
        <v>561</v>
      </c>
      <c r="C16" s="2771">
        <f>ROUND(D16*E16/10000,0)</f>
        <v>0</v>
      </c>
      <c r="D16" s="2769">
        <v>0</v>
      </c>
      <c r="E16" s="2770">
        <v>0</v>
      </c>
      <c r="F16" s="696"/>
      <c r="G16" s="694" t="s">
        <v>1796</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4" t="s">
        <v>562</v>
      </c>
      <c r="C17" s="2044">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4" t="s">
        <v>563</v>
      </c>
      <c r="C18" s="685">
        <f>ROUND((C7+C10+C16)*F18,0)</f>
        <v>0</v>
      </c>
      <c r="D18" s="697"/>
      <c r="E18" s="698"/>
      <c r="F18" s="1140"/>
      <c r="G18" s="700" t="s">
        <v>564</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4" t="s">
        <v>565</v>
      </c>
      <c r="C19" s="685">
        <f ca="1">C7+C10+C16+C17+C18</f>
        <v>0</v>
      </c>
      <c r="D19" s="695"/>
      <c r="E19" s="685"/>
      <c r="F19" s="696"/>
      <c r="G19" s="700" t="s">
        <v>566</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4" t="s">
        <v>567</v>
      </c>
      <c r="C20" s="685">
        <f ca="1">ROUND(C19*F20,0)</f>
        <v>0</v>
      </c>
      <c r="D20" s="695"/>
      <c r="E20" s="685"/>
      <c r="F20" s="1140"/>
      <c r="G20" s="700" t="s">
        <v>568</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4" t="s">
        <v>569</v>
      </c>
      <c r="C21" s="685">
        <f ca="1">C19+C20</f>
        <v>0</v>
      </c>
      <c r="D21" s="695"/>
      <c r="E21" s="685"/>
      <c r="F21" s="696"/>
      <c r="G21" s="700" t="s">
        <v>570</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4" t="s">
        <v>571</v>
      </c>
      <c r="C22" s="685">
        <f ca="1">ROUND(C21*F22,0)</f>
        <v>0</v>
      </c>
      <c r="D22" s="695"/>
      <c r="E22" s="685"/>
      <c r="F22" s="701">
        <f>'数据-取费表'!AP16</f>
        <v>0.749</v>
      </c>
      <c r="G22" s="700" t="s">
        <v>572</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2" t="s">
        <v>573</v>
      </c>
      <c r="C23" s="703">
        <f ca="1">C22</f>
        <v>0</v>
      </c>
      <c r="D23" s="704"/>
      <c r="E23" s="703"/>
      <c r="F23" s="705"/>
      <c r="G23" s="706"/>
      <c r="H23" s="1781"/>
      <c r="I23" s="1781"/>
      <c r="J23" s="1781"/>
      <c r="K23" s="1781"/>
      <c r="L23" s="1781"/>
      <c r="M23" s="1781"/>
      <c r="N23" s="1781"/>
      <c r="O23" s="1781"/>
      <c r="P23" s="1781"/>
      <c r="Q23" s="1781"/>
      <c r="R23" s="1781"/>
      <c r="S23" s="1781"/>
      <c r="T23" s="1781"/>
      <c r="U23" s="1781"/>
      <c r="V23" s="1781"/>
      <c r="W23" s="1781"/>
      <c r="X23" s="1781"/>
      <c r="Y23" s="1781"/>
    </row>
    <row r="24" spans="1:25" s="2768" customFormat="1">
      <c r="A24" s="2767"/>
      <c r="D24" s="1626"/>
      <c r="E24" s="1626"/>
    </row>
    <row r="25" spans="1:25" s="2768" customFormat="1">
      <c r="A25" s="2767"/>
      <c r="D25" s="1626"/>
      <c r="E25" s="1626"/>
    </row>
    <row r="26" spans="1:25" s="2768" customFormat="1">
      <c r="A26" s="2767"/>
      <c r="D26" s="1626"/>
      <c r="E26" s="1626"/>
    </row>
    <row r="27" spans="1:25" s="2768" customFormat="1">
      <c r="A27" s="2767"/>
      <c r="D27" s="1626"/>
      <c r="E27" s="1626"/>
    </row>
    <row r="28" spans="1:25" s="2768" customFormat="1">
      <c r="A28" s="2767"/>
      <c r="D28" s="1626"/>
      <c r="E28" s="1626"/>
    </row>
    <row r="29" spans="1:25" s="2768" customFormat="1">
      <c r="A29" s="2767"/>
      <c r="D29" s="1626"/>
      <c r="E29" s="1626"/>
    </row>
    <row r="30" spans="1:25" s="2768" customFormat="1">
      <c r="A30" s="2767"/>
      <c r="D30" s="1626"/>
      <c r="E30" s="1626"/>
    </row>
    <row r="31" spans="1:25" s="2768" customFormat="1">
      <c r="A31" s="2767"/>
      <c r="D31" s="1626"/>
      <c r="E31" s="1626"/>
    </row>
    <row r="32" spans="1:25" s="2768" customFormat="1">
      <c r="A32" s="2767"/>
      <c r="D32" s="1626"/>
      <c r="E32" s="1626"/>
    </row>
    <row r="33" spans="1:5" s="2768" customFormat="1">
      <c r="A33" s="2767"/>
      <c r="D33" s="1626"/>
      <c r="E33" s="1626"/>
    </row>
    <row r="34" spans="1:5" s="2768" customFormat="1">
      <c r="A34" s="2767"/>
      <c r="D34" s="1626"/>
      <c r="E34" s="1626"/>
    </row>
    <row r="35" spans="1:5" s="2768" customFormat="1">
      <c r="A35" s="2767"/>
      <c r="D35" s="1626"/>
      <c r="E35" s="1626"/>
    </row>
    <row r="36" spans="1:5" s="2768" customFormat="1">
      <c r="A36" s="2767"/>
      <c r="D36" s="1626"/>
      <c r="E36" s="1626"/>
    </row>
    <row r="37" spans="1:5" s="2768" customFormat="1">
      <c r="A37" s="2767"/>
      <c r="D37" s="1626"/>
      <c r="E37" s="1626"/>
    </row>
    <row r="38" spans="1:5" s="2768" customFormat="1">
      <c r="A38" s="2767"/>
      <c r="D38" s="1626"/>
      <c r="E38" s="1626"/>
    </row>
    <row r="39" spans="1:5" s="2768" customFormat="1">
      <c r="A39" s="2767"/>
      <c r="D39" s="1626"/>
      <c r="E39" s="1626"/>
    </row>
    <row r="40" spans="1:5" s="2768" customFormat="1">
      <c r="A40" s="2767"/>
      <c r="D40" s="1626"/>
      <c r="E40" s="1626"/>
    </row>
    <row r="41" spans="1:5" s="2768" customFormat="1">
      <c r="A41" s="2767"/>
      <c r="D41" s="1626"/>
      <c r="E41" s="1626"/>
    </row>
    <row r="42" spans="1:5" s="2768" customFormat="1">
      <c r="A42" s="2767"/>
      <c r="D42" s="1626"/>
      <c r="E42" s="1626"/>
    </row>
    <row r="43" spans="1:5" s="2768" customFormat="1">
      <c r="A43" s="2767"/>
      <c r="D43" s="1626"/>
      <c r="E43" s="1626"/>
    </row>
    <row r="44" spans="1:5" s="2768" customFormat="1">
      <c r="A44" s="2767"/>
      <c r="D44" s="1626"/>
      <c r="E44" s="1626"/>
    </row>
    <row r="45" spans="1:5" s="2768" customFormat="1">
      <c r="A45" s="2767"/>
      <c r="D45" s="1626"/>
      <c r="E45" s="1626"/>
    </row>
    <row r="46" spans="1:5" s="2768" customFormat="1">
      <c r="A46" s="2767"/>
      <c r="D46" s="1626"/>
      <c r="E46" s="1626"/>
    </row>
    <row r="47" spans="1:5" s="2768" customFormat="1">
      <c r="A47" s="2767"/>
      <c r="D47" s="1626"/>
      <c r="E47" s="1626"/>
    </row>
    <row r="48" spans="1:5" s="2768" customFormat="1">
      <c r="A48" s="2767"/>
      <c r="D48" s="1626"/>
      <c r="E48" s="1626"/>
    </row>
    <row r="49" spans="1:5" s="2768" customFormat="1">
      <c r="A49" s="2767"/>
      <c r="D49" s="1626"/>
      <c r="E49" s="1626"/>
    </row>
    <row r="50" spans="1:5" s="2768" customFormat="1">
      <c r="A50" s="2767"/>
      <c r="D50" s="1626"/>
      <c r="E50" s="1626"/>
    </row>
    <row r="51" spans="1:5" s="2768" customFormat="1">
      <c r="A51" s="2767"/>
      <c r="D51" s="1626"/>
      <c r="E51" s="1626"/>
    </row>
    <row r="52" spans="1:5" s="2768" customFormat="1">
      <c r="A52" s="2767"/>
      <c r="D52" s="1626"/>
      <c r="E52" s="1626"/>
    </row>
    <row r="53" spans="1:5" s="2768" customFormat="1">
      <c r="A53" s="2767"/>
      <c r="D53" s="1626"/>
      <c r="E53" s="1626"/>
    </row>
    <row r="54" spans="1:5" s="2768" customFormat="1">
      <c r="A54" s="2767"/>
      <c r="D54" s="1626"/>
      <c r="E54" s="1626"/>
    </row>
    <row r="55" spans="1:5" s="2768" customFormat="1">
      <c r="A55" s="2767"/>
      <c r="D55" s="1626"/>
      <c r="E55" s="1626"/>
    </row>
    <row r="56" spans="1:5" s="2768" customFormat="1">
      <c r="A56" s="2767"/>
      <c r="D56" s="1626"/>
      <c r="E56" s="1626"/>
    </row>
    <row r="57" spans="1:5" s="2768" customFormat="1">
      <c r="A57" s="2767"/>
      <c r="D57" s="1626"/>
      <c r="E57" s="1626"/>
    </row>
    <row r="58" spans="1:5" s="2768" customFormat="1">
      <c r="A58" s="2767"/>
      <c r="D58" s="1626"/>
      <c r="E58" s="1626"/>
    </row>
    <row r="59" spans="1:5" s="2768" customFormat="1">
      <c r="A59" s="2767"/>
      <c r="D59" s="1626"/>
      <c r="E59" s="1626"/>
    </row>
    <row r="60" spans="1:5" s="2768" customFormat="1">
      <c r="A60" s="2767"/>
      <c r="D60" s="1626"/>
      <c r="E60" s="1626"/>
    </row>
    <row r="61" spans="1:5" s="2768" customFormat="1">
      <c r="A61" s="2767"/>
      <c r="D61" s="1626"/>
      <c r="E61" s="1626"/>
    </row>
    <row r="62" spans="1:5" s="2768" customFormat="1">
      <c r="A62" s="2767"/>
      <c r="D62" s="1626"/>
      <c r="E62" s="1626"/>
    </row>
    <row r="63" spans="1:5" s="2768" customFormat="1">
      <c r="A63" s="2767"/>
      <c r="D63" s="1626"/>
      <c r="E63" s="1626"/>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85" zoomScaleNormal="60" zoomScaleSheetLayoutView="85" workbookViewId="0">
      <selection activeCell="N19" sqref="A10:N19"/>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663</v>
      </c>
      <c r="B1" s="2076" t="s">
        <v>664</v>
      </c>
      <c r="C1" s="2077" t="s">
        <v>665</v>
      </c>
      <c r="D1" s="2078" t="s">
        <v>849</v>
      </c>
      <c r="E1" s="1733"/>
      <c r="F1" s="2116" t="s">
        <v>3548</v>
      </c>
      <c r="G1" s="1326" t="s">
        <v>666</v>
      </c>
      <c r="H1" s="457"/>
      <c r="I1" s="457"/>
      <c r="J1" s="457"/>
      <c r="K1" s="458"/>
      <c r="L1" s="2716"/>
      <c r="M1" s="2717"/>
      <c r="N1" s="2717"/>
      <c r="O1" s="2717"/>
      <c r="P1" s="455"/>
      <c r="Q1" s="455"/>
      <c r="R1" s="455"/>
      <c r="S1" s="455"/>
      <c r="T1" s="455"/>
      <c r="U1" s="455"/>
      <c r="V1" s="455"/>
      <c r="W1" s="455"/>
      <c r="X1" s="455"/>
      <c r="Y1" s="455"/>
      <c r="Z1" s="455"/>
      <c r="AA1" s="455"/>
      <c r="AB1" s="455"/>
      <c r="AC1" s="398"/>
    </row>
    <row r="2" spans="1:29" s="1153" customFormat="1" ht="28.5" customHeight="1">
      <c r="A2" s="393" t="s">
        <v>425</v>
      </c>
      <c r="B2" s="2075">
        <f>ROUND(B3*D3/10000,0)</f>
        <v>0</v>
      </c>
      <c r="C2" s="1733"/>
      <c r="D2" s="1733"/>
      <c r="E2" s="1733"/>
      <c r="F2" s="1797"/>
      <c r="G2" s="1733"/>
      <c r="H2" s="1733"/>
      <c r="I2" s="1733"/>
      <c r="J2" s="1733"/>
      <c r="K2" s="1798"/>
      <c r="L2" s="1799"/>
      <c r="M2" s="1800"/>
      <c r="N2" s="1800"/>
      <c r="O2" s="1800"/>
      <c r="P2" s="1327"/>
      <c r="Q2" s="1327"/>
      <c r="R2" s="1327"/>
      <c r="S2" s="1327"/>
      <c r="T2" s="1327"/>
      <c r="U2" s="1327"/>
      <c r="V2" s="1327"/>
      <c r="W2" s="1327"/>
      <c r="X2" s="1327"/>
      <c r="Y2" s="1327"/>
      <c r="Z2" s="1327"/>
      <c r="AA2" s="1327"/>
      <c r="AB2" s="1327"/>
      <c r="AC2" s="1328"/>
    </row>
    <row r="3" spans="1:29" s="1153" customFormat="1" ht="28.5" customHeight="1" thickBot="1">
      <c r="A3" s="460" t="s">
        <v>466</v>
      </c>
      <c r="B3" s="785">
        <f>C49</f>
        <v>5078</v>
      </c>
      <c r="C3" s="786" t="s">
        <v>667</v>
      </c>
      <c r="D3" s="785">
        <f>SUMIF('数据-汇总表'!$C19:$C33,D1,'数据-汇总表'!$E19:$E33)</f>
        <v>0</v>
      </c>
      <c r="E3" s="1733"/>
      <c r="F3" s="1797"/>
      <c r="G3" s="1733"/>
      <c r="H3" s="1733"/>
      <c r="I3" s="1733"/>
      <c r="J3" s="1733"/>
      <c r="K3" s="1798"/>
      <c r="L3" s="1799"/>
      <c r="M3" s="1800"/>
      <c r="N3" s="1800"/>
      <c r="O3" s="1800"/>
      <c r="P3" s="1327"/>
      <c r="Q3" s="1327"/>
      <c r="R3" s="1327"/>
      <c r="S3" s="1327"/>
      <c r="T3" s="1327"/>
      <c r="U3" s="1327"/>
      <c r="V3" s="1327"/>
      <c r="W3" s="1327"/>
      <c r="X3" s="1327"/>
      <c r="Y3" s="1327"/>
      <c r="Z3" s="1327"/>
      <c r="AA3" s="1327"/>
      <c r="AB3" s="1327"/>
      <c r="AC3" s="1328"/>
    </row>
    <row r="4" spans="1:29" ht="15">
      <c r="A4" s="463" t="s">
        <v>468</v>
      </c>
      <c r="B4" s="464"/>
      <c r="C4" s="3604" t="s">
        <v>469</v>
      </c>
      <c r="D4" s="3605"/>
      <c r="E4" s="3639" t="s">
        <v>470</v>
      </c>
      <c r="F4" s="3640"/>
      <c r="G4" s="3604" t="s">
        <v>471</v>
      </c>
      <c r="H4" s="3605"/>
      <c r="I4" s="3604" t="s">
        <v>472</v>
      </c>
      <c r="J4" s="3605"/>
      <c r="K4" s="787" t="s">
        <v>473</v>
      </c>
      <c r="L4" s="1739"/>
      <c r="M4" s="1740"/>
      <c r="N4" s="1740"/>
      <c r="O4" s="1740"/>
      <c r="P4" s="3606" t="s">
        <v>474</v>
      </c>
      <c r="Q4" s="3607"/>
      <c r="R4" s="3612" t="s">
        <v>470</v>
      </c>
      <c r="S4" s="3613"/>
      <c r="T4" s="3612" t="s">
        <v>471</v>
      </c>
      <c r="U4" s="3613"/>
      <c r="V4" s="3599" t="s">
        <v>472</v>
      </c>
      <c r="W4" s="3599"/>
      <c r="X4" s="1300"/>
      <c r="Y4" s="3612" t="s">
        <v>474</v>
      </c>
      <c r="Z4" s="3613"/>
      <c r="AA4" s="3601" t="s">
        <v>470</v>
      </c>
      <c r="AB4" s="3601" t="s">
        <v>471</v>
      </c>
      <c r="AC4" s="3601" t="s">
        <v>472</v>
      </c>
    </row>
    <row r="5" spans="1:29" ht="15">
      <c r="A5" s="466"/>
      <c r="B5" s="467"/>
      <c r="C5" s="3620" t="s">
        <v>2180</v>
      </c>
      <c r="D5" s="3621"/>
      <c r="E5" s="3726" t="s">
        <v>3546</v>
      </c>
      <c r="F5" s="3642"/>
      <c r="G5" s="3725" t="s">
        <v>3563</v>
      </c>
      <c r="H5" s="3621"/>
      <c r="I5" s="3725" t="s">
        <v>3547</v>
      </c>
      <c r="J5" s="3621"/>
      <c r="K5" s="788"/>
      <c r="L5" s="1739"/>
      <c r="M5" s="1740"/>
      <c r="N5" s="1740"/>
      <c r="O5" s="1740"/>
      <c r="P5" s="3608"/>
      <c r="Q5" s="3609"/>
      <c r="R5" s="3614"/>
      <c r="S5" s="3615"/>
      <c r="T5" s="3614"/>
      <c r="U5" s="3615"/>
      <c r="V5" s="3599"/>
      <c r="W5" s="3599"/>
      <c r="X5" s="1300"/>
      <c r="Y5" s="3614"/>
      <c r="Z5" s="3615"/>
      <c r="AA5" s="3602"/>
      <c r="AB5" s="3602"/>
      <c r="AC5" s="3602"/>
    </row>
    <row r="6" spans="1:29" ht="15.75" thickBot="1">
      <c r="A6" s="468"/>
      <c r="B6" s="469"/>
      <c r="C6" s="3618" t="s">
        <v>2184</v>
      </c>
      <c r="D6" s="3619"/>
      <c r="E6" s="3637" t="s">
        <v>2184</v>
      </c>
      <c r="F6" s="3638"/>
      <c r="G6" s="3618" t="s">
        <v>2184</v>
      </c>
      <c r="H6" s="3619"/>
      <c r="I6" s="3618" t="s">
        <v>2184</v>
      </c>
      <c r="J6" s="3619"/>
      <c r="K6" s="788" t="s">
        <v>475</v>
      </c>
      <c r="L6" s="1739"/>
      <c r="M6" s="1740"/>
      <c r="N6" s="1740"/>
      <c r="O6" s="1740"/>
      <c r="P6" s="3610"/>
      <c r="Q6" s="3611"/>
      <c r="R6" s="3614"/>
      <c r="S6" s="3615"/>
      <c r="T6" s="3616"/>
      <c r="U6" s="3617"/>
      <c r="V6" s="3599"/>
      <c r="W6" s="3599"/>
      <c r="X6" s="1300"/>
      <c r="Y6" s="3616"/>
      <c r="Z6" s="3617"/>
      <c r="AA6" s="3603"/>
      <c r="AB6" s="3603"/>
      <c r="AC6" s="3603"/>
    </row>
    <row r="7" spans="1:29" s="1057" customFormat="1" ht="15.75" thickBot="1">
      <c r="A7" s="2207"/>
      <c r="B7" s="2214" t="s">
        <v>476</v>
      </c>
      <c r="C7" s="470">
        <f>'数据-取费表'!B2</f>
        <v>45817</v>
      </c>
      <c r="D7" s="471">
        <v>100</v>
      </c>
      <c r="E7" s="472">
        <f>C7</f>
        <v>45817</v>
      </c>
      <c r="F7" s="473">
        <f>SUMIF(58:58,YEAR(E7)&amp;"-"&amp;MONTH(E7),59:59)</f>
        <v>100</v>
      </c>
      <c r="G7" s="474">
        <f>C7</f>
        <v>45817</v>
      </c>
      <c r="H7" s="471">
        <f>SUMIF(58:58,YEAR(G7)&amp;"-"&amp;MONTH(G7),59:59)</f>
        <v>100</v>
      </c>
      <c r="I7" s="474">
        <f>C7</f>
        <v>45817</v>
      </c>
      <c r="J7" s="471">
        <f>SUMIF(58:58,YEAR(I7)&amp;"-"&amp;MONTH(I7),59:59)</f>
        <v>100</v>
      </c>
      <c r="K7" s="789"/>
      <c r="L7" s="1741"/>
      <c r="M7" s="1638"/>
      <c r="N7" s="1638"/>
      <c r="O7" s="1638"/>
      <c r="P7" s="3628" t="s">
        <v>477</v>
      </c>
      <c r="Q7" s="3630"/>
      <c r="R7" s="1301" t="s">
        <v>10</v>
      </c>
      <c r="S7" s="1302">
        <f t="shared" ref="S7:S15" si="0">F7</f>
        <v>100</v>
      </c>
      <c r="T7" s="1301" t="s">
        <v>10</v>
      </c>
      <c r="U7" s="1302">
        <f t="shared" ref="U7:U15" si="1">H7</f>
        <v>100</v>
      </c>
      <c r="V7" s="1301" t="s">
        <v>10</v>
      </c>
      <c r="W7" s="1302">
        <f t="shared" ref="W7:W15" si="2">J7</f>
        <v>100</v>
      </c>
      <c r="X7" s="1303"/>
      <c r="Y7" s="3628" t="s">
        <v>477</v>
      </c>
      <c r="Z7" s="3629"/>
      <c r="AA7" s="994">
        <f>D7/F7</f>
        <v>1</v>
      </c>
      <c r="AB7" s="994">
        <f>D7/H7</f>
        <v>1</v>
      </c>
      <c r="AC7" s="994">
        <f>D7/J7</f>
        <v>1</v>
      </c>
    </row>
    <row r="8" spans="1:29" s="1057" customFormat="1" ht="15.75" thickBot="1">
      <c r="A8" s="2208"/>
      <c r="B8" s="2215" t="s">
        <v>478</v>
      </c>
      <c r="C8" s="475" t="s">
        <v>522</v>
      </c>
      <c r="D8" s="471">
        <v>100</v>
      </c>
      <c r="E8" s="790" t="s">
        <v>3532</v>
      </c>
      <c r="F8" s="473">
        <f>SUMIF(61:61,E8,62:62)-SUMIF(61:61,C8,62:62)+100</f>
        <v>100</v>
      </c>
      <c r="G8" s="475" t="s">
        <v>3532</v>
      </c>
      <c r="H8" s="471">
        <f>SUMIF(61:61,G8,62:62)-SUMIF(61:61,C8,62:62)+100</f>
        <v>100</v>
      </c>
      <c r="I8" s="790" t="s">
        <v>3532</v>
      </c>
      <c r="J8" s="471">
        <f>SUMIF(61:61,I8,62:62)-SUMIF(61:61,C8,62:62)+100</f>
        <v>100</v>
      </c>
      <c r="K8" s="789"/>
      <c r="L8" s="1741"/>
      <c r="M8" s="1638"/>
      <c r="N8" s="1638"/>
      <c r="O8" s="1638"/>
      <c r="P8" s="3628" t="s">
        <v>480</v>
      </c>
      <c r="Q8" s="3629"/>
      <c r="R8" s="1301" t="s">
        <v>10</v>
      </c>
      <c r="S8" s="1302">
        <f t="shared" si="0"/>
        <v>100</v>
      </c>
      <c r="T8" s="1301" t="s">
        <v>10</v>
      </c>
      <c r="U8" s="1302">
        <f t="shared" si="1"/>
        <v>100</v>
      </c>
      <c r="V8" s="1301" t="s">
        <v>10</v>
      </c>
      <c r="W8" s="1302">
        <f t="shared" si="2"/>
        <v>100</v>
      </c>
      <c r="X8" s="1303"/>
      <c r="Y8" s="3628" t="s">
        <v>480</v>
      </c>
      <c r="Z8" s="3629"/>
      <c r="AA8" s="994">
        <f t="shared" ref="AA8:AA46" si="3">D8/F8</f>
        <v>1</v>
      </c>
      <c r="AB8" s="994">
        <f t="shared" ref="AB8:AB46" si="4">D8/H8</f>
        <v>1</v>
      </c>
      <c r="AC8" s="994">
        <f t="shared" ref="AC8:AC46" si="5">D8/J8</f>
        <v>1</v>
      </c>
    </row>
    <row r="9" spans="1:29" s="1057" customFormat="1" ht="15">
      <c r="A9" s="2209"/>
      <c r="B9" s="2216" t="s">
        <v>2036</v>
      </c>
      <c r="C9" s="791"/>
      <c r="D9" s="154">
        <v>100</v>
      </c>
      <c r="E9" s="792"/>
      <c r="F9" s="156">
        <f>SUMIF(63:63,E9,64:64)-SUMIF(63:63,C9,64:64)+100</f>
        <v>100</v>
      </c>
      <c r="G9" s="793"/>
      <c r="H9" s="154">
        <f>SUMIF(63:63,G9,64:64)-SUMIF(63:63,C9,64:64)+100</f>
        <v>100</v>
      </c>
      <c r="I9" s="793"/>
      <c r="J9" s="154">
        <f>SUMIF(63:63,I9,64:64)-SUMIF(63:63,C9,64:64)+100</f>
        <v>100</v>
      </c>
      <c r="K9" s="789"/>
      <c r="L9" s="1741"/>
      <c r="M9" s="1638"/>
      <c r="N9" s="1638"/>
      <c r="O9" s="1742"/>
      <c r="P9" s="3598" t="s">
        <v>482</v>
      </c>
      <c r="Q9" s="817" t="str">
        <f t="shared" ref="Q9:Q15" si="6">B9</f>
        <v>用途</v>
      </c>
      <c r="R9" s="1301" t="s">
        <v>5</v>
      </c>
      <c r="S9" s="1302">
        <f t="shared" si="0"/>
        <v>100</v>
      </c>
      <c r="T9" s="1301" t="s">
        <v>5</v>
      </c>
      <c r="U9" s="1302">
        <f t="shared" si="1"/>
        <v>100</v>
      </c>
      <c r="V9" s="1301" t="s">
        <v>5</v>
      </c>
      <c r="W9" s="1302">
        <f t="shared" si="2"/>
        <v>100</v>
      </c>
      <c r="X9" s="1303"/>
      <c r="Y9" s="3540" t="s">
        <v>483</v>
      </c>
      <c r="Z9" s="994" t="str">
        <f t="shared" ref="Z9:Z15" si="7">Q9</f>
        <v>用途</v>
      </c>
      <c r="AA9" s="994">
        <f t="shared" si="3"/>
        <v>1</v>
      </c>
      <c r="AB9" s="994">
        <f t="shared" si="4"/>
        <v>1</v>
      </c>
      <c r="AC9" s="994">
        <f t="shared" si="5"/>
        <v>1</v>
      </c>
    </row>
    <row r="10" spans="1:29" s="1130" customFormat="1" ht="27">
      <c r="A10" s="2210"/>
      <c r="B10" s="2215" t="s">
        <v>2037</v>
      </c>
      <c r="C10" s="3385"/>
      <c r="D10" s="235">
        <v>100</v>
      </c>
      <c r="E10" s="3386"/>
      <c r="F10" s="477">
        <f>SUMIF(65:65,E10,66:66)-SUMIF(65:65,C10,66:66)+100</f>
        <v>100</v>
      </c>
      <c r="G10" s="3385"/>
      <c r="H10" s="235">
        <f>SUMIF(65:65,G10,66:66)-SUMIF(65:65,C10,66:66)+100</f>
        <v>100</v>
      </c>
      <c r="I10" s="3385"/>
      <c r="J10" s="235">
        <f>SUMIF(65:65,I10,66:66)-SUMIF(65:65,C10,66:66)+100</f>
        <v>100</v>
      </c>
      <c r="K10" s="789"/>
      <c r="L10" s="1743"/>
      <c r="M10" s="1776"/>
      <c r="N10" s="1776"/>
      <c r="O10" s="1744"/>
      <c r="P10" s="3598"/>
      <c r="Q10" s="817"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1"/>
      <c r="B11" s="2215" t="s">
        <v>2038</v>
      </c>
      <c r="C11" s="483">
        <v>1.8</v>
      </c>
      <c r="D11" s="235">
        <v>100</v>
      </c>
      <c r="E11" s="484">
        <v>2.4300000000000002</v>
      </c>
      <c r="F11" s="477">
        <f>LOOKUP(E11,68:68,69:69)-LOOKUP(C11,68:68,69:69)+100</f>
        <v>98</v>
      </c>
      <c r="G11" s="483">
        <v>2.6</v>
      </c>
      <c r="H11" s="235">
        <f>LOOKUP(G11,68:68,69:69)-LOOKUP(C11,68:68,69:69)+100</f>
        <v>98</v>
      </c>
      <c r="I11" s="483">
        <v>2.6</v>
      </c>
      <c r="J11" s="235">
        <f>LOOKUP(I11,68:68,69:69)-LOOKUP(C11,68:68,69:69)+100</f>
        <v>98</v>
      </c>
      <c r="K11" s="794">
        <v>2</v>
      </c>
      <c r="L11" s="1745"/>
      <c r="M11" s="1740"/>
      <c r="N11" s="1740"/>
      <c r="O11" s="1746"/>
      <c r="P11" s="3598"/>
      <c r="Q11" s="817" t="str">
        <f t="shared" si="6"/>
        <v>容积率</v>
      </c>
      <c r="R11" s="1301" t="s">
        <v>8</v>
      </c>
      <c r="S11" s="1302">
        <f t="shared" si="0"/>
        <v>98</v>
      </c>
      <c r="T11" s="1301" t="s">
        <v>8</v>
      </c>
      <c r="U11" s="1302">
        <f t="shared" si="1"/>
        <v>98</v>
      </c>
      <c r="V11" s="1301" t="s">
        <v>8</v>
      </c>
      <c r="W11" s="1302">
        <f t="shared" si="2"/>
        <v>98</v>
      </c>
      <c r="X11" s="1303"/>
      <c r="Y11" s="3540"/>
      <c r="Z11" s="994" t="str">
        <f t="shared" si="7"/>
        <v>容积率</v>
      </c>
      <c r="AA11" s="994">
        <f t="shared" si="3"/>
        <v>1.0204081632653061</v>
      </c>
      <c r="AB11" s="994">
        <f t="shared" si="4"/>
        <v>1.0204081632653061</v>
      </c>
      <c r="AC11" s="994">
        <f t="shared" si="5"/>
        <v>1.0204081632653061</v>
      </c>
    </row>
    <row r="12" spans="1:29" s="1057" customFormat="1" ht="15">
      <c r="A12" s="2212"/>
      <c r="B12" s="2218">
        <v>111</v>
      </c>
      <c r="C12" s="478"/>
      <c r="D12" s="488">
        <v>100</v>
      </c>
      <c r="E12" s="478"/>
      <c r="F12" s="477">
        <f>SUMIF(70:70,E12,71:71)-SUMIF(70:70,C12,71:71)+100</f>
        <v>100</v>
      </c>
      <c r="G12" s="478"/>
      <c r="H12" s="235">
        <f>SUMIF(70:70,G12,71:71)-SUMIF(70:70,C12,71:71)+100</f>
        <v>100</v>
      </c>
      <c r="I12" s="478"/>
      <c r="J12" s="235">
        <f>SUMIF(70:70,I12,71:71)-SUMIF(70:70,C12,71:71)+100</f>
        <v>100</v>
      </c>
      <c r="K12" s="795"/>
      <c r="L12" s="1741"/>
      <c r="M12" s="1638"/>
      <c r="N12" s="1638"/>
      <c r="O12" s="1742"/>
      <c r="P12" s="3598"/>
      <c r="Q12" s="817">
        <f t="shared" si="6"/>
        <v>111</v>
      </c>
      <c r="R12" s="1301" t="s">
        <v>8</v>
      </c>
      <c r="S12" s="1302">
        <f t="shared" si="0"/>
        <v>100</v>
      </c>
      <c r="T12" s="1301" t="s">
        <v>8</v>
      </c>
      <c r="U12" s="1302">
        <f t="shared" si="1"/>
        <v>100</v>
      </c>
      <c r="V12" s="1301" t="s">
        <v>8</v>
      </c>
      <c r="W12" s="1302">
        <f t="shared" si="2"/>
        <v>100</v>
      </c>
      <c r="X12" s="1303"/>
      <c r="Y12" s="3540"/>
      <c r="Z12" s="994">
        <f t="shared" si="7"/>
        <v>111</v>
      </c>
      <c r="AA12" s="994">
        <f>D12/F12</f>
        <v>1</v>
      </c>
      <c r="AB12" s="994">
        <f>D12/H12</f>
        <v>1</v>
      </c>
      <c r="AC12" s="994">
        <f>D12/J12</f>
        <v>1</v>
      </c>
    </row>
    <row r="13" spans="1:29" ht="15">
      <c r="A13" s="2212"/>
      <c r="B13" s="2218">
        <v>111</v>
      </c>
      <c r="C13" s="489"/>
      <c r="D13" s="490">
        <v>100</v>
      </c>
      <c r="E13" s="489"/>
      <c r="F13" s="477">
        <f>SUMIF(72:72,E13,73:73)-SUMIF(72:72,C13,73:73)+100</f>
        <v>100</v>
      </c>
      <c r="G13" s="489"/>
      <c r="H13" s="490">
        <f>SUMIF(72:72,G13,73:73)-SUMIF(72:72,C13,73:73)+100</f>
        <v>100</v>
      </c>
      <c r="I13" s="489"/>
      <c r="J13" s="490">
        <f>SUMIF(72:72,I13,73:73)-SUMIF(72:72,C13,73:73)+100</f>
        <v>100</v>
      </c>
      <c r="K13" s="795"/>
      <c r="L13" s="1747"/>
      <c r="M13" s="1740"/>
      <c r="N13" s="1740"/>
      <c r="O13" s="1746"/>
      <c r="P13" s="3598"/>
      <c r="Q13" s="817">
        <f t="shared" si="6"/>
        <v>111</v>
      </c>
      <c r="R13" s="1301" t="s">
        <v>8</v>
      </c>
      <c r="S13" s="1302">
        <f t="shared" si="0"/>
        <v>100</v>
      </c>
      <c r="T13" s="1301" t="s">
        <v>8</v>
      </c>
      <c r="U13" s="1302">
        <f t="shared" si="1"/>
        <v>100</v>
      </c>
      <c r="V13" s="1301" t="s">
        <v>8</v>
      </c>
      <c r="W13" s="1302">
        <f t="shared" si="2"/>
        <v>100</v>
      </c>
      <c r="X13" s="1303"/>
      <c r="Y13" s="3540"/>
      <c r="Z13" s="994">
        <f t="shared" si="7"/>
        <v>111</v>
      </c>
      <c r="AA13" s="994">
        <f t="shared" si="3"/>
        <v>1</v>
      </c>
      <c r="AB13" s="994">
        <f t="shared" si="4"/>
        <v>1</v>
      </c>
      <c r="AC13" s="994">
        <f t="shared" si="5"/>
        <v>1</v>
      </c>
    </row>
    <row r="14" spans="1:29" ht="15.75" thickBot="1">
      <c r="A14" s="2213"/>
      <c r="B14" s="2219">
        <v>111</v>
      </c>
      <c r="C14" s="495"/>
      <c r="D14" s="496">
        <v>100</v>
      </c>
      <c r="E14" s="495"/>
      <c r="F14" s="796">
        <f>SUMIF(74:74,E14,75:75)-SUMIF(74:74,C14,75:75)+100</f>
        <v>100</v>
      </c>
      <c r="G14" s="495"/>
      <c r="H14" s="496">
        <f>SUMIF(74:74,G14,75:75)-SUMIF(74:74,C14,75:75)+100</f>
        <v>100</v>
      </c>
      <c r="I14" s="495"/>
      <c r="J14" s="496">
        <f>SUMIF(74:74,I14,75:75)-SUMIF(74:74,C14,75:75)+100</f>
        <v>100</v>
      </c>
      <c r="K14" s="795"/>
      <c r="L14" s="1747"/>
      <c r="M14" s="1740"/>
      <c r="N14" s="1740"/>
      <c r="O14" s="1746"/>
      <c r="P14" s="3598"/>
      <c r="Q14" s="817">
        <f t="shared" si="6"/>
        <v>111</v>
      </c>
      <c r="R14" s="1301" t="s">
        <v>8</v>
      </c>
      <c r="S14" s="1302">
        <f t="shared" si="0"/>
        <v>100</v>
      </c>
      <c r="T14" s="1301" t="s">
        <v>8</v>
      </c>
      <c r="U14" s="1302">
        <f t="shared" si="1"/>
        <v>100</v>
      </c>
      <c r="V14" s="1301" t="s">
        <v>8</v>
      </c>
      <c r="W14" s="1302">
        <f t="shared" si="2"/>
        <v>100</v>
      </c>
      <c r="X14" s="1303"/>
      <c r="Y14" s="3540"/>
      <c r="Z14" s="994">
        <f t="shared" si="7"/>
        <v>111</v>
      </c>
      <c r="AA14" s="994">
        <f t="shared" si="3"/>
        <v>1</v>
      </c>
      <c r="AB14" s="994">
        <f t="shared" si="4"/>
        <v>1</v>
      </c>
      <c r="AC14" s="994">
        <f t="shared" si="5"/>
        <v>1</v>
      </c>
    </row>
    <row r="15" spans="1:29" ht="15">
      <c r="A15" s="2205" t="s">
        <v>2034</v>
      </c>
      <c r="B15" s="150" t="s">
        <v>261</v>
      </c>
      <c r="C15" s="797">
        <f>估价对象房地状况!C3</f>
        <v>0</v>
      </c>
      <c r="D15" s="499">
        <v>100</v>
      </c>
      <c r="E15" s="500"/>
      <c r="F15" s="501">
        <f>SUMIF(76:76,E16,77:77)-SUMIF(76:76,C16,77:77)+100</f>
        <v>108</v>
      </c>
      <c r="G15" s="502"/>
      <c r="H15" s="499">
        <f>SUMIF(76:76,G16,77:77)-SUMIF(76:76,C16,77:77)+100</f>
        <v>108</v>
      </c>
      <c r="I15" s="500"/>
      <c r="J15" s="499">
        <f>SUMIF(76:76,I16,77:77)-SUMIF(76:76,C16,77:77)+100</f>
        <v>108</v>
      </c>
      <c r="K15" s="798">
        <v>4</v>
      </c>
      <c r="L15" s="1747"/>
      <c r="M15" s="1740"/>
      <c r="N15" s="1740"/>
      <c r="O15" s="1746"/>
      <c r="P15" s="3631" t="s">
        <v>487</v>
      </c>
      <c r="Q15" s="1304" t="str">
        <f t="shared" si="6"/>
        <v>居住社区成熟度</v>
      </c>
      <c r="R15" s="1305" t="s">
        <v>8</v>
      </c>
      <c r="S15" s="1306">
        <f t="shared" si="0"/>
        <v>108</v>
      </c>
      <c r="T15" s="1305" t="s">
        <v>8</v>
      </c>
      <c r="U15" s="1306">
        <f t="shared" si="1"/>
        <v>108</v>
      </c>
      <c r="V15" s="1305" t="s">
        <v>8</v>
      </c>
      <c r="W15" s="1306">
        <f t="shared" si="2"/>
        <v>108</v>
      </c>
      <c r="X15" s="1300"/>
      <c r="Y15" s="3631" t="s">
        <v>487</v>
      </c>
      <c r="Z15" s="1307" t="str">
        <f t="shared" si="7"/>
        <v>居住社区成熟度</v>
      </c>
      <c r="AA15" s="1307">
        <f t="shared" si="3"/>
        <v>0.92592592592592593</v>
      </c>
      <c r="AB15" s="1307">
        <f t="shared" si="4"/>
        <v>0.92592592592592593</v>
      </c>
      <c r="AC15" s="1307">
        <f t="shared" si="5"/>
        <v>0.92592592592592593</v>
      </c>
    </row>
    <row r="16" spans="1:29" ht="15">
      <c r="A16" s="482"/>
      <c r="B16" s="799"/>
      <c r="C16" s="526" t="s">
        <v>3533</v>
      </c>
      <c r="D16" s="505"/>
      <c r="E16" s="506" t="s">
        <v>3535</v>
      </c>
      <c r="F16" s="507"/>
      <c r="G16" s="506" t="s">
        <v>3535</v>
      </c>
      <c r="H16" s="509"/>
      <c r="I16" s="506" t="s">
        <v>3535</v>
      </c>
      <c r="J16" s="505"/>
      <c r="K16" s="800"/>
      <c r="L16" s="1747"/>
      <c r="M16" s="1740"/>
      <c r="N16" s="1740"/>
      <c r="O16" s="1746"/>
      <c r="P16" s="3632"/>
      <c r="Q16" s="1304"/>
      <c r="R16" s="1305"/>
      <c r="S16" s="1306"/>
      <c r="T16" s="1305"/>
      <c r="U16" s="1306"/>
      <c r="V16" s="1305"/>
      <c r="W16" s="1306"/>
      <c r="X16" s="1300"/>
      <c r="Y16" s="3632"/>
      <c r="Z16" s="1307"/>
      <c r="AA16" s="1307">
        <v>1</v>
      </c>
      <c r="AB16" s="1307">
        <v>1</v>
      </c>
      <c r="AC16" s="1307">
        <v>1</v>
      </c>
    </row>
    <row r="17" spans="1:29" ht="15">
      <c r="A17" s="482"/>
      <c r="B17" s="677" t="s">
        <v>262</v>
      </c>
      <c r="C17" s="801">
        <f>估价对象房地状况!C6</f>
        <v>0</v>
      </c>
      <c r="D17" s="509">
        <v>100</v>
      </c>
      <c r="E17" s="512"/>
      <c r="F17" s="513">
        <f>SUMIF(78:78,E18,79:79)-SUMIF(78:78,C18,79:79)+100</f>
        <v>106</v>
      </c>
      <c r="G17" s="514"/>
      <c r="H17" s="515">
        <f>SUMIF(78:78,G18,79:79)-SUMIF(78:78,C18,79:79)+100</f>
        <v>106</v>
      </c>
      <c r="I17" s="512"/>
      <c r="J17" s="515">
        <f>SUMIF(78:78,I18,79:79)-SUMIF(78:78,C18,79:79)+100</f>
        <v>106</v>
      </c>
      <c r="K17" s="798">
        <v>3</v>
      </c>
      <c r="L17" s="1747"/>
      <c r="M17" s="1740"/>
      <c r="N17" s="1740"/>
      <c r="O17" s="1746"/>
      <c r="P17" s="3632"/>
      <c r="Q17" s="1304" t="str">
        <f>B17</f>
        <v>交通便捷度</v>
      </c>
      <c r="R17" s="1305" t="s">
        <v>8</v>
      </c>
      <c r="S17" s="1306">
        <f>F17</f>
        <v>106</v>
      </c>
      <c r="T17" s="1305" t="s">
        <v>8</v>
      </c>
      <c r="U17" s="1306">
        <f>H17</f>
        <v>106</v>
      </c>
      <c r="V17" s="1305" t="s">
        <v>8</v>
      </c>
      <c r="W17" s="1306">
        <f>J17</f>
        <v>106</v>
      </c>
      <c r="X17" s="1300"/>
      <c r="Y17" s="3632"/>
      <c r="Z17" s="1307" t="str">
        <f>Q17</f>
        <v>交通便捷度</v>
      </c>
      <c r="AA17" s="1307">
        <f t="shared" si="3"/>
        <v>0.94339622641509435</v>
      </c>
      <c r="AB17" s="1307">
        <f t="shared" si="4"/>
        <v>0.94339622641509435</v>
      </c>
      <c r="AC17" s="1307">
        <f t="shared" si="5"/>
        <v>0.94339622641509435</v>
      </c>
    </row>
    <row r="18" spans="1:29" ht="15">
      <c r="A18" s="482"/>
      <c r="B18" s="544"/>
      <c r="C18" s="802" t="s">
        <v>3533</v>
      </c>
      <c r="D18" s="509"/>
      <c r="E18" s="506" t="s">
        <v>3535</v>
      </c>
      <c r="F18" s="513"/>
      <c r="G18" s="506" t="s">
        <v>3535</v>
      </c>
      <c r="H18" s="505"/>
      <c r="I18" s="506" t="s">
        <v>3535</v>
      </c>
      <c r="J18" s="505"/>
      <c r="K18" s="800"/>
      <c r="L18" s="1747"/>
      <c r="M18" s="1740"/>
      <c r="N18" s="1740"/>
      <c r="O18" s="1746"/>
      <c r="P18" s="3632"/>
      <c r="Q18" s="1304"/>
      <c r="R18" s="1305"/>
      <c r="S18" s="1306"/>
      <c r="T18" s="1305"/>
      <c r="U18" s="1306"/>
      <c r="V18" s="1305"/>
      <c r="W18" s="1306"/>
      <c r="X18" s="1300"/>
      <c r="Y18" s="3632"/>
      <c r="Z18" s="1307"/>
      <c r="AA18" s="1307">
        <v>1</v>
      </c>
      <c r="AB18" s="1307">
        <v>1</v>
      </c>
      <c r="AC18" s="1307">
        <v>1</v>
      </c>
    </row>
    <row r="19" spans="1:29" ht="15">
      <c r="A19" s="482"/>
      <c r="B19" s="2057" t="s">
        <v>1827</v>
      </c>
      <c r="C19" s="801">
        <f>估价对象房地状况!C7</f>
        <v>0</v>
      </c>
      <c r="D19" s="515">
        <v>100</v>
      </c>
      <c r="E19" s="520"/>
      <c r="F19" s="521">
        <f>SUMIF(80:80,E20,81:81)-SUMIF(80:80,C20,81:81)+100</f>
        <v>106</v>
      </c>
      <c r="G19" s="522"/>
      <c r="H19" s="509">
        <f>SUMIF(80:80,G20,81:81)-SUMIF(80:80,C20,81:81)+100</f>
        <v>106</v>
      </c>
      <c r="I19" s="520"/>
      <c r="J19" s="509">
        <f>SUMIF(80:80,I20,81:81)-SUMIF(80:80,C20,81:81)+100</f>
        <v>106</v>
      </c>
      <c r="K19" s="798">
        <v>3</v>
      </c>
      <c r="L19" s="1747"/>
      <c r="M19" s="1740"/>
      <c r="N19" s="1740"/>
      <c r="O19" s="1746"/>
      <c r="P19" s="3632"/>
      <c r="Q19" s="1304" t="str">
        <f>B19</f>
        <v>公共配套设施</v>
      </c>
      <c r="R19" s="1305" t="s">
        <v>8</v>
      </c>
      <c r="S19" s="1306">
        <f>F19</f>
        <v>106</v>
      </c>
      <c r="T19" s="1305" t="s">
        <v>8</v>
      </c>
      <c r="U19" s="1306">
        <f>H19</f>
        <v>106</v>
      </c>
      <c r="V19" s="1305" t="s">
        <v>8</v>
      </c>
      <c r="W19" s="1306">
        <f>J19</f>
        <v>106</v>
      </c>
      <c r="X19" s="1300"/>
      <c r="Y19" s="3632"/>
      <c r="Z19" s="1307" t="str">
        <f>Q19</f>
        <v>公共配套设施</v>
      </c>
      <c r="AA19" s="1307">
        <f t="shared" si="3"/>
        <v>0.94339622641509435</v>
      </c>
      <c r="AB19" s="1307">
        <f t="shared" si="4"/>
        <v>0.94339622641509435</v>
      </c>
      <c r="AC19" s="1307">
        <f t="shared" si="5"/>
        <v>0.94339622641509435</v>
      </c>
    </row>
    <row r="20" spans="1:29" ht="15">
      <c r="A20" s="482"/>
      <c r="B20" s="544"/>
      <c r="C20" s="526" t="s">
        <v>3533</v>
      </c>
      <c r="D20" s="505"/>
      <c r="E20" s="506" t="s">
        <v>3535</v>
      </c>
      <c r="F20" s="507"/>
      <c r="G20" s="506" t="s">
        <v>3535</v>
      </c>
      <c r="H20" s="505"/>
      <c r="I20" s="506" t="s">
        <v>3535</v>
      </c>
      <c r="J20" s="505"/>
      <c r="K20" s="800"/>
      <c r="L20" s="1747"/>
      <c r="M20" s="1740"/>
      <c r="N20" s="1740"/>
      <c r="O20" s="1746"/>
      <c r="P20" s="3632"/>
      <c r="Q20" s="1304"/>
      <c r="R20" s="1305"/>
      <c r="S20" s="1306"/>
      <c r="T20" s="1305"/>
      <c r="U20" s="1306"/>
      <c r="V20" s="1305"/>
      <c r="W20" s="1306"/>
      <c r="X20" s="1300"/>
      <c r="Y20" s="3632"/>
      <c r="Z20" s="1307"/>
      <c r="AA20" s="1307">
        <v>1</v>
      </c>
      <c r="AB20" s="1307">
        <v>1</v>
      </c>
      <c r="AC20" s="1307">
        <v>1</v>
      </c>
    </row>
    <row r="21" spans="1:29" ht="15">
      <c r="A21" s="482"/>
      <c r="B21" s="2050" t="s">
        <v>1839</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v>2</v>
      </c>
      <c r="L21" s="1747"/>
      <c r="M21" s="1740"/>
      <c r="N21" s="1740"/>
      <c r="O21" s="1746"/>
      <c r="P21" s="3632"/>
      <c r="Q21" s="1304" t="str">
        <f>B21</f>
        <v>基础设施水平</v>
      </c>
      <c r="R21" s="1305" t="s">
        <v>8</v>
      </c>
      <c r="S21" s="1306">
        <f>F21</f>
        <v>100</v>
      </c>
      <c r="T21" s="1305" t="s">
        <v>8</v>
      </c>
      <c r="U21" s="1306">
        <f>H21</f>
        <v>100</v>
      </c>
      <c r="V21" s="1305" t="s">
        <v>8</v>
      </c>
      <c r="W21" s="1306">
        <f>J21</f>
        <v>100</v>
      </c>
      <c r="X21" s="1300"/>
      <c r="Y21" s="3632"/>
      <c r="Z21" s="1307" t="str">
        <f>Q21</f>
        <v>基础设施水平</v>
      </c>
      <c r="AA21" s="1307">
        <f>D21/F21</f>
        <v>1</v>
      </c>
      <c r="AB21" s="1307">
        <f>D21/H21</f>
        <v>1</v>
      </c>
      <c r="AC21" s="1307">
        <f>D21/J21</f>
        <v>1</v>
      </c>
    </row>
    <row r="22" spans="1:29" ht="15">
      <c r="A22" s="482"/>
      <c r="B22" s="843"/>
      <c r="C22" s="802" t="s">
        <v>3534</v>
      </c>
      <c r="D22" s="505"/>
      <c r="E22" s="802" t="s">
        <v>3534</v>
      </c>
      <c r="F22" s="507"/>
      <c r="G22" s="802" t="s">
        <v>3534</v>
      </c>
      <c r="H22" s="505"/>
      <c r="I22" s="802" t="s">
        <v>3534</v>
      </c>
      <c r="J22" s="505"/>
      <c r="K22" s="2056"/>
      <c r="L22" s="1747"/>
      <c r="M22" s="1740"/>
      <c r="N22" s="1740"/>
      <c r="O22" s="1746"/>
      <c r="P22" s="3632"/>
      <c r="Q22" s="1304"/>
      <c r="R22" s="1305"/>
      <c r="S22" s="1306"/>
      <c r="T22" s="1305"/>
      <c r="U22" s="1306"/>
      <c r="V22" s="1305"/>
      <c r="W22" s="1306"/>
      <c r="X22" s="1300"/>
      <c r="Y22" s="3632"/>
      <c r="Z22" s="1307"/>
      <c r="AA22" s="1307">
        <v>1</v>
      </c>
      <c r="AB22" s="1307">
        <v>1</v>
      </c>
      <c r="AC22" s="1307">
        <v>1</v>
      </c>
    </row>
    <row r="23" spans="1:29" ht="15">
      <c r="A23" s="482"/>
      <c r="B23" s="677" t="s">
        <v>263</v>
      </c>
      <c r="C23" s="801">
        <f>估价对象房地状况!C9</f>
        <v>0</v>
      </c>
      <c r="D23" s="509">
        <v>100</v>
      </c>
      <c r="E23" s="512"/>
      <c r="F23" s="513">
        <f>SUMIF(84:84,E24,85:85)-SUMIF(84:84,C24,85:85)+100</f>
        <v>106</v>
      </c>
      <c r="G23" s="514"/>
      <c r="H23" s="509">
        <f>SUMIF(84:84,G24,85:85)-SUMIF(84:84,C24,85:85)+100</f>
        <v>106</v>
      </c>
      <c r="I23" s="512"/>
      <c r="J23" s="509">
        <f>SUMIF(84:84,I24,85:85)-SUMIF(84:84,C24,85:85)+100</f>
        <v>106</v>
      </c>
      <c r="K23" s="798">
        <v>3</v>
      </c>
      <c r="L23" s="1747"/>
      <c r="M23" s="1740"/>
      <c r="N23" s="1740"/>
      <c r="O23" s="1746"/>
      <c r="P23" s="3632"/>
      <c r="Q23" s="1304" t="str">
        <f>B23</f>
        <v>自然及人文环境</v>
      </c>
      <c r="R23" s="1305" t="s">
        <v>8</v>
      </c>
      <c r="S23" s="1306">
        <f>F23</f>
        <v>106</v>
      </c>
      <c r="T23" s="1305" t="s">
        <v>8</v>
      </c>
      <c r="U23" s="1306">
        <f>H23</f>
        <v>106</v>
      </c>
      <c r="V23" s="1305" t="s">
        <v>8</v>
      </c>
      <c r="W23" s="1306">
        <f>J23</f>
        <v>106</v>
      </c>
      <c r="X23" s="1300"/>
      <c r="Y23" s="3632"/>
      <c r="Z23" s="1307" t="str">
        <f>Q23</f>
        <v>自然及人文环境</v>
      </c>
      <c r="AA23" s="1307">
        <f t="shared" si="3"/>
        <v>0.94339622641509435</v>
      </c>
      <c r="AB23" s="1307">
        <f t="shared" si="4"/>
        <v>0.94339622641509435</v>
      </c>
      <c r="AC23" s="1307">
        <f t="shared" si="5"/>
        <v>0.94339622641509435</v>
      </c>
    </row>
    <row r="24" spans="1:29" ht="15">
      <c r="A24" s="482"/>
      <c r="B24" s="544"/>
      <c r="C24" s="526" t="s">
        <v>3533</v>
      </c>
      <c r="D24" s="505"/>
      <c r="E24" s="506" t="s">
        <v>3535</v>
      </c>
      <c r="F24" s="507"/>
      <c r="G24" s="506" t="s">
        <v>3535</v>
      </c>
      <c r="H24" s="505"/>
      <c r="I24" s="506" t="s">
        <v>3535</v>
      </c>
      <c r="J24" s="505"/>
      <c r="K24" s="800"/>
      <c r="L24" s="1747"/>
      <c r="M24" s="1740"/>
      <c r="N24" s="1740"/>
      <c r="O24" s="1746"/>
      <c r="P24" s="3632"/>
      <c r="Q24" s="1304"/>
      <c r="R24" s="1305"/>
      <c r="S24" s="1306"/>
      <c r="T24" s="1305"/>
      <c r="U24" s="1306"/>
      <c r="V24" s="1305"/>
      <c r="W24" s="1306"/>
      <c r="X24" s="1300"/>
      <c r="Y24" s="3632"/>
      <c r="Z24" s="1307"/>
      <c r="AA24" s="1307">
        <v>1</v>
      </c>
      <c r="AB24" s="1307">
        <v>1</v>
      </c>
      <c r="AC24" s="1307">
        <v>1</v>
      </c>
    </row>
    <row r="25" spans="1:29" ht="15">
      <c r="A25" s="482"/>
      <c r="B25" s="1552" t="s">
        <v>1613</v>
      </c>
      <c r="C25" s="524"/>
      <c r="D25" s="490">
        <v>100</v>
      </c>
      <c r="E25" s="803"/>
      <c r="F25" s="525">
        <f>SUMIF(86:86,E25,87:87)-SUMIF(86:86,C25,87:87)+100</f>
        <v>100</v>
      </c>
      <c r="G25" s="548"/>
      <c r="H25" s="490">
        <f>SUMIF(86:86,G25,87:87)-SUMIF(86:86,C25,87:87)+100</f>
        <v>100</v>
      </c>
      <c r="I25" s="803"/>
      <c r="J25" s="490">
        <f>SUMIF(86:86,I25,87:87)-SUMIF(86:86,C25,87:87)+100</f>
        <v>100</v>
      </c>
      <c r="K25" s="794"/>
      <c r="L25" s="1747"/>
      <c r="M25" s="1740"/>
      <c r="N25" s="1740"/>
      <c r="O25" s="1746"/>
      <c r="P25" s="3632"/>
      <c r="Q25" s="1304" t="str">
        <f t="shared" ref="Q25:Q46" si="8">B25</f>
        <v>楼层-1</v>
      </c>
      <c r="R25" s="1305" t="s">
        <v>8</v>
      </c>
      <c r="S25" s="1306">
        <f>F25</f>
        <v>100</v>
      </c>
      <c r="T25" s="1305" t="s">
        <v>8</v>
      </c>
      <c r="U25" s="1306">
        <f>H25</f>
        <v>100</v>
      </c>
      <c r="V25" s="1305" t="s">
        <v>8</v>
      </c>
      <c r="W25" s="1306">
        <f>J25</f>
        <v>100</v>
      </c>
      <c r="X25" s="1300"/>
      <c r="Y25" s="3632"/>
      <c r="Z25" s="1307" t="str">
        <f>Q25</f>
        <v>楼层-1</v>
      </c>
      <c r="AA25" s="1307">
        <f t="shared" si="3"/>
        <v>1</v>
      </c>
      <c r="AB25" s="1307">
        <f t="shared" si="4"/>
        <v>1</v>
      </c>
      <c r="AC25" s="1307">
        <f t="shared" si="5"/>
        <v>1</v>
      </c>
    </row>
    <row r="26" spans="1:29" ht="15">
      <c r="A26" s="482"/>
      <c r="B26" s="477" t="s">
        <v>668</v>
      </c>
      <c r="C26" s="524"/>
      <c r="D26" s="490">
        <v>100</v>
      </c>
      <c r="E26" s="803"/>
      <c r="F26" s="525">
        <f>SUMIF(88:88,E26,89:89)-SUMIF(88:88,C26,89:89)+100</f>
        <v>100</v>
      </c>
      <c r="G26" s="548"/>
      <c r="H26" s="490">
        <f>SUMIF(88:88,G26,89:89)-SUMIF(88:88,C26,89:89)+100</f>
        <v>100</v>
      </c>
      <c r="I26" s="803"/>
      <c r="J26" s="490">
        <f>SUMIF(88:88,I26,89:89)-SUMIF(88:88,C26,89:89)+100</f>
        <v>100</v>
      </c>
      <c r="K26" s="794"/>
      <c r="L26" s="1747"/>
      <c r="M26" s="1740"/>
      <c r="N26" s="1740"/>
      <c r="O26" s="1746"/>
      <c r="P26" s="3632"/>
      <c r="Q26" s="1304" t="str">
        <f t="shared" si="8"/>
        <v>朝向</v>
      </c>
      <c r="R26" s="1305" t="s">
        <v>8</v>
      </c>
      <c r="S26" s="1306">
        <f>F26</f>
        <v>100</v>
      </c>
      <c r="T26" s="1305" t="s">
        <v>8</v>
      </c>
      <c r="U26" s="1306">
        <f>H26</f>
        <v>100</v>
      </c>
      <c r="V26" s="1305" t="s">
        <v>8</v>
      </c>
      <c r="W26" s="1306">
        <f>J26</f>
        <v>100</v>
      </c>
      <c r="X26" s="1300"/>
      <c r="Y26" s="3632"/>
      <c r="Z26" s="1307" t="str">
        <f>Q26</f>
        <v>朝向</v>
      </c>
      <c r="AA26" s="1307">
        <f t="shared" si="3"/>
        <v>1</v>
      </c>
      <c r="AB26" s="1307">
        <f t="shared" si="4"/>
        <v>1</v>
      </c>
      <c r="AC26" s="1307">
        <f t="shared" si="5"/>
        <v>1</v>
      </c>
    </row>
    <row r="27" spans="1:29" s="1057" customFormat="1" ht="15">
      <c r="A27" s="486"/>
      <c r="B27" s="487" t="s">
        <v>669</v>
      </c>
      <c r="C27" s="478"/>
      <c r="D27" s="516">
        <v>100</v>
      </c>
      <c r="E27" s="480"/>
      <c r="F27" s="544">
        <f>SUMIF(90:90,E27,91:91)-SUMIF(90:90,C27,91:91)+100</f>
        <v>100</v>
      </c>
      <c r="G27" s="479"/>
      <c r="H27" s="516">
        <f>SUMIF(90:90,G27,91:91)-SUMIF(90:90,C27,91:91)+100</f>
        <v>100</v>
      </c>
      <c r="I27" s="480"/>
      <c r="J27" s="516">
        <f>SUMIF(90:90,I27,91:91)-SUMIF(90:90,C27,91:91)+100</f>
        <v>100</v>
      </c>
      <c r="K27" s="795"/>
      <c r="L27" s="1741"/>
      <c r="M27" s="1638"/>
      <c r="N27" s="1638"/>
      <c r="O27" s="1742"/>
      <c r="P27" s="3632"/>
      <c r="Q27" s="817" t="str">
        <f t="shared" si="8"/>
        <v>道路级别</v>
      </c>
      <c r="R27" s="1301" t="s">
        <v>8</v>
      </c>
      <c r="S27" s="1302">
        <f>F27</f>
        <v>100</v>
      </c>
      <c r="T27" s="1301" t="s">
        <v>8</v>
      </c>
      <c r="U27" s="1302">
        <f>H27</f>
        <v>100</v>
      </c>
      <c r="V27" s="1301" t="s">
        <v>8</v>
      </c>
      <c r="W27" s="1302">
        <f>J27</f>
        <v>100</v>
      </c>
      <c r="X27" s="1303"/>
      <c r="Y27" s="3632"/>
      <c r="Z27" s="994" t="str">
        <f>Q27</f>
        <v>道路级别</v>
      </c>
      <c r="AA27" s="1307">
        <f>D27/F27</f>
        <v>1</v>
      </c>
      <c r="AB27" s="1307">
        <f>D27/H27</f>
        <v>1</v>
      </c>
      <c r="AC27" s="1307">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7"/>
      <c r="M28" s="1740"/>
      <c r="N28" s="1740"/>
      <c r="O28" s="1746"/>
      <c r="P28" s="3632"/>
      <c r="Q28" s="1304">
        <f t="shared" si="8"/>
        <v>111</v>
      </c>
      <c r="R28" s="1305" t="s">
        <v>8</v>
      </c>
      <c r="S28" s="1306">
        <f t="shared" ref="S28:S46" si="9">F28</f>
        <v>100</v>
      </c>
      <c r="T28" s="1305" t="s">
        <v>8</v>
      </c>
      <c r="U28" s="1306">
        <f t="shared" ref="U28:U46" si="10">H28</f>
        <v>100</v>
      </c>
      <c r="V28" s="1305" t="s">
        <v>8</v>
      </c>
      <c r="W28" s="1306">
        <f t="shared" ref="W28:W46" si="11">J28</f>
        <v>100</v>
      </c>
      <c r="X28" s="1300"/>
      <c r="Y28" s="3632"/>
      <c r="Z28" s="1307">
        <f t="shared" ref="Z28:Z46" si="12">Q28</f>
        <v>111</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7"/>
      <c r="M29" s="1740"/>
      <c r="N29" s="1740"/>
      <c r="O29" s="1746"/>
      <c r="P29" s="3632"/>
      <c r="Q29" s="1304">
        <f t="shared" si="8"/>
        <v>111</v>
      </c>
      <c r="R29" s="1305" t="s">
        <v>8</v>
      </c>
      <c r="S29" s="1306">
        <f t="shared" si="9"/>
        <v>100</v>
      </c>
      <c r="T29" s="1305" t="s">
        <v>8</v>
      </c>
      <c r="U29" s="1306">
        <f t="shared" si="10"/>
        <v>100</v>
      </c>
      <c r="V29" s="1305" t="s">
        <v>8</v>
      </c>
      <c r="W29" s="1306">
        <f t="shared" si="11"/>
        <v>100</v>
      </c>
      <c r="X29" s="1300"/>
      <c r="Y29" s="3632"/>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7"/>
      <c r="M30" s="1740"/>
      <c r="N30" s="1740"/>
      <c r="O30" s="1746"/>
      <c r="P30" s="3632"/>
      <c r="Q30" s="1304">
        <f t="shared" si="8"/>
        <v>111</v>
      </c>
      <c r="R30" s="1305" t="s">
        <v>8</v>
      </c>
      <c r="S30" s="1306">
        <f t="shared" si="9"/>
        <v>100</v>
      </c>
      <c r="T30" s="1305" t="s">
        <v>8</v>
      </c>
      <c r="U30" s="1306">
        <f t="shared" si="10"/>
        <v>100</v>
      </c>
      <c r="V30" s="1305" t="s">
        <v>8</v>
      </c>
      <c r="W30" s="1306">
        <f t="shared" si="11"/>
        <v>100</v>
      </c>
      <c r="X30" s="1300"/>
      <c r="Y30" s="3632"/>
      <c r="Z30" s="1307">
        <f t="shared" si="12"/>
        <v>111</v>
      </c>
      <c r="AA30" s="1307">
        <f t="shared" si="3"/>
        <v>1</v>
      </c>
      <c r="AB30" s="1307">
        <f t="shared" si="4"/>
        <v>1</v>
      </c>
      <c r="AC30" s="1307">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7"/>
      <c r="M31" s="1740"/>
      <c r="N31" s="1740"/>
      <c r="O31" s="1746"/>
      <c r="P31" s="3632"/>
      <c r="Q31" s="1304">
        <f t="shared" si="8"/>
        <v>111</v>
      </c>
      <c r="R31" s="1305" t="s">
        <v>8</v>
      </c>
      <c r="S31" s="1306">
        <f t="shared" si="9"/>
        <v>100</v>
      </c>
      <c r="T31" s="1305" t="s">
        <v>8</v>
      </c>
      <c r="U31" s="1306">
        <f t="shared" si="10"/>
        <v>100</v>
      </c>
      <c r="V31" s="1305" t="s">
        <v>8</v>
      </c>
      <c r="W31" s="1306">
        <f t="shared" si="11"/>
        <v>100</v>
      </c>
      <c r="X31" s="1300"/>
      <c r="Y31" s="3632"/>
      <c r="Z31" s="1307">
        <f t="shared" si="12"/>
        <v>111</v>
      </c>
      <c r="AA31" s="1307">
        <f t="shared" si="3"/>
        <v>1</v>
      </c>
      <c r="AB31" s="1307">
        <f t="shared" si="4"/>
        <v>1</v>
      </c>
      <c r="AC31" s="1307">
        <f t="shared" si="5"/>
        <v>1</v>
      </c>
    </row>
    <row r="32" spans="1:29" ht="15">
      <c r="A32" s="2202" t="s">
        <v>2035</v>
      </c>
      <c r="B32" s="156" t="s">
        <v>670</v>
      </c>
      <c r="C32" s="804" t="s">
        <v>3549</v>
      </c>
      <c r="D32" s="546">
        <v>100</v>
      </c>
      <c r="E32" s="804" t="s">
        <v>3556</v>
      </c>
      <c r="F32" s="525">
        <f>SUMIF(100:100,E32,101:101)-SUMIF(100:100,C32,101:101)+100</f>
        <v>100</v>
      </c>
      <c r="G32" s="804" t="s">
        <v>3556</v>
      </c>
      <c r="H32" s="546">
        <f>SUMIF(100:100,G32,101:101)-SUMIF(100:100,C32,101:101)+100</f>
        <v>100</v>
      </c>
      <c r="I32" s="804" t="s">
        <v>3556</v>
      </c>
      <c r="J32" s="490">
        <f>SUMIF(100:100,I32,101:101)-SUMIF(100:100,C32,101:101)+100</f>
        <v>100</v>
      </c>
      <c r="K32" s="794"/>
      <c r="L32" s="1747"/>
      <c r="M32" s="1740"/>
      <c r="N32" s="1740"/>
      <c r="O32" s="1746"/>
      <c r="P32" s="3633" t="s">
        <v>497</v>
      </c>
      <c r="Q32" s="1304" t="str">
        <f t="shared" si="8"/>
        <v>建筑类型</v>
      </c>
      <c r="R32" s="1305" t="s">
        <v>8</v>
      </c>
      <c r="S32" s="1306">
        <f t="shared" si="9"/>
        <v>100</v>
      </c>
      <c r="T32" s="1305" t="s">
        <v>8</v>
      </c>
      <c r="U32" s="1306">
        <f t="shared" si="10"/>
        <v>100</v>
      </c>
      <c r="V32" s="1305" t="s">
        <v>8</v>
      </c>
      <c r="W32" s="1306">
        <f t="shared" si="11"/>
        <v>100</v>
      </c>
      <c r="X32" s="1300"/>
      <c r="Y32" s="3634" t="s">
        <v>497</v>
      </c>
      <c r="Z32" s="1307" t="str">
        <f t="shared" si="12"/>
        <v>建筑类型</v>
      </c>
      <c r="AA32" s="1307">
        <f t="shared" si="3"/>
        <v>1</v>
      </c>
      <c r="AB32" s="1307">
        <f t="shared" si="4"/>
        <v>1</v>
      </c>
      <c r="AC32" s="1307">
        <f t="shared" si="5"/>
        <v>1</v>
      </c>
    </row>
    <row r="33" spans="1:29" s="1131" customFormat="1" ht="15">
      <c r="A33" s="552"/>
      <c r="B33" s="477" t="s">
        <v>671</v>
      </c>
      <c r="C33" s="805">
        <f>'[3]数据-汇总表'!E3</f>
        <v>40989</v>
      </c>
      <c r="D33" s="235">
        <v>100</v>
      </c>
      <c r="E33" s="805">
        <v>800000</v>
      </c>
      <c r="F33" s="477">
        <f>LOOKUP(E33,103:103,104:104)-LOOKUP(C33,103:103,104:104)+100</f>
        <v>102</v>
      </c>
      <c r="G33" s="805">
        <v>129329.8</v>
      </c>
      <c r="H33" s="235">
        <f>LOOKUP(G33,103:103,104:104)-LOOKUP(C33,103:103,104:104)+100</f>
        <v>100.5</v>
      </c>
      <c r="I33" s="805">
        <v>960809.67</v>
      </c>
      <c r="J33" s="235">
        <f>LOOKUP(I33,103:103,104:104)-LOOKUP(C33,103:103,104:104)+100</f>
        <v>102</v>
      </c>
      <c r="K33" s="795"/>
      <c r="L33" s="1745"/>
      <c r="M33" s="1769"/>
      <c r="N33" s="1769"/>
      <c r="O33" s="1748"/>
      <c r="P33" s="3634"/>
      <c r="Q33" s="818" t="str">
        <f t="shared" si="8"/>
        <v>项目建筑规模</v>
      </c>
      <c r="R33" s="1308" t="s">
        <v>8</v>
      </c>
      <c r="S33" s="1309">
        <f t="shared" si="9"/>
        <v>102</v>
      </c>
      <c r="T33" s="1308" t="s">
        <v>8</v>
      </c>
      <c r="U33" s="1309">
        <f t="shared" si="10"/>
        <v>100.5</v>
      </c>
      <c r="V33" s="1308" t="s">
        <v>8</v>
      </c>
      <c r="W33" s="1309">
        <f t="shared" si="11"/>
        <v>102</v>
      </c>
      <c r="X33" s="1310"/>
      <c r="Y33" s="3634"/>
      <c r="Z33" s="1311" t="str">
        <f t="shared" si="12"/>
        <v>项目建筑规模</v>
      </c>
      <c r="AA33" s="1307">
        <f t="shared" si="3"/>
        <v>0.98039215686274506</v>
      </c>
      <c r="AB33" s="1307">
        <f t="shared" si="4"/>
        <v>0.99502487562189057</v>
      </c>
      <c r="AC33" s="1307">
        <f t="shared" si="5"/>
        <v>0.98039215686274506</v>
      </c>
    </row>
    <row r="34" spans="1:29" ht="15">
      <c r="A34" s="543"/>
      <c r="B34" s="477" t="s">
        <v>672</v>
      </c>
      <c r="C34" s="524" t="s">
        <v>3550</v>
      </c>
      <c r="D34" s="490">
        <v>100</v>
      </c>
      <c r="E34" s="524" t="s">
        <v>3550</v>
      </c>
      <c r="F34" s="525">
        <f>SUMIF(105:105,E34,106:106)-SUMIF(105:105,C34,106:106)+100</f>
        <v>100</v>
      </c>
      <c r="G34" s="524" t="s">
        <v>3550</v>
      </c>
      <c r="H34" s="490">
        <f>SUMIF(105:105,G34,106:106)-SUMIF(105:105,C34,106:106)+100</f>
        <v>100</v>
      </c>
      <c r="I34" s="524" t="s">
        <v>3550</v>
      </c>
      <c r="J34" s="490">
        <f>SUMIF(105:105,I34,106:106)-SUMIF(105:105,C34,106:106)+100</f>
        <v>100</v>
      </c>
      <c r="K34" s="794"/>
      <c r="L34" s="1747"/>
      <c r="M34" s="1740"/>
      <c r="N34" s="1740"/>
      <c r="O34" s="1746"/>
      <c r="P34" s="3634"/>
      <c r="Q34" s="1304" t="str">
        <f t="shared" si="8"/>
        <v>建筑结构</v>
      </c>
      <c r="R34" s="1305" t="s">
        <v>8</v>
      </c>
      <c r="S34" s="1306">
        <f t="shared" si="9"/>
        <v>100</v>
      </c>
      <c r="T34" s="1305" t="s">
        <v>8</v>
      </c>
      <c r="U34" s="1306">
        <f t="shared" si="10"/>
        <v>100</v>
      </c>
      <c r="V34" s="1305" t="s">
        <v>8</v>
      </c>
      <c r="W34" s="1306">
        <f t="shared" si="11"/>
        <v>100</v>
      </c>
      <c r="X34" s="1300"/>
      <c r="Y34" s="3634"/>
      <c r="Z34" s="1307" t="str">
        <f t="shared" si="12"/>
        <v>建筑结构</v>
      </c>
      <c r="AA34" s="1307">
        <f t="shared" si="3"/>
        <v>1</v>
      </c>
      <c r="AB34" s="1307">
        <f t="shared" si="4"/>
        <v>1</v>
      </c>
      <c r="AC34" s="1307">
        <f t="shared" si="5"/>
        <v>1</v>
      </c>
    </row>
    <row r="35" spans="1:29" ht="15">
      <c r="A35" s="543"/>
      <c r="B35" s="477" t="s">
        <v>673</v>
      </c>
      <c r="C35" s="548" t="s">
        <v>3551</v>
      </c>
      <c r="D35" s="490">
        <v>100</v>
      </c>
      <c r="E35" s="548" t="s">
        <v>3551</v>
      </c>
      <c r="F35" s="525">
        <f>SUMIF(107:107,E35,108:108)-SUMIF(107:107,C35,108:108)+100</f>
        <v>100</v>
      </c>
      <c r="G35" s="548" t="s">
        <v>3551</v>
      </c>
      <c r="H35" s="490">
        <f>SUMIF(107:107,G35,108:108)-SUMIF(107:107,C35,108:108)+100</f>
        <v>100</v>
      </c>
      <c r="I35" s="548" t="s">
        <v>3551</v>
      </c>
      <c r="J35" s="490">
        <f>SUMIF(107:107,I35,108:108)-SUMIF(107:107,C35,108:108)+100</f>
        <v>100</v>
      </c>
      <c r="K35" s="794"/>
      <c r="L35" s="1747"/>
      <c r="M35" s="1740"/>
      <c r="N35" s="1740"/>
      <c r="O35" s="1746"/>
      <c r="P35" s="3634"/>
      <c r="Q35" s="1304" t="str">
        <f t="shared" si="8"/>
        <v>建筑品质</v>
      </c>
      <c r="R35" s="1305" t="s">
        <v>8</v>
      </c>
      <c r="S35" s="1306">
        <f t="shared" si="9"/>
        <v>100</v>
      </c>
      <c r="T35" s="1305" t="s">
        <v>8</v>
      </c>
      <c r="U35" s="1306">
        <f t="shared" si="10"/>
        <v>100</v>
      </c>
      <c r="V35" s="1305" t="s">
        <v>8</v>
      </c>
      <c r="W35" s="1306">
        <f t="shared" si="11"/>
        <v>100</v>
      </c>
      <c r="X35" s="1300"/>
      <c r="Y35" s="3634"/>
      <c r="Z35" s="1307" t="str">
        <f t="shared" si="12"/>
        <v>建筑品质</v>
      </c>
      <c r="AA35" s="1307">
        <f t="shared" si="3"/>
        <v>1</v>
      </c>
      <c r="AB35" s="1307">
        <f t="shared" si="4"/>
        <v>1</v>
      </c>
      <c r="AC35" s="1307">
        <f t="shared" si="5"/>
        <v>1</v>
      </c>
    </row>
    <row r="36" spans="1:29" ht="15">
      <c r="A36" s="543"/>
      <c r="B36" s="477" t="s">
        <v>674</v>
      </c>
      <c r="C36" s="548" t="s">
        <v>3552</v>
      </c>
      <c r="D36" s="490">
        <v>100</v>
      </c>
      <c r="E36" s="548" t="s">
        <v>3552</v>
      </c>
      <c r="F36" s="525">
        <f>SUMIF(109:109,E36,110:110)-SUMIF(109:109,C36,110:110)+100</f>
        <v>100</v>
      </c>
      <c r="G36" s="548" t="s">
        <v>3552</v>
      </c>
      <c r="H36" s="490">
        <f>SUMIF(109:109,G36,110:110)-SUMIF(109:109,C36,110:110)+100</f>
        <v>100</v>
      </c>
      <c r="I36" s="548" t="s">
        <v>3552</v>
      </c>
      <c r="J36" s="490">
        <f>SUMIF(109:109,I36,110:110)-SUMIF(109:109,C36,110:110)+100</f>
        <v>100</v>
      </c>
      <c r="K36" s="794"/>
      <c r="L36" s="1747"/>
      <c r="M36" s="1740"/>
      <c r="N36" s="1740"/>
      <c r="O36" s="1746"/>
      <c r="P36" s="3634"/>
      <c r="Q36" s="1304" t="str">
        <f t="shared" si="8"/>
        <v>公共部分装修</v>
      </c>
      <c r="R36" s="1305" t="s">
        <v>8</v>
      </c>
      <c r="S36" s="1306">
        <f t="shared" si="9"/>
        <v>100</v>
      </c>
      <c r="T36" s="1305" t="s">
        <v>8</v>
      </c>
      <c r="U36" s="1306">
        <f t="shared" si="10"/>
        <v>100</v>
      </c>
      <c r="V36" s="1305" t="s">
        <v>8</v>
      </c>
      <c r="W36" s="1306">
        <f t="shared" si="11"/>
        <v>100</v>
      </c>
      <c r="X36" s="1300"/>
      <c r="Y36" s="3634"/>
      <c r="Z36" s="1307" t="str">
        <f t="shared" si="12"/>
        <v>公共部分装修</v>
      </c>
      <c r="AA36" s="1307">
        <f t="shared" si="3"/>
        <v>1</v>
      </c>
      <c r="AB36" s="1307">
        <f t="shared" si="4"/>
        <v>1</v>
      </c>
      <c r="AC36" s="1307">
        <f t="shared" si="5"/>
        <v>1</v>
      </c>
    </row>
    <row r="37" spans="1:29" s="1057" customFormat="1" ht="15">
      <c r="A37" s="549"/>
      <c r="B37" s="477" t="s">
        <v>675</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c r="L37" s="1741"/>
      <c r="M37" s="1638"/>
      <c r="N37" s="1638"/>
      <c r="O37" s="1742"/>
      <c r="P37" s="3634"/>
      <c r="Q37" s="817" t="str">
        <f t="shared" si="8"/>
        <v>成新度</v>
      </c>
      <c r="R37" s="1301" t="s">
        <v>8</v>
      </c>
      <c r="S37" s="1302">
        <f t="shared" si="9"/>
        <v>100</v>
      </c>
      <c r="T37" s="1301" t="s">
        <v>8</v>
      </c>
      <c r="U37" s="1302">
        <f t="shared" si="10"/>
        <v>100</v>
      </c>
      <c r="V37" s="1301" t="s">
        <v>8</v>
      </c>
      <c r="W37" s="1302">
        <f t="shared" si="11"/>
        <v>100</v>
      </c>
      <c r="X37" s="1303"/>
      <c r="Y37" s="3634"/>
      <c r="Z37" s="994" t="str">
        <f t="shared" si="12"/>
        <v>成新度</v>
      </c>
      <c r="AA37" s="994">
        <f t="shared" si="3"/>
        <v>1</v>
      </c>
      <c r="AB37" s="994">
        <f t="shared" si="4"/>
        <v>1</v>
      </c>
      <c r="AC37" s="994">
        <f t="shared" si="5"/>
        <v>1</v>
      </c>
    </row>
    <row r="38" spans="1:29" ht="15">
      <c r="A38" s="543"/>
      <c r="B38" s="477" t="s">
        <v>676</v>
      </c>
      <c r="C38" s="548" t="s">
        <v>3553</v>
      </c>
      <c r="D38" s="490">
        <v>100</v>
      </c>
      <c r="E38" s="548" t="s">
        <v>3553</v>
      </c>
      <c r="F38" s="525">
        <f>SUMIF(114:114,E38,115:115)-SUMIF(114:114,C38,115:115)+100</f>
        <v>100</v>
      </c>
      <c r="G38" s="548" t="s">
        <v>3553</v>
      </c>
      <c r="H38" s="490">
        <f>SUMIF(114:114,G38,115:115)-SUMIF(114:114,C38,115:115)+100</f>
        <v>100</v>
      </c>
      <c r="I38" s="548" t="s">
        <v>3553</v>
      </c>
      <c r="J38" s="490">
        <f>SUMIF(114:114,I38,115:115)-SUMIF(114:114,C38,115:115)+100</f>
        <v>100</v>
      </c>
      <c r="K38" s="794"/>
      <c r="L38" s="1747"/>
      <c r="M38" s="1740"/>
      <c r="N38" s="1740"/>
      <c r="O38" s="1746"/>
      <c r="P38" s="3634" t="s">
        <v>497</v>
      </c>
      <c r="Q38" s="1304" t="str">
        <f t="shared" si="8"/>
        <v>物业管理</v>
      </c>
      <c r="R38" s="1305" t="s">
        <v>8</v>
      </c>
      <c r="S38" s="1306">
        <f t="shared" si="9"/>
        <v>100</v>
      </c>
      <c r="T38" s="1305" t="s">
        <v>8</v>
      </c>
      <c r="U38" s="1306">
        <f t="shared" si="10"/>
        <v>100</v>
      </c>
      <c r="V38" s="1305" t="s">
        <v>8</v>
      </c>
      <c r="W38" s="1306">
        <f t="shared" si="11"/>
        <v>100</v>
      </c>
      <c r="X38" s="1300"/>
      <c r="Y38" s="3634" t="s">
        <v>497</v>
      </c>
      <c r="Z38" s="1307" t="str">
        <f t="shared" si="12"/>
        <v>物业管理</v>
      </c>
      <c r="AA38" s="1307">
        <f t="shared" si="3"/>
        <v>1</v>
      </c>
      <c r="AB38" s="1307">
        <f t="shared" si="4"/>
        <v>1</v>
      </c>
      <c r="AC38" s="1307">
        <f t="shared" si="5"/>
        <v>1</v>
      </c>
    </row>
    <row r="39" spans="1:29" ht="15">
      <c r="A39" s="543"/>
      <c r="B39" s="1552" t="s">
        <v>1845</v>
      </c>
      <c r="C39" s="548" t="s">
        <v>3534</v>
      </c>
      <c r="D39" s="490">
        <v>100</v>
      </c>
      <c r="E39" s="548" t="s">
        <v>3534</v>
      </c>
      <c r="F39" s="525">
        <f>SUMIF(116:116,E39,117:117)-SUMIF(116:116,C39,117:117)+100</f>
        <v>100</v>
      </c>
      <c r="G39" s="548" t="s">
        <v>3534</v>
      </c>
      <c r="H39" s="490">
        <f>SUMIF(116:116,G39,117:117)-SUMIF(116:116,C39,117:117)+100</f>
        <v>100</v>
      </c>
      <c r="I39" s="548" t="s">
        <v>3534</v>
      </c>
      <c r="J39" s="490">
        <f>SUMIF(116:116,I39,117:117)-SUMIF(116:116,C39,117:117)+100</f>
        <v>100</v>
      </c>
      <c r="K39" s="794"/>
      <c r="L39" s="1747"/>
      <c r="M39" s="1740"/>
      <c r="N39" s="1740"/>
      <c r="O39" s="1746"/>
      <c r="P39" s="3634"/>
      <c r="Q39" s="1304" t="str">
        <f t="shared" si="8"/>
        <v>市政基础设施</v>
      </c>
      <c r="R39" s="1305" t="s">
        <v>8</v>
      </c>
      <c r="S39" s="1306">
        <f t="shared" si="9"/>
        <v>100</v>
      </c>
      <c r="T39" s="1305" t="s">
        <v>8</v>
      </c>
      <c r="U39" s="1306">
        <f t="shared" si="10"/>
        <v>100</v>
      </c>
      <c r="V39" s="1305" t="s">
        <v>8</v>
      </c>
      <c r="W39" s="1306">
        <f t="shared" si="11"/>
        <v>100</v>
      </c>
      <c r="X39" s="1300"/>
      <c r="Y39" s="3634"/>
      <c r="Z39" s="1307" t="str">
        <f t="shared" si="12"/>
        <v>市政基础设施</v>
      </c>
      <c r="AA39" s="1307">
        <f t="shared" si="3"/>
        <v>1</v>
      </c>
      <c r="AB39" s="1307">
        <f t="shared" si="4"/>
        <v>1</v>
      </c>
      <c r="AC39" s="1307">
        <f t="shared" si="5"/>
        <v>1</v>
      </c>
    </row>
    <row r="40" spans="1:29" ht="15">
      <c r="A40" s="543"/>
      <c r="B40" s="477" t="s">
        <v>677</v>
      </c>
      <c r="C40" s="548" t="s">
        <v>3554</v>
      </c>
      <c r="D40" s="490">
        <v>100</v>
      </c>
      <c r="E40" s="548" t="s">
        <v>3554</v>
      </c>
      <c r="F40" s="525">
        <f>SUMIF(118:118,E40,119:119)-SUMIF(118:118,C40,119:119)+100</f>
        <v>100</v>
      </c>
      <c r="G40" s="548" t="s">
        <v>3554</v>
      </c>
      <c r="H40" s="490">
        <f>SUMIF(118:118,G40,119:119)-SUMIF(118:118,C40,119:119)+100</f>
        <v>100</v>
      </c>
      <c r="I40" s="548" t="s">
        <v>3554</v>
      </c>
      <c r="J40" s="490">
        <f>SUMIF(118:118,I40,119:119)-SUMIF(118:118,C40,119:119)+100</f>
        <v>100</v>
      </c>
      <c r="K40" s="794"/>
      <c r="L40" s="1747"/>
      <c r="M40" s="1740"/>
      <c r="N40" s="1740"/>
      <c r="O40" s="1746"/>
      <c r="P40" s="3634"/>
      <c r="Q40" s="1304" t="str">
        <f t="shared" si="8"/>
        <v>房型</v>
      </c>
      <c r="R40" s="1305" t="s">
        <v>8</v>
      </c>
      <c r="S40" s="1306">
        <f t="shared" si="9"/>
        <v>100</v>
      </c>
      <c r="T40" s="1305" t="s">
        <v>8</v>
      </c>
      <c r="U40" s="1306">
        <f t="shared" si="10"/>
        <v>100</v>
      </c>
      <c r="V40" s="1305" t="s">
        <v>8</v>
      </c>
      <c r="W40" s="1306">
        <f t="shared" si="11"/>
        <v>100</v>
      </c>
      <c r="X40" s="1300"/>
      <c r="Y40" s="3634"/>
      <c r="Z40" s="1307" t="str">
        <f t="shared" si="12"/>
        <v>房型</v>
      </c>
      <c r="AA40" s="1307">
        <f t="shared" si="3"/>
        <v>1</v>
      </c>
      <c r="AB40" s="1307">
        <f t="shared" si="4"/>
        <v>1</v>
      </c>
      <c r="AC40" s="1307">
        <f t="shared" si="5"/>
        <v>1</v>
      </c>
    </row>
    <row r="41" spans="1:29" s="1131" customFormat="1" ht="28.5">
      <c r="A41" s="552"/>
      <c r="B41" s="477" t="s">
        <v>678</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5"/>
      <c r="M41" s="1769"/>
      <c r="N41" s="1769"/>
      <c r="O41" s="1748"/>
      <c r="P41" s="3634"/>
      <c r="Q41" s="818" t="str">
        <f t="shared" si="8"/>
        <v>单套/主力户型建筑面积</v>
      </c>
      <c r="R41" s="1308" t="s">
        <v>8</v>
      </c>
      <c r="S41" s="1309">
        <f t="shared" si="9"/>
        <v>100</v>
      </c>
      <c r="T41" s="1308" t="s">
        <v>8</v>
      </c>
      <c r="U41" s="1309">
        <f t="shared" si="10"/>
        <v>100</v>
      </c>
      <c r="V41" s="1308" t="s">
        <v>8</v>
      </c>
      <c r="W41" s="1309">
        <f t="shared" si="11"/>
        <v>100</v>
      </c>
      <c r="X41" s="1310"/>
      <c r="Y41" s="3634"/>
      <c r="Z41" s="1311" t="str">
        <f t="shared" si="12"/>
        <v>单套/主力户型建筑面积</v>
      </c>
      <c r="AA41" s="1307">
        <f t="shared" si="3"/>
        <v>1</v>
      </c>
      <c r="AB41" s="1307">
        <f t="shared" si="4"/>
        <v>1</v>
      </c>
      <c r="AC41" s="1307">
        <f t="shared" si="5"/>
        <v>1</v>
      </c>
    </row>
    <row r="42" spans="1:29" ht="15">
      <c r="A42" s="543"/>
      <c r="B42" s="477" t="s">
        <v>679</v>
      </c>
      <c r="C42" s="548" t="s">
        <v>3555</v>
      </c>
      <c r="D42" s="490">
        <v>100</v>
      </c>
      <c r="E42" s="548" t="s">
        <v>3555</v>
      </c>
      <c r="F42" s="525">
        <f>SUMIF(122:122,E42,123:123)-SUMIF(122:122,C42,123:123)+100</f>
        <v>100</v>
      </c>
      <c r="G42" s="548" t="s">
        <v>3555</v>
      </c>
      <c r="H42" s="490">
        <f>SUMIF(122:122,G42,123:123)-SUMIF(122:122,C42,123:123)+100</f>
        <v>100</v>
      </c>
      <c r="I42" s="548" t="s">
        <v>3555</v>
      </c>
      <c r="J42" s="490">
        <f>SUMIF(122:122,I42,123:123)-SUMIF(122:122,C42,123:123)+100</f>
        <v>100</v>
      </c>
      <c r="K42" s="794"/>
      <c r="L42" s="1747"/>
      <c r="M42" s="1740"/>
      <c r="N42" s="1740"/>
      <c r="O42" s="1746"/>
      <c r="P42" s="3634"/>
      <c r="Q42" s="1304" t="str">
        <f t="shared" si="8"/>
        <v>内部装修</v>
      </c>
      <c r="R42" s="1305" t="s">
        <v>8</v>
      </c>
      <c r="S42" s="1306">
        <f t="shared" si="9"/>
        <v>100</v>
      </c>
      <c r="T42" s="1305" t="s">
        <v>8</v>
      </c>
      <c r="U42" s="1306">
        <f t="shared" si="10"/>
        <v>100</v>
      </c>
      <c r="V42" s="1305" t="s">
        <v>8</v>
      </c>
      <c r="W42" s="1306">
        <f t="shared" si="11"/>
        <v>100</v>
      </c>
      <c r="X42" s="1300"/>
      <c r="Y42" s="3634"/>
      <c r="Z42" s="1307" t="str">
        <f t="shared" si="12"/>
        <v>内部装修</v>
      </c>
      <c r="AA42" s="1307">
        <f t="shared" si="3"/>
        <v>1</v>
      </c>
      <c r="AB42" s="1307">
        <f t="shared" si="4"/>
        <v>1</v>
      </c>
      <c r="AC42" s="1307">
        <f t="shared" si="5"/>
        <v>1</v>
      </c>
    </row>
    <row r="43" spans="1:29" ht="27">
      <c r="A43" s="543"/>
      <c r="B43" s="477" t="s">
        <v>680</v>
      </c>
      <c r="C43" s="548" t="s">
        <v>3535</v>
      </c>
      <c r="D43" s="490">
        <v>100</v>
      </c>
      <c r="E43" s="548" t="s">
        <v>3535</v>
      </c>
      <c r="F43" s="525">
        <f>SUMIF(124:124,E43,125:125)-SUMIF(124:124,C43,125:125)+100</f>
        <v>100</v>
      </c>
      <c r="G43" s="548" t="s">
        <v>3535</v>
      </c>
      <c r="H43" s="490">
        <f>SUMIF(124:124,G43,125:125)-SUMIF(124:124,C43,125:125)+100</f>
        <v>100</v>
      </c>
      <c r="I43" s="548" t="s">
        <v>3535</v>
      </c>
      <c r="J43" s="490">
        <f>SUMIF(124:124,I43,125:125)-SUMIF(124:124,C43,125:125)+100</f>
        <v>100</v>
      </c>
      <c r="K43" s="794"/>
      <c r="L43" s="1747"/>
      <c r="M43" s="1740"/>
      <c r="N43" s="1740"/>
      <c r="O43" s="1746"/>
      <c r="P43" s="3634"/>
      <c r="Q43" s="1304" t="str">
        <f t="shared" si="8"/>
        <v>内部装修维护情况</v>
      </c>
      <c r="R43" s="1305" t="s">
        <v>8</v>
      </c>
      <c r="S43" s="1306">
        <f t="shared" si="9"/>
        <v>100</v>
      </c>
      <c r="T43" s="1305" t="s">
        <v>8</v>
      </c>
      <c r="U43" s="1306">
        <f t="shared" si="10"/>
        <v>100</v>
      </c>
      <c r="V43" s="1305" t="s">
        <v>8</v>
      </c>
      <c r="W43" s="1306">
        <f t="shared" si="11"/>
        <v>100</v>
      </c>
      <c r="X43" s="1300"/>
      <c r="Y43" s="3634"/>
      <c r="Z43" s="1307" t="str">
        <f t="shared" si="12"/>
        <v>内部装修维护情况</v>
      </c>
      <c r="AA43" s="1307">
        <f t="shared" si="3"/>
        <v>1</v>
      </c>
      <c r="AB43" s="1307">
        <f t="shared" si="4"/>
        <v>1</v>
      </c>
      <c r="AC43" s="1307">
        <f t="shared" si="5"/>
        <v>1</v>
      </c>
    </row>
    <row r="44" spans="1:29" s="1057" customFormat="1" ht="15">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1"/>
      <c r="M44" s="1638"/>
      <c r="N44" s="1638"/>
      <c r="O44" s="1742"/>
      <c r="P44" s="3634"/>
      <c r="Q44" s="817">
        <f t="shared" si="8"/>
        <v>111</v>
      </c>
      <c r="R44" s="1301" t="s">
        <v>8</v>
      </c>
      <c r="S44" s="1302">
        <f t="shared" si="9"/>
        <v>100</v>
      </c>
      <c r="T44" s="1301" t="s">
        <v>8</v>
      </c>
      <c r="U44" s="1302">
        <f t="shared" si="10"/>
        <v>100</v>
      </c>
      <c r="V44" s="1301" t="s">
        <v>8</v>
      </c>
      <c r="W44" s="1302">
        <f t="shared" si="11"/>
        <v>100</v>
      </c>
      <c r="X44" s="1303"/>
      <c r="Y44" s="3634"/>
      <c r="Z44" s="994">
        <f t="shared" si="12"/>
        <v>111</v>
      </c>
      <c r="AA44" s="994">
        <f t="shared" si="3"/>
        <v>1</v>
      </c>
      <c r="AB44" s="994">
        <f t="shared" si="4"/>
        <v>1</v>
      </c>
      <c r="AC44" s="994">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7"/>
      <c r="M45" s="1740"/>
      <c r="N45" s="1740"/>
      <c r="O45" s="1746"/>
      <c r="P45" s="3634"/>
      <c r="Q45" s="1304">
        <f t="shared" si="8"/>
        <v>111</v>
      </c>
      <c r="R45" s="1305" t="s">
        <v>8</v>
      </c>
      <c r="S45" s="1306">
        <f t="shared" si="9"/>
        <v>100</v>
      </c>
      <c r="T45" s="1305" t="s">
        <v>8</v>
      </c>
      <c r="U45" s="1306">
        <f t="shared" si="10"/>
        <v>100</v>
      </c>
      <c r="V45" s="1305" t="s">
        <v>8</v>
      </c>
      <c r="W45" s="1306">
        <f t="shared" si="11"/>
        <v>100</v>
      </c>
      <c r="X45" s="1300"/>
      <c r="Y45" s="3634"/>
      <c r="Z45" s="1307">
        <f t="shared" si="12"/>
        <v>111</v>
      </c>
      <c r="AA45" s="1307">
        <f t="shared" si="3"/>
        <v>1</v>
      </c>
      <c r="AB45" s="1307">
        <f t="shared" si="4"/>
        <v>1</v>
      </c>
      <c r="AC45" s="1307">
        <f t="shared" si="5"/>
        <v>1</v>
      </c>
    </row>
    <row r="46" spans="1:29" ht="15.75"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7"/>
      <c r="M46" s="1740"/>
      <c r="N46" s="1740"/>
      <c r="O46" s="1746"/>
      <c r="P46" s="3724"/>
      <c r="Q46" s="1304">
        <f t="shared" si="8"/>
        <v>111</v>
      </c>
      <c r="R46" s="1305" t="s">
        <v>7</v>
      </c>
      <c r="S46" s="1306">
        <f t="shared" si="9"/>
        <v>100</v>
      </c>
      <c r="T46" s="1305" t="s">
        <v>7</v>
      </c>
      <c r="U46" s="1306">
        <f t="shared" si="10"/>
        <v>100</v>
      </c>
      <c r="V46" s="1305" t="s">
        <v>7</v>
      </c>
      <c r="W46" s="1306">
        <f t="shared" si="11"/>
        <v>100</v>
      </c>
      <c r="X46" s="1300"/>
      <c r="Y46" s="3724"/>
      <c r="Z46" s="1307">
        <f t="shared" si="12"/>
        <v>111</v>
      </c>
      <c r="AA46" s="1307">
        <f t="shared" si="3"/>
        <v>1</v>
      </c>
      <c r="AB46" s="1307">
        <f t="shared" si="4"/>
        <v>1</v>
      </c>
      <c r="AC46" s="1307">
        <f t="shared" si="5"/>
        <v>1</v>
      </c>
    </row>
    <row r="47" spans="1:29" ht="15">
      <c r="A47" s="556" t="s">
        <v>681</v>
      </c>
      <c r="B47" s="811"/>
      <c r="C47" s="2079" t="s">
        <v>6</v>
      </c>
      <c r="D47" s="559"/>
      <c r="E47" s="560">
        <v>6500</v>
      </c>
      <c r="F47" s="561"/>
      <c r="G47" s="562">
        <v>6000</v>
      </c>
      <c r="H47" s="563"/>
      <c r="I47" s="560">
        <v>7000</v>
      </c>
      <c r="J47" s="563"/>
      <c r="K47" s="1329"/>
      <c r="L47" s="1749"/>
      <c r="M47" s="1740"/>
      <c r="N47" s="1740"/>
      <c r="O47" s="1740"/>
      <c r="P47" s="3598" t="str">
        <f>A47</f>
        <v>成交单价（元/平方米）</v>
      </c>
      <c r="Q47" s="3598"/>
      <c r="R47" s="3599">
        <f>E47</f>
        <v>6500</v>
      </c>
      <c r="S47" s="3599"/>
      <c r="T47" s="3599">
        <f>G47</f>
        <v>6000</v>
      </c>
      <c r="U47" s="3599"/>
      <c r="V47" s="3599">
        <f>I47</f>
        <v>7000</v>
      </c>
      <c r="W47" s="3599"/>
      <c r="X47" s="799"/>
      <c r="Y47" s="1312"/>
      <c r="Z47" s="799"/>
      <c r="AA47" s="799"/>
      <c r="AB47" s="799"/>
      <c r="AC47" s="799"/>
    </row>
    <row r="48" spans="1:29" ht="15.75" thickBot="1">
      <c r="A48" s="564" t="s">
        <v>2040</v>
      </c>
      <c r="B48" s="812"/>
      <c r="C48" s="2080">
        <f>R49</f>
        <v>5078</v>
      </c>
      <c r="D48" s="2548" t="s">
        <v>2249</v>
      </c>
      <c r="E48" s="2081">
        <f>R48</f>
        <v>5055</v>
      </c>
      <c r="F48" s="2549"/>
      <c r="G48" s="2080">
        <f>T48</f>
        <v>4736</v>
      </c>
      <c r="H48" s="2549"/>
      <c r="I48" s="2081">
        <f>V48</f>
        <v>5444</v>
      </c>
      <c r="J48" s="2549"/>
      <c r="K48" s="2556">
        <f>F48+H48+J48</f>
        <v>0</v>
      </c>
      <c r="L48" s="1749"/>
      <c r="M48" s="1740"/>
      <c r="N48" s="1740"/>
      <c r="O48" s="1740"/>
      <c r="P48" s="3598" t="str">
        <f>A48</f>
        <v>比较价格（元/平方米）</v>
      </c>
      <c r="Q48" s="3598"/>
      <c r="R48" s="3599">
        <f>IF(F1="售价",ROUND(PRODUCT(R47,AA7:AA46),0),ROUND(PRODUCT(R47,AA7:AA46),1))</f>
        <v>5055</v>
      </c>
      <c r="S48" s="3599"/>
      <c r="T48" s="3599">
        <f>IF(F1="售价",ROUND(PRODUCT(T47,AB7:AB46),0),ROUND(PRODUCT(T47,AB7:AB46),1))</f>
        <v>4736</v>
      </c>
      <c r="U48" s="3599"/>
      <c r="V48" s="3599">
        <f>IF(F1="售价",ROUND(PRODUCT(V47,AC7:AC46),0),ROUND(PRODUCT(V47,AC7:AC46),1))</f>
        <v>5444</v>
      </c>
      <c r="W48" s="3599"/>
      <c r="X48" s="799"/>
      <c r="Y48" s="799"/>
      <c r="Z48" s="799"/>
      <c r="AA48" s="799"/>
      <c r="AB48" s="799"/>
      <c r="AC48" s="799"/>
    </row>
    <row r="49" spans="1:29" ht="15.75" thickBot="1">
      <c r="A49" s="568" t="s">
        <v>2186</v>
      </c>
      <c r="B49" s="569"/>
      <c r="C49" s="469">
        <f>R49</f>
        <v>5078</v>
      </c>
      <c r="D49" s="469"/>
      <c r="E49" s="469"/>
      <c r="F49" s="469"/>
      <c r="G49" s="469"/>
      <c r="H49" s="469"/>
      <c r="I49" s="469"/>
      <c r="J49" s="469"/>
      <c r="K49" s="1330"/>
      <c r="L49" s="1749"/>
      <c r="M49" s="1740"/>
      <c r="N49" s="1740"/>
      <c r="O49" s="1740"/>
      <c r="P49" s="3635" t="str">
        <f>A49</f>
        <v>估价对象XX用房的比较价格（楼面单价，元/平方米）</v>
      </c>
      <c r="Q49" s="3636"/>
      <c r="R49" s="3723">
        <f>IF(F1="售价",ROUND(IF(D48="简单平均",AVERAGE(R48:V48),R48*F48+T48*H48+V48*J48),0),ROUND(IF(D48="简单平均",AVERAGE(R48:V48),R48*F48+T48*H48+V48*J48),1))</f>
        <v>5078</v>
      </c>
      <c r="S49" s="3723"/>
      <c r="T49" s="3723"/>
      <c r="U49" s="3723"/>
      <c r="V49" s="3723"/>
      <c r="W49" s="3723"/>
      <c r="X49" s="799"/>
      <c r="Y49" s="799"/>
      <c r="Z49" s="799"/>
      <c r="AA49" s="799"/>
      <c r="AB49" s="799"/>
      <c r="AC49" s="799"/>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504</v>
      </c>
      <c r="D52" s="572"/>
      <c r="E52" s="573">
        <f>IF(E47&lt;E48,E48/E47-1,E47/E48-1)</f>
        <v>0.28585558852621173</v>
      </c>
      <c r="F52" s="574" t="str">
        <f>IF(OR(E52&gt;=0.3,E52&lt;=-0.3),"超过30%","")</f>
        <v/>
      </c>
      <c r="G52" s="573">
        <f>IF(G47&lt;G48,G48/G47-1,G47/G48-1)</f>
        <v>0.26689189189189189</v>
      </c>
      <c r="H52" s="574" t="str">
        <f>IF(OR(G52&gt;=0.3,G52&lt;=-0.3),"超过30%","")</f>
        <v/>
      </c>
      <c r="I52" s="573">
        <f>IF(I47&lt;I48,I48/I47-1,I47/I48-1)</f>
        <v>0.2858192505510655</v>
      </c>
      <c r="J52" s="574" t="str">
        <f>IF(OR(I52&gt;=0.3,I52&lt;=-0.3),"超过30%","")</f>
        <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505</v>
      </c>
      <c r="D53" s="575"/>
      <c r="E53" s="573">
        <f>IF(E48&lt;G48,G48/E48-1,E48/G48-1)</f>
        <v>6.7356418918918859E-2</v>
      </c>
      <c r="F53" s="574" t="str">
        <f>IF(OR(E53&gt;=0.2,E53&lt;=-0.2),"超过20%","")</f>
        <v/>
      </c>
      <c r="G53" s="573">
        <f>IF(G48&lt;I48,I48/G48-1,G48/I48-1)</f>
        <v>0.1494932432432432</v>
      </c>
      <c r="H53" s="574" t="str">
        <f>IF(OR(G53&gt;=0.2,G53&lt;=-0.2),"超过20%","")</f>
        <v/>
      </c>
      <c r="I53" s="573">
        <f>IF(I48&lt;E48,E48/I48-1,I48/E48-1)</f>
        <v>7.6953511374876271E-2</v>
      </c>
      <c r="J53" s="574" t="str">
        <f>IF(OR(I53&gt;=0.2,I53&lt;=-0.2),"超过20%","")</f>
        <v/>
      </c>
      <c r="K53" s="2722"/>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20"/>
      <c r="B54" s="2720"/>
      <c r="C54" s="571" t="s">
        <v>506</v>
      </c>
      <c r="D54" s="575"/>
      <c r="E54" s="573">
        <f>IF(E47&lt;G47,G47/E47-1,E47/G47-1)</f>
        <v>8.3333333333333259E-2</v>
      </c>
      <c r="F54" s="574" t="str">
        <f>IF(OR(E54&gt;=0.3,E54&lt;=-0.3),"超过30%","")</f>
        <v/>
      </c>
      <c r="G54" s="573">
        <f>IF(G47&lt;I47,I47/G47-1,G47/I47-1)</f>
        <v>0.16666666666666674</v>
      </c>
      <c r="H54" s="574" t="str">
        <f>IF(OR(G54&gt;=0.3,G54&lt;=-0.3),"超过30%","")</f>
        <v/>
      </c>
      <c r="I54" s="573">
        <f>IF(I47&lt;E47,E47/I47-1,I47/E47-1)</f>
        <v>7.6923076923076872E-2</v>
      </c>
      <c r="J54" s="574" t="str">
        <f>IF(OR(I54&gt;=0.3,I54&lt;=-0.3),"超过30%","")</f>
        <v/>
      </c>
      <c r="K54" s="2723"/>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5" t="s">
        <v>520</v>
      </c>
      <c r="B57" s="799"/>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2" t="s">
        <v>476</v>
      </c>
      <c r="B58" s="593"/>
      <c r="C58" s="2113" t="str">
        <f>YEAR(C7)&amp;"-"&amp;MONTH(C7)</f>
        <v>2025-6</v>
      </c>
      <c r="D58" s="2113">
        <f>EDATE(C58,-1)</f>
        <v>45778</v>
      </c>
      <c r="E58" s="2113">
        <f t="shared" ref="E58:O58" si="13">EDATE(D58,-1)</f>
        <v>45748</v>
      </c>
      <c r="F58" s="2113">
        <f t="shared" si="13"/>
        <v>45717</v>
      </c>
      <c r="G58" s="2113">
        <f t="shared" si="13"/>
        <v>45689</v>
      </c>
      <c r="H58" s="2113">
        <f t="shared" si="13"/>
        <v>45658</v>
      </c>
      <c r="I58" s="2113">
        <f t="shared" si="13"/>
        <v>45627</v>
      </c>
      <c r="J58" s="2113">
        <f t="shared" si="13"/>
        <v>45597</v>
      </c>
      <c r="K58" s="2113">
        <f t="shared" si="13"/>
        <v>45566</v>
      </c>
      <c r="L58" s="2113">
        <f t="shared" si="13"/>
        <v>45536</v>
      </c>
      <c r="M58" s="2113">
        <f t="shared" si="13"/>
        <v>45505</v>
      </c>
      <c r="N58" s="2113">
        <f t="shared" si="13"/>
        <v>45474</v>
      </c>
      <c r="O58" s="2113">
        <f t="shared" si="13"/>
        <v>45444</v>
      </c>
      <c r="P58" s="1763"/>
      <c r="Q58" s="1763"/>
      <c r="R58" s="1763"/>
      <c r="S58" s="1763"/>
      <c r="T58" s="1763"/>
      <c r="U58" s="1763"/>
      <c r="V58" s="1763"/>
      <c r="W58" s="1763"/>
      <c r="X58" s="1763"/>
      <c r="Y58" s="1763"/>
      <c r="Z58" s="1763"/>
      <c r="AA58" s="1763"/>
      <c r="AB58" s="1763"/>
      <c r="AC58" s="1763"/>
    </row>
    <row r="59" spans="1:29" s="1057" customFormat="1" ht="15">
      <c r="A59" s="527"/>
      <c r="B59" s="594"/>
      <c r="C59" s="595">
        <v>100</v>
      </c>
      <c r="D59" s="596"/>
      <c r="E59" s="596"/>
      <c r="F59" s="596"/>
      <c r="G59" s="596"/>
      <c r="H59" s="596"/>
      <c r="I59" s="596"/>
      <c r="J59" s="596"/>
      <c r="K59" s="596"/>
      <c r="L59" s="596"/>
      <c r="M59" s="596"/>
      <c r="N59" s="596"/>
      <c r="O59" s="596"/>
      <c r="P59" s="1761"/>
      <c r="Q59" s="1638"/>
      <c r="R59" s="1638"/>
      <c r="S59" s="1638"/>
      <c r="T59" s="1638"/>
      <c r="U59" s="1638"/>
      <c r="V59" s="1638"/>
      <c r="W59" s="1638"/>
      <c r="X59" s="1638"/>
      <c r="Y59" s="1638"/>
      <c r="Z59" s="1638"/>
      <c r="AA59" s="1638"/>
      <c r="AB59" s="1638"/>
      <c r="AC59" s="1638"/>
    </row>
    <row r="60" spans="1:29" s="1057" customFormat="1" ht="15.75" thickBot="1">
      <c r="A60" s="262" t="s">
        <v>521</v>
      </c>
      <c r="B60" s="598"/>
      <c r="C60" s="599"/>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7" customFormat="1" ht="15">
      <c r="A61" s="603" t="s">
        <v>478</v>
      </c>
      <c r="B61" s="594"/>
      <c r="C61" s="604" t="s">
        <v>522</v>
      </c>
      <c r="D61" s="80"/>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3"/>
      <c r="B62" s="594"/>
      <c r="C62" s="813">
        <v>100</v>
      </c>
      <c r="D62" s="596"/>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638"/>
    </row>
    <row r="63" spans="1:29">
      <c r="A63" s="607" t="s">
        <v>523</v>
      </c>
      <c r="B63" s="608" t="s">
        <v>481</v>
      </c>
      <c r="C63" s="645">
        <f>C9</f>
        <v>0</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1331"/>
      <c r="F64" s="1331"/>
      <c r="G64" s="1331"/>
      <c r="H64" s="1331"/>
      <c r="I64" s="1331"/>
      <c r="J64" s="1331"/>
      <c r="K64" s="1331"/>
      <c r="L64" s="1331"/>
      <c r="M64" s="1332"/>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484</v>
      </c>
      <c r="C65" s="658"/>
      <c r="D65" s="658"/>
      <c r="E65" s="658"/>
      <c r="F65" s="658"/>
      <c r="G65" s="658"/>
      <c r="H65" s="658"/>
      <c r="I65" s="658"/>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c r="D66" s="613"/>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485</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5（含）-6</v>
      </c>
      <c r="I67" s="624" t="str">
        <f t="shared" si="14"/>
        <v>6（含）-7</v>
      </c>
      <c r="J67" s="624" t="str">
        <f t="shared" si="14"/>
        <v>7（含）-8</v>
      </c>
      <c r="K67" s="624" t="str">
        <f t="shared" si="14"/>
        <v>8（含）-9</v>
      </c>
      <c r="L67" s="624" t="str">
        <f t="shared" si="14"/>
        <v>9（含）-10</v>
      </c>
      <c r="M67" s="505" t="str">
        <f>M68&amp;"（含）"&amp;"-"&amp;P68</f>
        <v>10（含）-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v>0</v>
      </c>
      <c r="D68" s="491">
        <v>1</v>
      </c>
      <c r="E68" s="491">
        <v>2</v>
      </c>
      <c r="F68" s="491">
        <v>3</v>
      </c>
      <c r="G68" s="491">
        <v>4</v>
      </c>
      <c r="H68" s="491">
        <v>5</v>
      </c>
      <c r="I68" s="491">
        <v>6</v>
      </c>
      <c r="J68" s="491">
        <v>7</v>
      </c>
      <c r="K68" s="491">
        <v>8</v>
      </c>
      <c r="L68" s="491">
        <v>9</v>
      </c>
      <c r="M68" s="491">
        <v>10</v>
      </c>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9"/>
      <c r="B70" s="615">
        <f>B12</f>
        <v>111</v>
      </c>
      <c r="C70" s="630"/>
      <c r="D70" s="630"/>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9"/>
      <c r="B73" s="620"/>
      <c r="C73" s="634"/>
      <c r="D73" s="634"/>
      <c r="E73" s="634"/>
      <c r="F73" s="634"/>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1"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486</v>
      </c>
      <c r="B76" s="608" t="s">
        <v>524</v>
      </c>
      <c r="C76" s="143" t="s">
        <v>525</v>
      </c>
      <c r="D76" s="143" t="s">
        <v>526</v>
      </c>
      <c r="E76" s="143" t="s">
        <v>527</v>
      </c>
      <c r="F76" s="143" t="s">
        <v>528</v>
      </c>
      <c r="G76" s="143" t="s">
        <v>529</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96</v>
      </c>
      <c r="E77" s="621">
        <f>D77-$K15</f>
        <v>92</v>
      </c>
      <c r="F77" s="621">
        <f>E77-$K15</f>
        <v>88</v>
      </c>
      <c r="G77" s="621">
        <f>F77-$K15</f>
        <v>84</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532</v>
      </c>
      <c r="C78" s="649" t="s">
        <v>525</v>
      </c>
      <c r="D78" s="649" t="s">
        <v>526</v>
      </c>
      <c r="E78" s="649" t="s">
        <v>527</v>
      </c>
      <c r="F78" s="649" t="s">
        <v>528</v>
      </c>
      <c r="G78" s="649" t="s">
        <v>529</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97</v>
      </c>
      <c r="E79" s="621">
        <f>D79-$K17</f>
        <v>94</v>
      </c>
      <c r="F79" s="621">
        <f>E79-$K17</f>
        <v>91</v>
      </c>
      <c r="G79" s="621">
        <f>F79-$K17</f>
        <v>88</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1838</v>
      </c>
      <c r="C80" s="649" t="s">
        <v>525</v>
      </c>
      <c r="D80" s="649" t="s">
        <v>526</v>
      </c>
      <c r="E80" s="649" t="s">
        <v>527</v>
      </c>
      <c r="F80" s="649" t="s">
        <v>528</v>
      </c>
      <c r="G80" s="649" t="s">
        <v>529</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97</v>
      </c>
      <c r="E81" s="621">
        <f>D81-$K19</f>
        <v>94</v>
      </c>
      <c r="F81" s="621">
        <f>E81-$K19</f>
        <v>91</v>
      </c>
      <c r="G81" s="621">
        <f>F81-$K19</f>
        <v>88</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1839</v>
      </c>
      <c r="C82" s="2055" t="s">
        <v>1840</v>
      </c>
      <c r="D82" s="2055" t="s">
        <v>1841</v>
      </c>
      <c r="E82" s="2055" t="s">
        <v>1842</v>
      </c>
      <c r="F82" s="2055" t="s">
        <v>1843</v>
      </c>
      <c r="G82" s="2055" t="s">
        <v>1844</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98</v>
      </c>
      <c r="E83" s="621">
        <f>D83-$K21</f>
        <v>96</v>
      </c>
      <c r="F83" s="621">
        <f>E83-$K21</f>
        <v>94</v>
      </c>
      <c r="G83" s="621">
        <f>F83-$K21</f>
        <v>92</v>
      </c>
      <c r="H83" s="855"/>
      <c r="I83" s="855"/>
      <c r="J83" s="855"/>
      <c r="K83" s="855"/>
      <c r="L83" s="855"/>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682</v>
      </c>
      <c r="C84" s="649" t="s">
        <v>525</v>
      </c>
      <c r="D84" s="649" t="s">
        <v>526</v>
      </c>
      <c r="E84" s="649" t="s">
        <v>527</v>
      </c>
      <c r="F84" s="649" t="s">
        <v>528</v>
      </c>
      <c r="G84" s="649" t="s">
        <v>529</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97</v>
      </c>
      <c r="E85" s="621">
        <f>D85-$K23</f>
        <v>94</v>
      </c>
      <c r="F85" s="621">
        <f>E85-$K23</f>
        <v>91</v>
      </c>
      <c r="G85" s="621">
        <f>F85-$K23</f>
        <v>88</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6"/>
      <c r="B86" s="1553" t="s">
        <v>1614</v>
      </c>
      <c r="C86" s="630"/>
      <c r="D86" s="630"/>
      <c r="E86" s="630"/>
      <c r="F86" s="630"/>
      <c r="G86" s="630"/>
      <c r="H86" s="630"/>
      <c r="I86" s="630"/>
      <c r="J86" s="630"/>
      <c r="K86" s="630"/>
      <c r="L86" s="814"/>
      <c r="M86" s="815"/>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6"/>
      <c r="B88" s="615" t="s">
        <v>684</v>
      </c>
      <c r="C88" s="630"/>
      <c r="D88" s="630"/>
      <c r="E88" s="630"/>
      <c r="F88" s="816"/>
      <c r="G88" s="630"/>
      <c r="H88" s="630"/>
      <c r="I88" s="630"/>
      <c r="J88" s="630"/>
      <c r="K88" s="630"/>
      <c r="L88" s="630"/>
      <c r="M88" s="815"/>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9"/>
      <c r="B90" s="615" t="str">
        <f>B27</f>
        <v>道路级别</v>
      </c>
      <c r="C90" s="630"/>
      <c r="D90" s="630"/>
      <c r="E90" s="630"/>
      <c r="F90" s="630"/>
      <c r="G90" s="630"/>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9"/>
      <c r="B91" s="620"/>
      <c r="C91" s="634"/>
      <c r="D91" s="634"/>
      <c r="E91" s="634"/>
      <c r="F91" s="634"/>
      <c r="G91" s="634"/>
      <c r="H91" s="635"/>
      <c r="I91" s="635"/>
      <c r="J91" s="635"/>
      <c r="K91" s="635"/>
      <c r="L91" s="635"/>
      <c r="M91" s="636"/>
      <c r="N91" s="1767"/>
      <c r="O91" s="1767"/>
      <c r="P91" s="1767"/>
      <c r="Q91" s="1768"/>
      <c r="R91" s="1769"/>
      <c r="S91" s="1769"/>
      <c r="T91" s="1769"/>
      <c r="U91" s="1769"/>
      <c r="V91" s="1769"/>
      <c r="W91" s="1769"/>
      <c r="X91" s="1769"/>
      <c r="Y91" s="1769"/>
      <c r="Z91" s="1769"/>
      <c r="AA91" s="1769"/>
      <c r="AB91" s="1769"/>
      <c r="AC91" s="1769"/>
    </row>
    <row r="92" spans="1:29" ht="15.75" thickTop="1">
      <c r="A92" s="482"/>
      <c r="B92" s="615">
        <f>B28</f>
        <v>111</v>
      </c>
      <c r="C92" s="630"/>
      <c r="D92" s="630"/>
      <c r="E92" s="630"/>
      <c r="F92" s="630"/>
      <c r="G92" s="658"/>
      <c r="H92" s="658"/>
      <c r="I92" s="658"/>
      <c r="J92" s="658"/>
      <c r="K92" s="659"/>
      <c r="L92" s="660"/>
      <c r="M92" s="661"/>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34"/>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34"/>
      <c r="E95" s="634"/>
      <c r="F95" s="634"/>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42"/>
      <c r="D97" s="642"/>
      <c r="E97" s="642"/>
      <c r="F97" s="642"/>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62"/>
      <c r="D98" s="662"/>
      <c r="E98" s="662"/>
      <c r="F98" s="662"/>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66"/>
      <c r="D99" s="666"/>
      <c r="E99" s="666"/>
      <c r="F99" s="666"/>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498</v>
      </c>
      <c r="B100" s="608" t="s">
        <v>685</v>
      </c>
      <c r="C100" s="3412" t="s">
        <v>3557</v>
      </c>
      <c r="D100" s="3412" t="s">
        <v>1617</v>
      </c>
      <c r="E100" s="547"/>
      <c r="F100" s="547"/>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6"/>
      <c r="O101" s="1766"/>
      <c r="P101" s="1764"/>
      <c r="Q101" s="1761"/>
      <c r="R101" s="1740"/>
      <c r="S101" s="1740"/>
      <c r="T101" s="1740"/>
      <c r="U101" s="1740"/>
      <c r="V101" s="1740"/>
      <c r="W101" s="1740"/>
      <c r="X101" s="1740"/>
      <c r="Y101" s="1740"/>
      <c r="Z101" s="1740"/>
      <c r="AA101" s="1740"/>
      <c r="AB101" s="1740"/>
      <c r="AC101" s="1740"/>
    </row>
    <row r="102" spans="1:29" ht="29.25" thickTop="1">
      <c r="A102" s="482"/>
      <c r="B102" s="615" t="s">
        <v>686</v>
      </c>
      <c r="C102" s="649" t="str">
        <f>C103&amp;"(含)"&amp;"-"&amp;D103</f>
        <v>0(含)-100000</v>
      </c>
      <c r="D102" s="649" t="str">
        <f t="shared" ref="D102:L102" si="19">D103&amp;"(含)"&amp;"-"&amp;E103</f>
        <v>100000(含)-200000</v>
      </c>
      <c r="E102" s="649" t="str">
        <f t="shared" si="19"/>
        <v>200000(含)-300000</v>
      </c>
      <c r="F102" s="649" t="str">
        <f t="shared" si="19"/>
        <v>300000(含)-400000</v>
      </c>
      <c r="G102" s="649" t="str">
        <f t="shared" si="19"/>
        <v>400000(含)-500000</v>
      </c>
      <c r="H102" s="649" t="str">
        <f t="shared" si="19"/>
        <v>500000(含)-800000</v>
      </c>
      <c r="I102" s="649" t="str">
        <f t="shared" si="19"/>
        <v>800000(含)-1000000</v>
      </c>
      <c r="J102" s="649" t="str">
        <f t="shared" si="19"/>
        <v>1000000(含)-</v>
      </c>
      <c r="K102" s="649" t="str">
        <f t="shared" si="19"/>
        <v>(含)-</v>
      </c>
      <c r="L102" s="649" t="str">
        <f t="shared" si="19"/>
        <v>(含)-</v>
      </c>
      <c r="M102" s="649"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2"/>
      <c r="B103" s="668"/>
      <c r="C103" s="79">
        <v>0</v>
      </c>
      <c r="D103" s="79">
        <v>100000</v>
      </c>
      <c r="E103" s="79">
        <v>200000</v>
      </c>
      <c r="F103" s="79">
        <v>300000</v>
      </c>
      <c r="G103" s="79">
        <v>400000</v>
      </c>
      <c r="H103" s="79">
        <v>500000</v>
      </c>
      <c r="I103" s="79">
        <v>800000</v>
      </c>
      <c r="J103" s="669">
        <v>1000000</v>
      </c>
      <c r="K103" s="669"/>
      <c r="L103" s="670"/>
      <c r="M103" s="671"/>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0"/>
      <c r="C104" s="634">
        <v>100</v>
      </c>
      <c r="D104" s="613">
        <v>100.5</v>
      </c>
      <c r="E104" s="634">
        <v>101</v>
      </c>
      <c r="F104" s="613">
        <v>101.5</v>
      </c>
      <c r="G104" s="634">
        <v>102</v>
      </c>
      <c r="H104" s="613">
        <v>102.5</v>
      </c>
      <c r="I104" s="634">
        <v>102</v>
      </c>
      <c r="J104" s="613">
        <v>101.5</v>
      </c>
      <c r="K104" s="613"/>
      <c r="L104" s="613"/>
      <c r="M104" s="613"/>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687</v>
      </c>
      <c r="C105" s="3407" t="s">
        <v>1723</v>
      </c>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688</v>
      </c>
      <c r="C107" s="3406" t="s">
        <v>3558</v>
      </c>
      <c r="D107" s="658"/>
      <c r="E107" s="658"/>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689</v>
      </c>
      <c r="C109" s="3407" t="s">
        <v>3559</v>
      </c>
      <c r="D109" s="630"/>
      <c r="E109" s="630"/>
      <c r="F109" s="658"/>
      <c r="G109" s="658"/>
      <c r="H109" s="658"/>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6"/>
      <c r="O110" s="1766"/>
      <c r="P110" s="1764"/>
      <c r="Q110" s="1761"/>
      <c r="R110" s="1740"/>
      <c r="S110" s="1740"/>
      <c r="T110" s="1740"/>
      <c r="U110" s="1740"/>
      <c r="V110" s="1740"/>
      <c r="W110" s="1740"/>
      <c r="X110" s="1740"/>
      <c r="Y110" s="1740"/>
      <c r="Z110" s="1740"/>
      <c r="AA110" s="1740"/>
      <c r="AB110" s="1740"/>
      <c r="AC110" s="1740"/>
    </row>
    <row r="111" spans="1:29" s="1131" customFormat="1" ht="15" thickTop="1">
      <c r="A111" s="552"/>
      <c r="B111" s="615" t="s">
        <v>690</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7"/>
      <c r="O111" s="1767"/>
      <c r="P111" s="1767"/>
      <c r="Q111" s="1768"/>
      <c r="R111" s="1769"/>
      <c r="S111" s="1769"/>
      <c r="T111" s="1769"/>
      <c r="U111" s="1769"/>
      <c r="V111" s="1769"/>
      <c r="W111" s="1769"/>
      <c r="X111" s="1769"/>
      <c r="Y111" s="1769"/>
      <c r="Z111" s="1769"/>
      <c r="AA111" s="1769"/>
      <c r="AB111" s="1769"/>
      <c r="AC111" s="1769"/>
    </row>
    <row r="112" spans="1:29" s="1131" customFormat="1">
      <c r="A112" s="552"/>
      <c r="B112" s="623"/>
      <c r="C112" s="817">
        <v>0.5</v>
      </c>
      <c r="D112" s="817">
        <v>0.6</v>
      </c>
      <c r="E112" s="817">
        <v>0.7</v>
      </c>
      <c r="F112" s="817">
        <v>0.8</v>
      </c>
      <c r="G112" s="817">
        <v>0.9</v>
      </c>
      <c r="H112" s="817">
        <v>1.0001</v>
      </c>
      <c r="I112" s="817"/>
      <c r="J112" s="818"/>
      <c r="K112" s="818"/>
      <c r="L112" s="819"/>
      <c r="M112" s="820"/>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691</v>
      </c>
      <c r="C114" s="3407" t="s">
        <v>3560</v>
      </c>
      <c r="D114" s="630"/>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1553" t="s">
        <v>1837</v>
      </c>
      <c r="C116" s="3407" t="s">
        <v>1499</v>
      </c>
      <c r="D116" s="630"/>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692</v>
      </c>
      <c r="C118" s="3406" t="s">
        <v>3561</v>
      </c>
      <c r="D118" s="658"/>
      <c r="E118" s="658"/>
      <c r="F118" s="658"/>
      <c r="G118" s="658"/>
      <c r="H118" s="658"/>
      <c r="I118" s="658"/>
      <c r="J118" s="658"/>
      <c r="K118" s="659"/>
      <c r="L118" s="660"/>
      <c r="M118" s="661"/>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6"/>
      <c r="O119" s="1766"/>
      <c r="P119" s="1764"/>
      <c r="Q119" s="1761"/>
      <c r="R119" s="1740"/>
      <c r="S119" s="1740"/>
      <c r="T119" s="1740"/>
      <c r="U119" s="1740"/>
      <c r="V119" s="1740"/>
      <c r="W119" s="1740"/>
      <c r="X119" s="1740"/>
      <c r="Y119" s="1740"/>
      <c r="Z119" s="1740"/>
      <c r="AA119" s="1740"/>
      <c r="AB119" s="1740"/>
      <c r="AC119" s="1740"/>
    </row>
    <row r="120" spans="1:29" s="1131" customFormat="1" ht="28.5" thickTop="1">
      <c r="A120" s="552"/>
      <c r="B120" s="615" t="s">
        <v>678</v>
      </c>
      <c r="C120" s="630"/>
      <c r="D120" s="630"/>
      <c r="E120" s="630"/>
      <c r="F120" s="630"/>
      <c r="G120" s="630"/>
      <c r="H120" s="630"/>
      <c r="I120" s="630"/>
      <c r="J120" s="630"/>
      <c r="K120" s="630"/>
      <c r="L120" s="814"/>
      <c r="M120" s="815"/>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9"/>
      <c r="B121" s="612"/>
      <c r="C121" s="634"/>
      <c r="D121" s="613"/>
      <c r="E121" s="613"/>
      <c r="F121" s="613"/>
      <c r="G121" s="613"/>
      <c r="H121" s="613"/>
      <c r="I121" s="613"/>
      <c r="J121" s="613"/>
      <c r="K121" s="613"/>
      <c r="L121" s="613"/>
      <c r="M121" s="613"/>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693</v>
      </c>
      <c r="C122" s="3407" t="s">
        <v>3559</v>
      </c>
      <c r="D122" s="3407" t="s">
        <v>3562</v>
      </c>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34"/>
      <c r="E129" s="634"/>
      <c r="F129" s="634"/>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1615</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1616</v>
      </c>
      <c r="C137" s="1576"/>
      <c r="D137" s="1576"/>
      <c r="E137" s="1576"/>
      <c r="F137" s="1576"/>
      <c r="G137" s="1577"/>
      <c r="H137" s="1578"/>
      <c r="I137" s="1579" t="s">
        <v>1617</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1618</v>
      </c>
      <c r="D138" s="1582" t="s">
        <v>1619</v>
      </c>
      <c r="E138" s="1583" t="s">
        <v>1620</v>
      </c>
      <c r="F138" s="1584" t="s">
        <v>1621</v>
      </c>
      <c r="G138" s="1582" t="s">
        <v>1622</v>
      </c>
      <c r="H138" s="1585" t="s">
        <v>1623</v>
      </c>
      <c r="I138" s="1586"/>
      <c r="J138" s="1582" t="s">
        <v>1624</v>
      </c>
      <c r="K138" s="1585" t="s">
        <v>1625</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1626</v>
      </c>
      <c r="E139" s="1556">
        <v>100</v>
      </c>
      <c r="F139" s="1557">
        <v>102.5</v>
      </c>
      <c r="G139" s="1587" t="s">
        <v>1627</v>
      </c>
      <c r="H139" s="1558">
        <v>105</v>
      </c>
      <c r="I139" s="1588" t="s">
        <v>1628</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1629</v>
      </c>
      <c r="J140" s="780">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1630</v>
      </c>
      <c r="J141" s="780">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1631</v>
      </c>
      <c r="J142" s="780">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1632</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1633</v>
      </c>
      <c r="E144" s="1562">
        <v>102</v>
      </c>
      <c r="F144" s="1568">
        <v>100</v>
      </c>
      <c r="G144" s="1591" t="s">
        <v>1633</v>
      </c>
      <c r="H144" s="1564">
        <v>105</v>
      </c>
      <c r="I144" s="1590" t="s">
        <v>1632</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1634</v>
      </c>
      <c r="C145" s="1569">
        <f>ROUND(MAX(C139:C144)/MIN(C139:C144)-1,3)</f>
        <v>7.2999999999999995E-2</v>
      </c>
      <c r="D145" s="1593"/>
      <c r="E145" s="1593"/>
      <c r="F145" s="1594" t="s">
        <v>1635</v>
      </c>
      <c r="G145" s="1595"/>
      <c r="H145" s="1596"/>
      <c r="I145" s="1597" t="s">
        <v>1632</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1643</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1644</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34B1-61E8-4AA2-9083-D3801B69289A}">
  <dimension ref="A1"/>
  <sheetViews>
    <sheetView workbookViewId="0">
      <selection activeCell="L10" sqref="L10"/>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7D9A-40EF-4F31-A4E8-83B8A731F4BF}">
  <dimension ref="A1:S61"/>
  <sheetViews>
    <sheetView topLeftCell="A88" workbookViewId="0">
      <selection activeCell="Q76" sqref="A69:Q76"/>
    </sheetView>
  </sheetViews>
  <sheetFormatPr defaultRowHeight="12"/>
  <cols>
    <col min="1" max="1" width="30.125" style="3402" customWidth="1"/>
    <col min="2" max="2" width="6.375" style="3402" customWidth="1"/>
    <col min="3" max="3" width="18.625" style="3402" bestFit="1" customWidth="1"/>
    <col min="4" max="4" width="8.5" style="3402" bestFit="1" customWidth="1"/>
    <col min="5" max="5" width="10.625" style="3402" customWidth="1"/>
    <col min="6" max="6" width="6" style="3402" customWidth="1"/>
    <col min="7" max="7" width="9.25" style="3402" customWidth="1"/>
    <col min="8" max="8" width="19.5" style="3402" bestFit="1" customWidth="1"/>
    <col min="9" max="9" width="6.25" style="3402" customWidth="1"/>
    <col min="10" max="10" width="11" style="3402" bestFit="1" customWidth="1"/>
    <col min="11" max="11" width="8" style="3402" bestFit="1" customWidth="1"/>
    <col min="12" max="12" width="10.25" style="3402" bestFit="1" customWidth="1"/>
    <col min="13" max="14" width="8" style="3402" bestFit="1" customWidth="1"/>
    <col min="15" max="15" width="9.125" style="3402" customWidth="1"/>
    <col min="16" max="16" width="10.25" style="3402" customWidth="1"/>
    <col min="17" max="17" width="10.625" style="3402" customWidth="1"/>
    <col min="18" max="18" width="9" style="3402" bestFit="1" customWidth="1"/>
    <col min="19" max="19" width="36.75" style="3402" customWidth="1"/>
    <col min="20" max="16384" width="9" style="3402"/>
  </cols>
  <sheetData>
    <row r="1" spans="1:19" s="3403" customFormat="1">
      <c r="A1" s="3729" t="s">
        <v>3531</v>
      </c>
      <c r="B1" s="3729" t="s">
        <v>3530</v>
      </c>
      <c r="C1" s="3729" t="s">
        <v>3529</v>
      </c>
      <c r="D1" s="3729" t="s">
        <v>3528</v>
      </c>
      <c r="E1" s="3729" t="s">
        <v>3527</v>
      </c>
      <c r="F1" s="3729" t="s">
        <v>3526</v>
      </c>
      <c r="G1" s="3729" t="s">
        <v>3525</v>
      </c>
      <c r="H1" s="3729" t="s">
        <v>3524</v>
      </c>
      <c r="I1" s="3729" t="s">
        <v>3523</v>
      </c>
      <c r="J1" s="3729" t="s">
        <v>1548</v>
      </c>
      <c r="K1" s="3729" t="s">
        <v>3522</v>
      </c>
      <c r="L1" s="3729" t="s">
        <v>3521</v>
      </c>
      <c r="M1" s="3729" t="s">
        <v>3520</v>
      </c>
      <c r="N1" s="3729" t="s">
        <v>3519</v>
      </c>
      <c r="O1" s="3729" t="s">
        <v>3518</v>
      </c>
      <c r="P1" s="3729" t="s">
        <v>3517</v>
      </c>
      <c r="Q1" s="3729" t="s">
        <v>3516</v>
      </c>
      <c r="R1" s="3729" t="s">
        <v>3515</v>
      </c>
      <c r="S1" s="3729" t="s">
        <v>3514</v>
      </c>
    </row>
    <row r="2" spans="1:19" s="3405" customFormat="1">
      <c r="A2" s="3728" t="s">
        <v>3513</v>
      </c>
      <c r="B2" s="3728" t="s">
        <v>3324</v>
      </c>
      <c r="C2" s="3728" t="s">
        <v>3342</v>
      </c>
      <c r="D2" s="3728" t="s">
        <v>3512</v>
      </c>
      <c r="E2" s="3728">
        <v>36144.26</v>
      </c>
      <c r="F2" s="3728">
        <v>65059</v>
      </c>
      <c r="G2" s="3728" t="s">
        <v>3321</v>
      </c>
      <c r="H2" s="3728" t="s">
        <v>3459</v>
      </c>
      <c r="I2" s="3728" t="s">
        <v>3319</v>
      </c>
      <c r="J2" s="3728" t="s">
        <v>3349</v>
      </c>
      <c r="K2" s="3728" t="s">
        <v>3317</v>
      </c>
      <c r="L2" s="3728" t="s">
        <v>3507</v>
      </c>
      <c r="M2" s="3728" t="s">
        <v>3315</v>
      </c>
      <c r="N2" s="3728" t="s">
        <v>3397</v>
      </c>
      <c r="O2" s="3728">
        <v>16265</v>
      </c>
      <c r="P2" s="3728">
        <v>300</v>
      </c>
      <c r="Q2" s="3728">
        <v>2500</v>
      </c>
      <c r="R2" s="3728">
        <v>0</v>
      </c>
      <c r="S2" s="3728" t="s">
        <v>3457</v>
      </c>
    </row>
    <row r="3" spans="1:19">
      <c r="A3" s="3595" t="s">
        <v>3511</v>
      </c>
      <c r="B3" s="3595" t="s">
        <v>3324</v>
      </c>
      <c r="C3" s="3595" t="s">
        <v>3342</v>
      </c>
      <c r="D3" s="3595" t="s">
        <v>3510</v>
      </c>
      <c r="E3" s="3595">
        <v>29940.639999999999</v>
      </c>
      <c r="F3" s="3595">
        <v>53893</v>
      </c>
      <c r="G3" s="3595" t="s">
        <v>3321</v>
      </c>
      <c r="H3" s="3595" t="s">
        <v>3459</v>
      </c>
      <c r="I3" s="3595" t="s">
        <v>3319</v>
      </c>
      <c r="J3" s="3595" t="s">
        <v>3349</v>
      </c>
      <c r="K3" s="3595" t="s">
        <v>3317</v>
      </c>
      <c r="L3" s="3595" t="s">
        <v>3507</v>
      </c>
      <c r="M3" s="3595" t="s">
        <v>3315</v>
      </c>
      <c r="N3" s="3595" t="s">
        <v>3397</v>
      </c>
      <c r="O3" s="3595">
        <v>13474</v>
      </c>
      <c r="P3" s="3595">
        <v>300.02</v>
      </c>
      <c r="Q3" s="3595">
        <v>2500</v>
      </c>
      <c r="R3" s="3595">
        <v>0</v>
      </c>
      <c r="S3" s="3595" t="s">
        <v>3457</v>
      </c>
    </row>
    <row r="4" spans="1:19">
      <c r="A4" s="3595" t="s">
        <v>3509</v>
      </c>
      <c r="B4" s="3595" t="s">
        <v>3324</v>
      </c>
      <c r="C4" s="3595" t="s">
        <v>3342</v>
      </c>
      <c r="D4" s="3595" t="s">
        <v>3508</v>
      </c>
      <c r="E4" s="3595">
        <v>47420.37</v>
      </c>
      <c r="F4" s="3595">
        <v>85356</v>
      </c>
      <c r="G4" s="3595" t="s">
        <v>3321</v>
      </c>
      <c r="H4" s="3595" t="s">
        <v>3459</v>
      </c>
      <c r="I4" s="3595" t="s">
        <v>3319</v>
      </c>
      <c r="J4" s="3595" t="s">
        <v>3349</v>
      </c>
      <c r="K4" s="3595" t="s">
        <v>3317</v>
      </c>
      <c r="L4" s="3595" t="s">
        <v>3507</v>
      </c>
      <c r="M4" s="3595" t="s">
        <v>3315</v>
      </c>
      <c r="N4" s="3595" t="s">
        <v>3397</v>
      </c>
      <c r="O4" s="3595">
        <v>21340</v>
      </c>
      <c r="P4" s="3595">
        <v>300.01</v>
      </c>
      <c r="Q4" s="3595">
        <v>2500</v>
      </c>
      <c r="R4" s="3595">
        <v>0</v>
      </c>
      <c r="S4" s="3595" t="s">
        <v>3457</v>
      </c>
    </row>
    <row r="5" spans="1:19">
      <c r="A5" s="3595" t="s">
        <v>3506</v>
      </c>
      <c r="B5" s="3595" t="s">
        <v>3324</v>
      </c>
      <c r="C5" s="3595" t="s">
        <v>3336</v>
      </c>
      <c r="D5" s="3595" t="s">
        <v>3505</v>
      </c>
      <c r="E5" s="3595">
        <v>27496.560000000001</v>
      </c>
      <c r="F5" s="3595">
        <v>41244</v>
      </c>
      <c r="G5" s="3595" t="s">
        <v>3321</v>
      </c>
      <c r="H5" s="3595" t="s">
        <v>3459</v>
      </c>
      <c r="I5" s="3595" t="s">
        <v>3319</v>
      </c>
      <c r="J5" s="3595" t="s">
        <v>3334</v>
      </c>
      <c r="K5" s="3595" t="s">
        <v>3317</v>
      </c>
      <c r="L5" s="3595" t="s">
        <v>3497</v>
      </c>
      <c r="M5" s="3595" t="s">
        <v>3315</v>
      </c>
      <c r="N5" s="3595" t="s">
        <v>3397</v>
      </c>
      <c r="O5" s="3595">
        <v>14849</v>
      </c>
      <c r="P5" s="3595">
        <v>360.02</v>
      </c>
      <c r="Q5" s="3595">
        <v>3600</v>
      </c>
      <c r="R5" s="3595">
        <v>0</v>
      </c>
      <c r="S5" s="3595" t="s">
        <v>3502</v>
      </c>
    </row>
    <row r="6" spans="1:19">
      <c r="A6" s="3595" t="s">
        <v>3504</v>
      </c>
      <c r="B6" s="3595" t="s">
        <v>3324</v>
      </c>
      <c r="C6" s="3595" t="s">
        <v>3336</v>
      </c>
      <c r="D6" s="3595" t="s">
        <v>3503</v>
      </c>
      <c r="E6" s="3595">
        <v>27295.360000000001</v>
      </c>
      <c r="F6" s="3595">
        <v>40943</v>
      </c>
      <c r="G6" s="3595" t="s">
        <v>3321</v>
      </c>
      <c r="H6" s="3595" t="s">
        <v>3459</v>
      </c>
      <c r="I6" s="3595" t="s">
        <v>3319</v>
      </c>
      <c r="J6" s="3595" t="s">
        <v>3334</v>
      </c>
      <c r="K6" s="3595" t="s">
        <v>3317</v>
      </c>
      <c r="L6" s="3595" t="s">
        <v>3497</v>
      </c>
      <c r="M6" s="3595" t="s">
        <v>3315</v>
      </c>
      <c r="N6" s="3595" t="s">
        <v>3397</v>
      </c>
      <c r="O6" s="3595">
        <v>14740</v>
      </c>
      <c r="P6" s="3595">
        <v>360.01</v>
      </c>
      <c r="Q6" s="3595">
        <v>3600</v>
      </c>
      <c r="R6" s="3595">
        <v>0</v>
      </c>
      <c r="S6" s="3595" t="s">
        <v>3502</v>
      </c>
    </row>
    <row r="7" spans="1:19">
      <c r="A7" s="3595" t="s">
        <v>3501</v>
      </c>
      <c r="B7" s="3595" t="s">
        <v>3324</v>
      </c>
      <c r="C7" s="3595" t="s">
        <v>3336</v>
      </c>
      <c r="D7" s="3595" t="s">
        <v>3500</v>
      </c>
      <c r="E7" s="3595">
        <v>41795.019999999997</v>
      </c>
      <c r="F7" s="3595">
        <v>62692</v>
      </c>
      <c r="G7" s="3595" t="s">
        <v>3321</v>
      </c>
      <c r="H7" s="3595" t="s">
        <v>3459</v>
      </c>
      <c r="I7" s="3595" t="s">
        <v>3319</v>
      </c>
      <c r="J7" s="3595" t="s">
        <v>3334</v>
      </c>
      <c r="K7" s="3595" t="s">
        <v>3317</v>
      </c>
      <c r="L7" s="3595" t="s">
        <v>3497</v>
      </c>
      <c r="M7" s="3595" t="s">
        <v>3315</v>
      </c>
      <c r="N7" s="3595" t="s">
        <v>3397</v>
      </c>
      <c r="O7" s="3595">
        <v>21943</v>
      </c>
      <c r="P7" s="3595">
        <v>350.01</v>
      </c>
      <c r="Q7" s="3595">
        <v>3500</v>
      </c>
      <c r="R7" s="3595">
        <v>0</v>
      </c>
      <c r="S7" s="3595" t="s">
        <v>3414</v>
      </c>
    </row>
    <row r="8" spans="1:19">
      <c r="A8" s="3595" t="s">
        <v>3499</v>
      </c>
      <c r="B8" s="3595" t="s">
        <v>3324</v>
      </c>
      <c r="C8" s="3595" t="s">
        <v>3336</v>
      </c>
      <c r="D8" s="3595" t="s">
        <v>3498</v>
      </c>
      <c r="E8" s="3595">
        <v>34232.800000000003</v>
      </c>
      <c r="F8" s="3595">
        <v>51349</v>
      </c>
      <c r="G8" s="3595" t="s">
        <v>3321</v>
      </c>
      <c r="H8" s="3595" t="s">
        <v>3459</v>
      </c>
      <c r="I8" s="3595" t="s">
        <v>3319</v>
      </c>
      <c r="J8" s="3595" t="s">
        <v>3334</v>
      </c>
      <c r="K8" s="3595" t="s">
        <v>3317</v>
      </c>
      <c r="L8" s="3595" t="s">
        <v>3497</v>
      </c>
      <c r="M8" s="3595" t="s">
        <v>3315</v>
      </c>
      <c r="N8" s="3595" t="s">
        <v>3397</v>
      </c>
      <c r="O8" s="3595">
        <v>17973</v>
      </c>
      <c r="P8" s="3595">
        <v>350.02</v>
      </c>
      <c r="Q8" s="3595">
        <v>3500</v>
      </c>
      <c r="R8" s="3595">
        <v>0</v>
      </c>
      <c r="S8" s="3595" t="s">
        <v>3474</v>
      </c>
    </row>
    <row r="9" spans="1:19">
      <c r="A9" s="3595" t="s">
        <v>3496</v>
      </c>
      <c r="B9" s="3595" t="s">
        <v>3324</v>
      </c>
      <c r="C9" s="3595" t="s">
        <v>3336</v>
      </c>
      <c r="D9" s="3595" t="s">
        <v>3495</v>
      </c>
      <c r="E9" s="3595">
        <v>28827.58</v>
      </c>
      <c r="F9" s="3595">
        <v>43241</v>
      </c>
      <c r="G9" s="3595" t="s">
        <v>3321</v>
      </c>
      <c r="H9" s="3595" t="s">
        <v>3459</v>
      </c>
      <c r="I9" s="3595" t="s">
        <v>3319</v>
      </c>
      <c r="J9" s="3595" t="s">
        <v>3334</v>
      </c>
      <c r="K9" s="3595" t="s">
        <v>3317</v>
      </c>
      <c r="L9" s="3595" t="s">
        <v>3489</v>
      </c>
      <c r="M9" s="3595" t="s">
        <v>3315</v>
      </c>
      <c r="N9" s="3595" t="s">
        <v>3397</v>
      </c>
      <c r="O9" s="3595">
        <v>15135</v>
      </c>
      <c r="P9" s="3595">
        <v>350.01</v>
      </c>
      <c r="Q9" s="3595">
        <v>3500</v>
      </c>
      <c r="R9" s="3595">
        <v>0</v>
      </c>
      <c r="S9" s="3595" t="s">
        <v>3338</v>
      </c>
    </row>
    <row r="10" spans="1:19">
      <c r="A10" s="3595" t="s">
        <v>3494</v>
      </c>
      <c r="B10" s="3595" t="s">
        <v>3324</v>
      </c>
      <c r="C10" s="3595" t="s">
        <v>3336</v>
      </c>
      <c r="D10" s="3595" t="s">
        <v>3493</v>
      </c>
      <c r="E10" s="3595">
        <v>22783.38</v>
      </c>
      <c r="F10" s="3595">
        <v>34175</v>
      </c>
      <c r="G10" s="3595" t="s">
        <v>3321</v>
      </c>
      <c r="H10" s="3595" t="s">
        <v>3459</v>
      </c>
      <c r="I10" s="3595" t="s">
        <v>3319</v>
      </c>
      <c r="J10" s="3595" t="s">
        <v>3334</v>
      </c>
      <c r="K10" s="3595" t="s">
        <v>3317</v>
      </c>
      <c r="L10" s="3595" t="s">
        <v>3489</v>
      </c>
      <c r="M10" s="3595" t="s">
        <v>3315</v>
      </c>
      <c r="N10" s="3595" t="s">
        <v>3397</v>
      </c>
      <c r="O10" s="3595">
        <v>11962</v>
      </c>
      <c r="P10" s="3595">
        <v>350.02</v>
      </c>
      <c r="Q10" s="3595">
        <v>3500</v>
      </c>
      <c r="R10" s="3595">
        <v>0</v>
      </c>
      <c r="S10" s="3595" t="s">
        <v>3492</v>
      </c>
    </row>
    <row r="11" spans="1:19">
      <c r="A11" s="3595" t="s">
        <v>3491</v>
      </c>
      <c r="B11" s="3595" t="s">
        <v>3324</v>
      </c>
      <c r="C11" s="3595" t="s">
        <v>3336</v>
      </c>
      <c r="D11" s="3595" t="s">
        <v>3490</v>
      </c>
      <c r="E11" s="3595">
        <v>37913.919999999998</v>
      </c>
      <c r="F11" s="3595">
        <v>56870</v>
      </c>
      <c r="G11" s="3595" t="s">
        <v>3321</v>
      </c>
      <c r="H11" s="3595" t="s">
        <v>3459</v>
      </c>
      <c r="I11" s="3595" t="s">
        <v>3319</v>
      </c>
      <c r="J11" s="3595" t="s">
        <v>3334</v>
      </c>
      <c r="K11" s="3595" t="s">
        <v>3317</v>
      </c>
      <c r="L11" s="3595" t="s">
        <v>3489</v>
      </c>
      <c r="M11" s="3595" t="s">
        <v>3315</v>
      </c>
      <c r="N11" s="3595" t="s">
        <v>3397</v>
      </c>
      <c r="O11" s="3595">
        <v>19905</v>
      </c>
      <c r="P11" s="3595">
        <v>350</v>
      </c>
      <c r="Q11" s="3595">
        <v>3500</v>
      </c>
      <c r="R11" s="3595">
        <v>0</v>
      </c>
      <c r="S11" s="3595" t="s">
        <v>3414</v>
      </c>
    </row>
    <row r="12" spans="1:19">
      <c r="A12" s="3595" t="s">
        <v>3488</v>
      </c>
      <c r="B12" s="3595" t="s">
        <v>3324</v>
      </c>
      <c r="C12" s="3595" t="s">
        <v>3336</v>
      </c>
      <c r="D12" s="3595" t="s">
        <v>3487</v>
      </c>
      <c r="E12" s="3595">
        <v>42404.35</v>
      </c>
      <c r="F12" s="3595">
        <v>63606</v>
      </c>
      <c r="G12" s="3595" t="s">
        <v>3321</v>
      </c>
      <c r="H12" s="3595" t="s">
        <v>3459</v>
      </c>
      <c r="I12" s="3595" t="s">
        <v>3319</v>
      </c>
      <c r="J12" s="3595" t="s">
        <v>3334</v>
      </c>
      <c r="K12" s="3595" t="s">
        <v>3317</v>
      </c>
      <c r="L12" s="3595" t="s">
        <v>3482</v>
      </c>
      <c r="M12" s="3595" t="s">
        <v>3315</v>
      </c>
      <c r="N12" s="3595" t="s">
        <v>3397</v>
      </c>
      <c r="O12" s="3595">
        <v>22263</v>
      </c>
      <c r="P12" s="3595">
        <v>350.01</v>
      </c>
      <c r="Q12" s="3595">
        <v>3500</v>
      </c>
      <c r="R12" s="3595">
        <v>0</v>
      </c>
      <c r="S12" s="3595" t="s">
        <v>3462</v>
      </c>
    </row>
    <row r="13" spans="1:19">
      <c r="A13" s="3595" t="s">
        <v>3486</v>
      </c>
      <c r="B13" s="3595" t="s">
        <v>3324</v>
      </c>
      <c r="C13" s="3595" t="s">
        <v>3336</v>
      </c>
      <c r="D13" s="3595" t="s">
        <v>3485</v>
      </c>
      <c r="E13" s="3595">
        <v>40631.300000000003</v>
      </c>
      <c r="F13" s="3595">
        <v>60946</v>
      </c>
      <c r="G13" s="3595" t="s">
        <v>3321</v>
      </c>
      <c r="H13" s="3595" t="s">
        <v>3459</v>
      </c>
      <c r="I13" s="3595" t="s">
        <v>3319</v>
      </c>
      <c r="J13" s="3595" t="s">
        <v>3334</v>
      </c>
      <c r="K13" s="3595" t="s">
        <v>3317</v>
      </c>
      <c r="L13" s="3595" t="s">
        <v>3482</v>
      </c>
      <c r="M13" s="3595" t="s">
        <v>3315</v>
      </c>
      <c r="N13" s="3595" t="s">
        <v>3397</v>
      </c>
      <c r="O13" s="3595">
        <v>21332</v>
      </c>
      <c r="P13" s="3595">
        <v>350.01</v>
      </c>
      <c r="Q13" s="3595">
        <v>3500</v>
      </c>
      <c r="R13" s="3595">
        <v>0</v>
      </c>
      <c r="S13" s="3595" t="s">
        <v>3462</v>
      </c>
    </row>
    <row r="14" spans="1:19">
      <c r="A14" s="3595" t="s">
        <v>3484</v>
      </c>
      <c r="B14" s="3595" t="s">
        <v>3324</v>
      </c>
      <c r="C14" s="3595" t="s">
        <v>3336</v>
      </c>
      <c r="D14" s="3595" t="s">
        <v>3483</v>
      </c>
      <c r="E14" s="3595">
        <v>31771.66</v>
      </c>
      <c r="F14" s="3595">
        <v>47657</v>
      </c>
      <c r="G14" s="3595" t="s">
        <v>3321</v>
      </c>
      <c r="H14" s="3595" t="s">
        <v>3459</v>
      </c>
      <c r="I14" s="3595" t="s">
        <v>3319</v>
      </c>
      <c r="J14" s="3595" t="s">
        <v>3334</v>
      </c>
      <c r="K14" s="3595" t="s">
        <v>3317</v>
      </c>
      <c r="L14" s="3595" t="s">
        <v>3482</v>
      </c>
      <c r="M14" s="3595" t="s">
        <v>3315</v>
      </c>
      <c r="N14" s="3595" t="s">
        <v>3397</v>
      </c>
      <c r="O14" s="3595">
        <v>16681</v>
      </c>
      <c r="P14" s="3595">
        <v>350.02</v>
      </c>
      <c r="Q14" s="3595">
        <v>3500</v>
      </c>
      <c r="R14" s="3595">
        <v>0</v>
      </c>
      <c r="S14" s="3595" t="s">
        <v>3462</v>
      </c>
    </row>
    <row r="15" spans="1:19">
      <c r="A15" s="3595" t="s">
        <v>3481</v>
      </c>
      <c r="B15" s="3595" t="s">
        <v>3324</v>
      </c>
      <c r="C15" s="3595" t="s">
        <v>3480</v>
      </c>
      <c r="D15" s="3595" t="s">
        <v>3479</v>
      </c>
      <c r="E15" s="3595">
        <v>9467.73</v>
      </c>
      <c r="F15" s="3595">
        <v>14201</v>
      </c>
      <c r="G15" s="3595" t="s">
        <v>3321</v>
      </c>
      <c r="H15" s="3595" t="s">
        <v>3459</v>
      </c>
      <c r="I15" s="3595" t="s">
        <v>3319</v>
      </c>
      <c r="J15" s="3595" t="s">
        <v>3334</v>
      </c>
      <c r="K15" s="3595" t="s">
        <v>3317</v>
      </c>
      <c r="L15" s="3595" t="s">
        <v>3478</v>
      </c>
      <c r="M15" s="3595" t="s">
        <v>3315</v>
      </c>
      <c r="N15" s="3595" t="s">
        <v>3397</v>
      </c>
      <c r="O15" s="3595">
        <v>753</v>
      </c>
      <c r="P15" s="3595">
        <v>53.02</v>
      </c>
      <c r="Q15" s="3595">
        <v>530</v>
      </c>
      <c r="R15" s="3595">
        <v>0</v>
      </c>
      <c r="S15" s="3595" t="s">
        <v>3477</v>
      </c>
    </row>
    <row r="16" spans="1:19">
      <c r="A16" s="3595" t="s">
        <v>3476</v>
      </c>
      <c r="B16" s="3595" t="s">
        <v>3324</v>
      </c>
      <c r="C16" s="3595" t="s">
        <v>3336</v>
      </c>
      <c r="D16" s="3595" t="s">
        <v>3475</v>
      </c>
      <c r="E16" s="3595">
        <v>26700.52</v>
      </c>
      <c r="F16" s="3595">
        <v>45390</v>
      </c>
      <c r="G16" s="3595" t="s">
        <v>3321</v>
      </c>
      <c r="H16" s="3595" t="s">
        <v>3459</v>
      </c>
      <c r="I16" s="3595" t="s">
        <v>3319</v>
      </c>
      <c r="J16" s="3595" t="s">
        <v>3364</v>
      </c>
      <c r="K16" s="3595" t="s">
        <v>3317</v>
      </c>
      <c r="L16" s="3595" t="s">
        <v>3470</v>
      </c>
      <c r="M16" s="3595" t="s">
        <v>3315</v>
      </c>
      <c r="N16" s="3595" t="s">
        <v>3397</v>
      </c>
      <c r="O16" s="3595">
        <v>14018</v>
      </c>
      <c r="P16" s="3595">
        <v>350.01</v>
      </c>
      <c r="Q16" s="3595">
        <v>3088</v>
      </c>
      <c r="R16" s="3595">
        <v>0</v>
      </c>
      <c r="S16" s="3595" t="s">
        <v>3474</v>
      </c>
    </row>
    <row r="17" spans="1:19">
      <c r="A17" s="3595" t="s">
        <v>3473</v>
      </c>
      <c r="B17" s="3595" t="s">
        <v>3324</v>
      </c>
      <c r="C17" s="3595" t="s">
        <v>3336</v>
      </c>
      <c r="D17" s="3595" t="s">
        <v>3472</v>
      </c>
      <c r="E17" s="3595">
        <v>20103.560000000001</v>
      </c>
      <c r="F17" s="3595">
        <v>40207</v>
      </c>
      <c r="G17" s="3595" t="s">
        <v>3321</v>
      </c>
      <c r="H17" s="3595" t="s">
        <v>3459</v>
      </c>
      <c r="I17" s="3595" t="s">
        <v>3319</v>
      </c>
      <c r="J17" s="3595" t="s">
        <v>3471</v>
      </c>
      <c r="K17" s="3595" t="s">
        <v>3317</v>
      </c>
      <c r="L17" s="3595" t="s">
        <v>3470</v>
      </c>
      <c r="M17" s="3595" t="s">
        <v>3315</v>
      </c>
      <c r="N17" s="3595" t="s">
        <v>3397</v>
      </c>
      <c r="O17" s="3595">
        <v>6635</v>
      </c>
      <c r="P17" s="3595">
        <v>220.03</v>
      </c>
      <c r="Q17" s="3595">
        <v>1650</v>
      </c>
      <c r="R17" s="3595">
        <v>0</v>
      </c>
      <c r="S17" s="3595" t="s">
        <v>3469</v>
      </c>
    </row>
    <row r="18" spans="1:19" s="3405" customFormat="1">
      <c r="A18" s="3728" t="s">
        <v>3468</v>
      </c>
      <c r="B18" s="3728" t="s">
        <v>3324</v>
      </c>
      <c r="C18" s="3728" t="s">
        <v>3336</v>
      </c>
      <c r="D18" s="3728" t="s">
        <v>3467</v>
      </c>
      <c r="E18" s="3728">
        <v>34059.19</v>
      </c>
      <c r="F18" s="3728">
        <v>54494</v>
      </c>
      <c r="G18" s="3728" t="s">
        <v>3321</v>
      </c>
      <c r="H18" s="3728" t="s">
        <v>3459</v>
      </c>
      <c r="I18" s="3728" t="s">
        <v>3319</v>
      </c>
      <c r="J18" s="3728" t="s">
        <v>3442</v>
      </c>
      <c r="K18" s="3728" t="s">
        <v>3317</v>
      </c>
      <c r="L18" s="3728" t="s">
        <v>3466</v>
      </c>
      <c r="M18" s="3728" t="s">
        <v>3315</v>
      </c>
      <c r="N18" s="3728" t="s">
        <v>3397</v>
      </c>
      <c r="O18" s="3728">
        <v>12773</v>
      </c>
      <c r="P18" s="3728">
        <v>250.02</v>
      </c>
      <c r="Q18" s="3728">
        <v>2344</v>
      </c>
      <c r="R18" s="3728">
        <v>0</v>
      </c>
      <c r="S18" s="3728" t="s">
        <v>3462</v>
      </c>
    </row>
    <row r="19" spans="1:19">
      <c r="A19" s="3595" t="s">
        <v>3465</v>
      </c>
      <c r="B19" s="3595" t="s">
        <v>3324</v>
      </c>
      <c r="C19" s="3595" t="s">
        <v>3336</v>
      </c>
      <c r="D19" s="3595" t="s">
        <v>3464</v>
      </c>
      <c r="E19" s="3595">
        <v>30908.45</v>
      </c>
      <c r="F19" s="3595">
        <v>49453</v>
      </c>
      <c r="G19" s="3595" t="s">
        <v>3321</v>
      </c>
      <c r="H19" s="3595" t="s">
        <v>3459</v>
      </c>
      <c r="I19" s="3595" t="s">
        <v>3319</v>
      </c>
      <c r="J19" s="3595" t="s">
        <v>3442</v>
      </c>
      <c r="K19" s="3595" t="s">
        <v>3317</v>
      </c>
      <c r="L19" s="3595" t="s">
        <v>3463</v>
      </c>
      <c r="M19" s="3595" t="s">
        <v>3315</v>
      </c>
      <c r="N19" s="3595" t="s">
        <v>3397</v>
      </c>
      <c r="O19" s="3595">
        <v>11591</v>
      </c>
      <c r="P19" s="3595">
        <v>250.01</v>
      </c>
      <c r="Q19" s="3595">
        <v>2344</v>
      </c>
      <c r="R19" s="3595">
        <v>0</v>
      </c>
      <c r="S19" s="3595" t="s">
        <v>3462</v>
      </c>
    </row>
    <row r="20" spans="1:19">
      <c r="A20" s="3595" t="s">
        <v>3461</v>
      </c>
      <c r="B20" s="3595" t="s">
        <v>3324</v>
      </c>
      <c r="C20" s="3595" t="s">
        <v>3342</v>
      </c>
      <c r="D20" s="3595" t="s">
        <v>3460</v>
      </c>
      <c r="E20" s="3595">
        <v>27719.14</v>
      </c>
      <c r="F20" s="3595">
        <v>55438</v>
      </c>
      <c r="G20" s="3595" t="s">
        <v>3321</v>
      </c>
      <c r="H20" s="3595" t="s">
        <v>3459</v>
      </c>
      <c r="I20" s="3595" t="s">
        <v>3319</v>
      </c>
      <c r="J20" s="3595" t="s">
        <v>3379</v>
      </c>
      <c r="K20" s="3595" t="s">
        <v>3317</v>
      </c>
      <c r="L20" s="3595" t="s">
        <v>3458</v>
      </c>
      <c r="M20" s="3595" t="s">
        <v>3315</v>
      </c>
      <c r="N20" s="3595" t="s">
        <v>3397</v>
      </c>
      <c r="O20" s="3595">
        <v>9148</v>
      </c>
      <c r="P20" s="3595">
        <v>220.02</v>
      </c>
      <c r="Q20" s="3595">
        <v>1650</v>
      </c>
      <c r="R20" s="3595">
        <v>0</v>
      </c>
      <c r="S20" s="3595" t="s">
        <v>3457</v>
      </c>
    </row>
    <row r="21" spans="1:19" s="3405" customFormat="1">
      <c r="A21" s="3728" t="s">
        <v>3456</v>
      </c>
      <c r="B21" s="3728" t="s">
        <v>3324</v>
      </c>
      <c r="C21" s="3728" t="s">
        <v>3336</v>
      </c>
      <c r="D21" s="3728" t="s">
        <v>3455</v>
      </c>
      <c r="E21" s="3728">
        <v>12305.97</v>
      </c>
      <c r="F21" s="3728">
        <v>18458</v>
      </c>
      <c r="G21" s="3728" t="s">
        <v>3340</v>
      </c>
      <c r="H21" s="3728" t="s">
        <v>3340</v>
      </c>
      <c r="I21" s="3728" t="s">
        <v>3319</v>
      </c>
      <c r="J21" s="3728" t="s">
        <v>3334</v>
      </c>
      <c r="K21" s="3728" t="s">
        <v>3317</v>
      </c>
      <c r="L21" s="3728" t="s">
        <v>3451</v>
      </c>
      <c r="M21" s="3728" t="s">
        <v>3315</v>
      </c>
      <c r="N21" s="3728" t="s">
        <v>3397</v>
      </c>
      <c r="O21" s="3728">
        <v>4061</v>
      </c>
      <c r="P21" s="3728">
        <v>220</v>
      </c>
      <c r="Q21" s="3728">
        <v>2200</v>
      </c>
      <c r="R21" s="3728">
        <v>0</v>
      </c>
      <c r="S21" s="3728" t="s">
        <v>3454</v>
      </c>
    </row>
    <row r="22" spans="1:19">
      <c r="A22" s="3595" t="s">
        <v>3453</v>
      </c>
      <c r="B22" s="3595" t="s">
        <v>3324</v>
      </c>
      <c r="C22" s="3595" t="s">
        <v>3336</v>
      </c>
      <c r="D22" s="3595" t="s">
        <v>3452</v>
      </c>
      <c r="E22" s="3595">
        <v>15900.21</v>
      </c>
      <c r="F22" s="3595">
        <v>23850</v>
      </c>
      <c r="G22" s="3595" t="s">
        <v>3340</v>
      </c>
      <c r="H22" s="3595" t="s">
        <v>3340</v>
      </c>
      <c r="I22" s="3595" t="s">
        <v>3319</v>
      </c>
      <c r="J22" s="3595" t="s">
        <v>3334</v>
      </c>
      <c r="K22" s="3595" t="s">
        <v>3317</v>
      </c>
      <c r="L22" s="3595" t="s">
        <v>3451</v>
      </c>
      <c r="M22" s="3595" t="s">
        <v>3315</v>
      </c>
      <c r="N22" s="3595" t="s">
        <v>3397</v>
      </c>
      <c r="O22" s="3595">
        <v>5248</v>
      </c>
      <c r="P22" s="3595">
        <v>220.04</v>
      </c>
      <c r="Q22" s="3595">
        <v>2200</v>
      </c>
      <c r="R22" s="3595">
        <v>0</v>
      </c>
      <c r="S22" s="3595" t="s">
        <v>3450</v>
      </c>
    </row>
    <row r="23" spans="1:19">
      <c r="A23" s="3595" t="s">
        <v>3449</v>
      </c>
      <c r="B23" s="3595" t="s">
        <v>3324</v>
      </c>
      <c r="C23" s="3595" t="s">
        <v>3448</v>
      </c>
      <c r="D23" s="3595" t="s">
        <v>3447</v>
      </c>
      <c r="E23" s="3595">
        <v>58103.4</v>
      </c>
      <c r="F23" s="3595">
        <v>87155</v>
      </c>
      <c r="G23" s="3595" t="s">
        <v>3321</v>
      </c>
      <c r="H23" s="3595" t="s">
        <v>3320</v>
      </c>
      <c r="I23" s="3595" t="s">
        <v>3319</v>
      </c>
      <c r="J23" s="3595" t="s">
        <v>3334</v>
      </c>
      <c r="K23" s="3595" t="s">
        <v>3317</v>
      </c>
      <c r="L23" s="3595" t="s">
        <v>3446</v>
      </c>
      <c r="M23" s="3595" t="s">
        <v>3315</v>
      </c>
      <c r="N23" s="3595" t="s">
        <v>3397</v>
      </c>
      <c r="O23" s="3595">
        <v>15688</v>
      </c>
      <c r="P23" s="3595">
        <v>180</v>
      </c>
      <c r="Q23" s="3595">
        <v>1800</v>
      </c>
      <c r="R23" s="3595">
        <v>0</v>
      </c>
      <c r="S23" s="3595" t="s">
        <v>3445</v>
      </c>
    </row>
    <row r="24" spans="1:19">
      <c r="A24" s="3595" t="s">
        <v>3444</v>
      </c>
      <c r="B24" s="3595" t="s">
        <v>3324</v>
      </c>
      <c r="C24" s="3595" t="s">
        <v>3336</v>
      </c>
      <c r="D24" s="3595" t="s">
        <v>3443</v>
      </c>
      <c r="E24" s="3595">
        <v>79515.28</v>
      </c>
      <c r="F24" s="3595">
        <v>127224</v>
      </c>
      <c r="G24" s="3595" t="s">
        <v>3321</v>
      </c>
      <c r="H24" s="3595" t="s">
        <v>3320</v>
      </c>
      <c r="I24" s="3595" t="s">
        <v>3319</v>
      </c>
      <c r="J24" s="3595" t="s">
        <v>3442</v>
      </c>
      <c r="K24" s="3595" t="s">
        <v>3317</v>
      </c>
      <c r="L24" s="3595" t="s">
        <v>3441</v>
      </c>
      <c r="M24" s="3595" t="s">
        <v>3315</v>
      </c>
      <c r="N24" s="3595" t="s">
        <v>3397</v>
      </c>
      <c r="O24" s="3595">
        <v>45324</v>
      </c>
      <c r="P24" s="3595">
        <v>380</v>
      </c>
      <c r="Q24" s="3595">
        <v>3563</v>
      </c>
      <c r="R24" s="3595">
        <v>0</v>
      </c>
      <c r="S24" s="3595" t="s">
        <v>3347</v>
      </c>
    </row>
    <row r="25" spans="1:19">
      <c r="A25" s="3595" t="s">
        <v>3440</v>
      </c>
      <c r="B25" s="3595" t="s">
        <v>3324</v>
      </c>
      <c r="C25" s="3595" t="s">
        <v>3336</v>
      </c>
      <c r="D25" s="3595" t="s">
        <v>3439</v>
      </c>
      <c r="E25" s="3595">
        <v>43030.46</v>
      </c>
      <c r="F25" s="3595">
        <v>86060</v>
      </c>
      <c r="G25" s="3595" t="s">
        <v>3321</v>
      </c>
      <c r="H25" s="3595" t="s">
        <v>3320</v>
      </c>
      <c r="I25" s="3595" t="s">
        <v>3319</v>
      </c>
      <c r="J25" s="3595" t="s">
        <v>3379</v>
      </c>
      <c r="K25" s="3595" t="s">
        <v>3317</v>
      </c>
      <c r="L25" s="3595" t="s">
        <v>3438</v>
      </c>
      <c r="M25" s="3595" t="s">
        <v>3315</v>
      </c>
      <c r="N25" s="3595" t="s">
        <v>3397</v>
      </c>
      <c r="O25" s="3595">
        <v>25819</v>
      </c>
      <c r="P25" s="3595">
        <v>400.01</v>
      </c>
      <c r="Q25" s="3595">
        <v>3000</v>
      </c>
      <c r="R25" s="3595">
        <v>0</v>
      </c>
      <c r="S25" s="3595" t="s">
        <v>3414</v>
      </c>
    </row>
    <row r="26" spans="1:19">
      <c r="A26" s="3595" t="s">
        <v>3437</v>
      </c>
      <c r="B26" s="3595" t="s">
        <v>3324</v>
      </c>
      <c r="C26" s="3595" t="s">
        <v>3431</v>
      </c>
      <c r="D26" s="3595" t="s">
        <v>3436</v>
      </c>
      <c r="E26" s="3595">
        <v>40230</v>
      </c>
      <c r="F26" s="3595">
        <v>68391</v>
      </c>
      <c r="G26" s="3595" t="s">
        <v>3321</v>
      </c>
      <c r="H26" s="3595" t="s">
        <v>3320</v>
      </c>
      <c r="I26" s="3595" t="s">
        <v>3319</v>
      </c>
      <c r="J26" s="3595" t="s">
        <v>3364</v>
      </c>
      <c r="K26" s="3595" t="s">
        <v>3317</v>
      </c>
      <c r="L26" s="3595" t="s">
        <v>3429</v>
      </c>
      <c r="M26" s="3595" t="s">
        <v>3315</v>
      </c>
      <c r="N26" s="3595" t="s">
        <v>3397</v>
      </c>
      <c r="O26" s="3595">
        <v>15690</v>
      </c>
      <c r="P26" s="3595">
        <v>260</v>
      </c>
      <c r="Q26" s="3595">
        <v>2294</v>
      </c>
      <c r="R26" s="3595">
        <v>0</v>
      </c>
      <c r="S26" s="3595" t="s">
        <v>3347</v>
      </c>
    </row>
    <row r="27" spans="1:19">
      <c r="A27" s="3595" t="s">
        <v>3435</v>
      </c>
      <c r="B27" s="3595" t="s">
        <v>3324</v>
      </c>
      <c r="C27" s="3595" t="s">
        <v>3431</v>
      </c>
      <c r="D27" s="3595" t="s">
        <v>3434</v>
      </c>
      <c r="E27" s="3595">
        <v>44974.7</v>
      </c>
      <c r="F27" s="3595">
        <v>76456</v>
      </c>
      <c r="G27" s="3595" t="s">
        <v>3321</v>
      </c>
      <c r="H27" s="3595" t="s">
        <v>3320</v>
      </c>
      <c r="I27" s="3595" t="s">
        <v>3319</v>
      </c>
      <c r="J27" s="3595" t="s">
        <v>3364</v>
      </c>
      <c r="K27" s="3595" t="s">
        <v>3317</v>
      </c>
      <c r="L27" s="3595" t="s">
        <v>3429</v>
      </c>
      <c r="M27" s="3595" t="s">
        <v>3315</v>
      </c>
      <c r="N27" s="3595" t="s">
        <v>3397</v>
      </c>
      <c r="O27" s="3595">
        <v>17541</v>
      </c>
      <c r="P27" s="3595">
        <v>260.01</v>
      </c>
      <c r="Q27" s="3595">
        <v>2294</v>
      </c>
      <c r="R27" s="3595">
        <v>0</v>
      </c>
      <c r="S27" s="3595" t="s">
        <v>3433</v>
      </c>
    </row>
    <row r="28" spans="1:19">
      <c r="A28" s="3595" t="s">
        <v>3432</v>
      </c>
      <c r="B28" s="3595" t="s">
        <v>3324</v>
      </c>
      <c r="C28" s="3595" t="s">
        <v>3431</v>
      </c>
      <c r="D28" s="3595" t="s">
        <v>3430</v>
      </c>
      <c r="E28" s="3595">
        <v>47197.3</v>
      </c>
      <c r="F28" s="3595">
        <v>80235</v>
      </c>
      <c r="G28" s="3595" t="s">
        <v>3321</v>
      </c>
      <c r="H28" s="3595" t="s">
        <v>3320</v>
      </c>
      <c r="I28" s="3595" t="s">
        <v>3319</v>
      </c>
      <c r="J28" s="3595" t="s">
        <v>3364</v>
      </c>
      <c r="K28" s="3595" t="s">
        <v>3317</v>
      </c>
      <c r="L28" s="3595" t="s">
        <v>3429</v>
      </c>
      <c r="M28" s="3595" t="s">
        <v>3315</v>
      </c>
      <c r="N28" s="3595" t="s">
        <v>3397</v>
      </c>
      <c r="O28" s="3595">
        <v>18407</v>
      </c>
      <c r="P28" s="3595">
        <v>260</v>
      </c>
      <c r="Q28" s="3595">
        <v>2294</v>
      </c>
      <c r="R28" s="3595">
        <v>0</v>
      </c>
      <c r="S28" s="3595" t="s">
        <v>3347</v>
      </c>
    </row>
    <row r="29" spans="1:19">
      <c r="A29" s="3595" t="s">
        <v>3428</v>
      </c>
      <c r="B29" s="3595" t="s">
        <v>3324</v>
      </c>
      <c r="C29" s="3595" t="s">
        <v>3336</v>
      </c>
      <c r="D29" s="3595" t="s">
        <v>3427</v>
      </c>
      <c r="E29" s="3595">
        <v>27921.54</v>
      </c>
      <c r="F29" s="3595">
        <v>47466</v>
      </c>
      <c r="G29" s="3595" t="s">
        <v>3321</v>
      </c>
      <c r="H29" s="3595" t="s">
        <v>3320</v>
      </c>
      <c r="I29" s="3595" t="s">
        <v>3319</v>
      </c>
      <c r="J29" s="3595" t="s">
        <v>3364</v>
      </c>
      <c r="K29" s="3595" t="s">
        <v>3317</v>
      </c>
      <c r="L29" s="3595" t="s">
        <v>3411</v>
      </c>
      <c r="M29" s="3595" t="s">
        <v>3315</v>
      </c>
      <c r="N29" s="3595" t="s">
        <v>3397</v>
      </c>
      <c r="O29" s="3595">
        <v>16753</v>
      </c>
      <c r="P29" s="3595">
        <v>400</v>
      </c>
      <c r="Q29" s="3595">
        <v>3529</v>
      </c>
      <c r="R29" s="3595">
        <v>0</v>
      </c>
      <c r="S29" s="3595" t="s">
        <v>3347</v>
      </c>
    </row>
    <row r="30" spans="1:19" s="3404" customFormat="1">
      <c r="A30" s="3727" t="s">
        <v>3426</v>
      </c>
      <c r="B30" s="3727" t="s">
        <v>3324</v>
      </c>
      <c r="C30" s="3727" t="s">
        <v>3425</v>
      </c>
      <c r="D30" s="3727" t="s">
        <v>3424</v>
      </c>
      <c r="E30" s="3727">
        <v>22772.01</v>
      </c>
      <c r="F30" s="3727">
        <v>40989</v>
      </c>
      <c r="G30" s="3727" t="s">
        <v>3321</v>
      </c>
      <c r="H30" s="3727" t="s">
        <v>3320</v>
      </c>
      <c r="I30" s="3727" t="s">
        <v>3319</v>
      </c>
      <c r="J30" s="3727" t="s">
        <v>3349</v>
      </c>
      <c r="K30" s="3727" t="s">
        <v>3317</v>
      </c>
      <c r="L30" s="3727" t="s">
        <v>3411</v>
      </c>
      <c r="M30" s="3727" t="s">
        <v>3315</v>
      </c>
      <c r="N30" s="3727" t="s">
        <v>3397</v>
      </c>
      <c r="O30" s="3727">
        <v>5125</v>
      </c>
      <c r="P30" s="3727">
        <v>150.04</v>
      </c>
      <c r="Q30" s="3727">
        <v>1250</v>
      </c>
      <c r="R30" s="3727">
        <v>0</v>
      </c>
      <c r="S30" s="3727" t="s">
        <v>3338</v>
      </c>
    </row>
    <row r="31" spans="1:19">
      <c r="A31" s="3595" t="s">
        <v>3423</v>
      </c>
      <c r="B31" s="3595" t="s">
        <v>3324</v>
      </c>
      <c r="C31" s="3595" t="s">
        <v>3336</v>
      </c>
      <c r="D31" s="3595" t="s">
        <v>3422</v>
      </c>
      <c r="E31" s="3595">
        <v>38448.82</v>
      </c>
      <c r="F31" s="3595">
        <v>69207</v>
      </c>
      <c r="G31" s="3595" t="s">
        <v>3321</v>
      </c>
      <c r="H31" s="3595" t="s">
        <v>3320</v>
      </c>
      <c r="I31" s="3595" t="s">
        <v>3319</v>
      </c>
      <c r="J31" s="3595" t="s">
        <v>3349</v>
      </c>
      <c r="K31" s="3595" t="s">
        <v>3317</v>
      </c>
      <c r="L31" s="3595" t="s">
        <v>3411</v>
      </c>
      <c r="M31" s="3595" t="s">
        <v>3315</v>
      </c>
      <c r="N31" s="3595" t="s">
        <v>3397</v>
      </c>
      <c r="O31" s="3595">
        <v>23070</v>
      </c>
      <c r="P31" s="3595">
        <v>400.01</v>
      </c>
      <c r="Q31" s="3595">
        <v>3333</v>
      </c>
      <c r="R31" s="3595">
        <v>0</v>
      </c>
      <c r="S31" s="3595" t="s">
        <v>3338</v>
      </c>
    </row>
    <row r="32" spans="1:19">
      <c r="A32" s="3595" t="s">
        <v>3421</v>
      </c>
      <c r="B32" s="3595" t="s">
        <v>3324</v>
      </c>
      <c r="C32" s="3595" t="s">
        <v>3336</v>
      </c>
      <c r="D32" s="3595" t="s">
        <v>3420</v>
      </c>
      <c r="E32" s="3595">
        <v>32271.89</v>
      </c>
      <c r="F32" s="3595">
        <v>61316</v>
      </c>
      <c r="G32" s="3595" t="s">
        <v>3321</v>
      </c>
      <c r="H32" s="3595" t="s">
        <v>3320</v>
      </c>
      <c r="I32" s="3595" t="s">
        <v>3319</v>
      </c>
      <c r="J32" s="3595" t="s">
        <v>3419</v>
      </c>
      <c r="K32" s="3595" t="s">
        <v>3317</v>
      </c>
      <c r="L32" s="3595" t="s">
        <v>3411</v>
      </c>
      <c r="M32" s="3595" t="s">
        <v>3315</v>
      </c>
      <c r="N32" s="3595" t="s">
        <v>3397</v>
      </c>
      <c r="O32" s="3595">
        <v>19364</v>
      </c>
      <c r="P32" s="3595">
        <v>400.02</v>
      </c>
      <c r="Q32" s="3595">
        <v>3158</v>
      </c>
      <c r="R32" s="3595">
        <v>0</v>
      </c>
      <c r="S32" s="3595" t="s">
        <v>3347</v>
      </c>
    </row>
    <row r="33" spans="1:19">
      <c r="A33" s="3595" t="s">
        <v>3418</v>
      </c>
      <c r="B33" s="3595" t="s">
        <v>3324</v>
      </c>
      <c r="C33" s="3595" t="s">
        <v>3336</v>
      </c>
      <c r="D33" s="3595" t="s">
        <v>3417</v>
      </c>
      <c r="E33" s="3595">
        <v>45708.93</v>
      </c>
      <c r="F33" s="3595">
        <v>91417</v>
      </c>
      <c r="G33" s="3595" t="s">
        <v>3321</v>
      </c>
      <c r="H33" s="3595" t="s">
        <v>3320</v>
      </c>
      <c r="I33" s="3595" t="s">
        <v>3319</v>
      </c>
      <c r="J33" s="3595" t="s">
        <v>3379</v>
      </c>
      <c r="K33" s="3595" t="s">
        <v>3317</v>
      </c>
      <c r="L33" s="3595" t="s">
        <v>3411</v>
      </c>
      <c r="M33" s="3595" t="s">
        <v>3315</v>
      </c>
      <c r="N33" s="3595" t="s">
        <v>3397</v>
      </c>
      <c r="O33" s="3595">
        <v>27426</v>
      </c>
      <c r="P33" s="3595">
        <v>400.01</v>
      </c>
      <c r="Q33" s="3595">
        <v>3000</v>
      </c>
      <c r="R33" s="3595">
        <v>0</v>
      </c>
      <c r="S33" s="3595" t="s">
        <v>3338</v>
      </c>
    </row>
    <row r="34" spans="1:19">
      <c r="A34" s="3595" t="s">
        <v>3416</v>
      </c>
      <c r="B34" s="3595" t="s">
        <v>3324</v>
      </c>
      <c r="C34" s="3595" t="s">
        <v>3336</v>
      </c>
      <c r="D34" s="3595" t="s">
        <v>3415</v>
      </c>
      <c r="E34" s="3595">
        <v>33453.980000000003</v>
      </c>
      <c r="F34" s="3595">
        <v>56871</v>
      </c>
      <c r="G34" s="3595" t="s">
        <v>3321</v>
      </c>
      <c r="H34" s="3595" t="s">
        <v>3320</v>
      </c>
      <c r="I34" s="3595" t="s">
        <v>3319</v>
      </c>
      <c r="J34" s="3595" t="s">
        <v>3364</v>
      </c>
      <c r="K34" s="3595" t="s">
        <v>3317</v>
      </c>
      <c r="L34" s="3595" t="s">
        <v>3411</v>
      </c>
      <c r="M34" s="3595" t="s">
        <v>3315</v>
      </c>
      <c r="N34" s="3595" t="s">
        <v>3397</v>
      </c>
      <c r="O34" s="3595">
        <v>20073</v>
      </c>
      <c r="P34" s="3595">
        <v>400.01</v>
      </c>
      <c r="Q34" s="3595">
        <v>3530</v>
      </c>
      <c r="R34" s="3595">
        <v>0</v>
      </c>
      <c r="S34" s="3595" t="s">
        <v>3414</v>
      </c>
    </row>
    <row r="35" spans="1:19">
      <c r="A35" s="3595" t="s">
        <v>3413</v>
      </c>
      <c r="B35" s="3595" t="s">
        <v>3324</v>
      </c>
      <c r="C35" s="3595" t="s">
        <v>3336</v>
      </c>
      <c r="D35" s="3595" t="s">
        <v>3412</v>
      </c>
      <c r="E35" s="3595">
        <v>33515.68</v>
      </c>
      <c r="F35" s="3595">
        <v>60328</v>
      </c>
      <c r="G35" s="3595" t="s">
        <v>3321</v>
      </c>
      <c r="H35" s="3595" t="s">
        <v>3320</v>
      </c>
      <c r="I35" s="3595" t="s">
        <v>3319</v>
      </c>
      <c r="J35" s="3595" t="s">
        <v>3349</v>
      </c>
      <c r="K35" s="3595" t="s">
        <v>3317</v>
      </c>
      <c r="L35" s="3595" t="s">
        <v>3411</v>
      </c>
      <c r="M35" s="3595" t="s">
        <v>3315</v>
      </c>
      <c r="N35" s="3595" t="s">
        <v>3397</v>
      </c>
      <c r="O35" s="3595">
        <v>22278</v>
      </c>
      <c r="P35" s="3595">
        <v>443.14</v>
      </c>
      <c r="Q35" s="3595">
        <v>3693</v>
      </c>
      <c r="R35" s="3595">
        <v>3.05</v>
      </c>
      <c r="S35" s="3595" t="s">
        <v>3347</v>
      </c>
    </row>
    <row r="36" spans="1:19">
      <c r="A36" s="3595" t="s">
        <v>3410</v>
      </c>
      <c r="B36" s="3595" t="s">
        <v>3324</v>
      </c>
      <c r="C36" s="3595" t="s">
        <v>3372</v>
      </c>
      <c r="D36" s="3595" t="s">
        <v>3409</v>
      </c>
      <c r="E36" s="3595">
        <v>15173.82</v>
      </c>
      <c r="F36" s="3595">
        <v>22760</v>
      </c>
      <c r="G36" s="3595" t="s">
        <v>3321</v>
      </c>
      <c r="H36" s="3595" t="s">
        <v>3320</v>
      </c>
      <c r="I36" s="3595" t="s">
        <v>3319</v>
      </c>
      <c r="J36" s="3595" t="s">
        <v>3334</v>
      </c>
      <c r="K36" s="3595" t="s">
        <v>3317</v>
      </c>
      <c r="L36" s="3595" t="s">
        <v>3398</v>
      </c>
      <c r="M36" s="3595" t="s">
        <v>3315</v>
      </c>
      <c r="N36" s="3595" t="s">
        <v>3397</v>
      </c>
      <c r="O36" s="3595">
        <v>6475</v>
      </c>
      <c r="P36" s="3595">
        <v>284.48</v>
      </c>
      <c r="Q36" s="3595">
        <v>2845</v>
      </c>
      <c r="R36" s="3595">
        <v>23.69</v>
      </c>
      <c r="S36" s="3595" t="s">
        <v>3408</v>
      </c>
    </row>
    <row r="37" spans="1:19">
      <c r="A37" s="3595" t="s">
        <v>3407</v>
      </c>
      <c r="B37" s="3595" t="s">
        <v>3324</v>
      </c>
      <c r="C37" s="3595" t="s">
        <v>3336</v>
      </c>
      <c r="D37" s="3595" t="s">
        <v>3406</v>
      </c>
      <c r="E37" s="3595">
        <v>4084.38</v>
      </c>
      <c r="F37" s="3595">
        <v>5309</v>
      </c>
      <c r="G37" s="3595" t="s">
        <v>3321</v>
      </c>
      <c r="H37" s="3595" t="s">
        <v>3320</v>
      </c>
      <c r="I37" s="3595" t="s">
        <v>3319</v>
      </c>
      <c r="J37" s="3595" t="s">
        <v>3344</v>
      </c>
      <c r="K37" s="3595" t="s">
        <v>3317</v>
      </c>
      <c r="L37" s="3595" t="s">
        <v>3398</v>
      </c>
      <c r="M37" s="3595" t="s">
        <v>3315</v>
      </c>
      <c r="N37" s="3595" t="s">
        <v>3397</v>
      </c>
      <c r="O37" s="3595">
        <v>1224</v>
      </c>
      <c r="P37" s="3595">
        <v>199.79</v>
      </c>
      <c r="Q37" s="3595">
        <v>2306</v>
      </c>
      <c r="R37" s="3595">
        <v>10.87</v>
      </c>
      <c r="S37" s="3595" t="s">
        <v>3332</v>
      </c>
    </row>
    <row r="38" spans="1:19">
      <c r="A38" s="3595" t="s">
        <v>3405</v>
      </c>
      <c r="B38" s="3595" t="s">
        <v>3324</v>
      </c>
      <c r="C38" s="3595" t="s">
        <v>3336</v>
      </c>
      <c r="D38" s="3595" t="s">
        <v>3404</v>
      </c>
      <c r="E38" s="3595">
        <v>281.07</v>
      </c>
      <c r="F38" s="3595">
        <v>477</v>
      </c>
      <c r="G38" s="3595" t="s">
        <v>3321</v>
      </c>
      <c r="H38" s="3595" t="s">
        <v>3320</v>
      </c>
      <c r="I38" s="3595" t="s">
        <v>3319</v>
      </c>
      <c r="J38" s="3595" t="s">
        <v>3403</v>
      </c>
      <c r="K38" s="3595" t="s">
        <v>3317</v>
      </c>
      <c r="L38" s="3595" t="s">
        <v>3398</v>
      </c>
      <c r="M38" s="3595" t="s">
        <v>3315</v>
      </c>
      <c r="N38" s="3595" t="s">
        <v>3397</v>
      </c>
      <c r="O38" s="3595">
        <v>245</v>
      </c>
      <c r="P38" s="3595">
        <v>581.11</v>
      </c>
      <c r="Q38" s="3595">
        <v>5136</v>
      </c>
      <c r="R38" s="3595">
        <v>81.48</v>
      </c>
      <c r="S38" s="3595" t="s">
        <v>3402</v>
      </c>
    </row>
    <row r="39" spans="1:19">
      <c r="A39" s="3595" t="s">
        <v>3401</v>
      </c>
      <c r="B39" s="3595" t="s">
        <v>3324</v>
      </c>
      <c r="C39" s="3595" t="s">
        <v>3336</v>
      </c>
      <c r="D39" s="3595" t="s">
        <v>3400</v>
      </c>
      <c r="E39" s="3595">
        <v>294.26</v>
      </c>
      <c r="F39" s="3595">
        <v>529</v>
      </c>
      <c r="G39" s="3595" t="s">
        <v>3321</v>
      </c>
      <c r="H39" s="3595" t="s">
        <v>3320</v>
      </c>
      <c r="I39" s="3595" t="s">
        <v>3319</v>
      </c>
      <c r="J39" s="3595" t="s">
        <v>3399</v>
      </c>
      <c r="K39" s="3595" t="s">
        <v>3317</v>
      </c>
      <c r="L39" s="3595" t="s">
        <v>3398</v>
      </c>
      <c r="M39" s="3595" t="s">
        <v>3315</v>
      </c>
      <c r="N39" s="3595" t="s">
        <v>3397</v>
      </c>
      <c r="O39" s="3595">
        <v>243</v>
      </c>
      <c r="P39" s="3595">
        <v>550.53</v>
      </c>
      <c r="Q39" s="3595">
        <v>4594</v>
      </c>
      <c r="R39" s="3595">
        <v>71.13</v>
      </c>
      <c r="S39" s="3595" t="s">
        <v>3396</v>
      </c>
    </row>
    <row r="40" spans="1:19">
      <c r="A40" s="3595" t="s">
        <v>3395</v>
      </c>
      <c r="B40" s="3595" t="s">
        <v>3324</v>
      </c>
      <c r="C40" s="3595" t="s">
        <v>3372</v>
      </c>
      <c r="D40" s="3595" t="s">
        <v>3394</v>
      </c>
      <c r="E40" s="3595">
        <v>24402.1</v>
      </c>
      <c r="F40" s="3595">
        <v>48804.2</v>
      </c>
      <c r="G40" s="3595" t="s">
        <v>3340</v>
      </c>
      <c r="H40" s="3595" t="s">
        <v>3320</v>
      </c>
      <c r="I40" s="3595" t="s">
        <v>3319</v>
      </c>
      <c r="J40" s="3595" t="s">
        <v>3379</v>
      </c>
      <c r="K40" s="3595" t="s">
        <v>3317</v>
      </c>
      <c r="L40" s="3595" t="s">
        <v>3384</v>
      </c>
      <c r="M40" s="3595" t="s">
        <v>3315</v>
      </c>
      <c r="N40" s="3595" t="s">
        <v>3314</v>
      </c>
      <c r="O40" s="3595">
        <v>12812</v>
      </c>
      <c r="P40" s="3595">
        <v>350.02</v>
      </c>
      <c r="Q40" s="3595">
        <v>2625</v>
      </c>
      <c r="R40" s="3595">
        <v>0</v>
      </c>
      <c r="S40" s="3595" t="s">
        <v>3391</v>
      </c>
    </row>
    <row r="41" spans="1:19">
      <c r="A41" s="3595" t="s">
        <v>3393</v>
      </c>
      <c r="B41" s="3595" t="s">
        <v>3324</v>
      </c>
      <c r="C41" s="3595" t="s">
        <v>3372</v>
      </c>
      <c r="D41" s="3595" t="s">
        <v>3392</v>
      </c>
      <c r="E41" s="3595">
        <v>31461.3</v>
      </c>
      <c r="F41" s="3595">
        <v>62922.6</v>
      </c>
      <c r="G41" s="3595" t="s">
        <v>3340</v>
      </c>
      <c r="H41" s="3595" t="s">
        <v>3320</v>
      </c>
      <c r="I41" s="3595" t="s">
        <v>3319</v>
      </c>
      <c r="J41" s="3595" t="s">
        <v>3379</v>
      </c>
      <c r="K41" s="3595" t="s">
        <v>3317</v>
      </c>
      <c r="L41" s="3595" t="s">
        <v>3384</v>
      </c>
      <c r="M41" s="3595" t="s">
        <v>3315</v>
      </c>
      <c r="N41" s="3595" t="s">
        <v>3314</v>
      </c>
      <c r="O41" s="3595">
        <v>16518</v>
      </c>
      <c r="P41" s="3595">
        <v>350.02</v>
      </c>
      <c r="Q41" s="3595">
        <v>2625</v>
      </c>
      <c r="R41" s="3595">
        <v>0</v>
      </c>
      <c r="S41" s="3595" t="s">
        <v>3391</v>
      </c>
    </row>
    <row r="42" spans="1:19">
      <c r="A42" s="3595" t="s">
        <v>3390</v>
      </c>
      <c r="B42" s="3595" t="s">
        <v>3324</v>
      </c>
      <c r="C42" s="3595" t="s">
        <v>3342</v>
      </c>
      <c r="D42" s="3595" t="s">
        <v>3389</v>
      </c>
      <c r="E42" s="3595">
        <v>43869.2</v>
      </c>
      <c r="F42" s="3595">
        <v>87738.4</v>
      </c>
      <c r="G42" s="3595" t="s">
        <v>3340</v>
      </c>
      <c r="H42" s="3595" t="s">
        <v>3320</v>
      </c>
      <c r="I42" s="3595" t="s">
        <v>3319</v>
      </c>
      <c r="J42" s="3595" t="s">
        <v>3379</v>
      </c>
      <c r="K42" s="3595" t="s">
        <v>3317</v>
      </c>
      <c r="L42" s="3595" t="s">
        <v>3384</v>
      </c>
      <c r="M42" s="3595" t="s">
        <v>3315</v>
      </c>
      <c r="N42" s="3595" t="s">
        <v>3314</v>
      </c>
      <c r="O42" s="3595">
        <v>25006</v>
      </c>
      <c r="P42" s="3595">
        <v>380.01</v>
      </c>
      <c r="Q42" s="3595">
        <v>2850</v>
      </c>
      <c r="R42" s="3595">
        <v>0</v>
      </c>
      <c r="S42" s="3595" t="s">
        <v>3347</v>
      </c>
    </row>
    <row r="43" spans="1:19">
      <c r="A43" s="3595" t="s">
        <v>3388</v>
      </c>
      <c r="B43" s="3595" t="s">
        <v>3324</v>
      </c>
      <c r="C43" s="3595" t="s">
        <v>3342</v>
      </c>
      <c r="D43" s="3595" t="s">
        <v>3387</v>
      </c>
      <c r="E43" s="3595">
        <v>27016.2</v>
      </c>
      <c r="F43" s="3595">
        <v>54032.4</v>
      </c>
      <c r="G43" s="3595" t="s">
        <v>3340</v>
      </c>
      <c r="H43" s="3595" t="s">
        <v>3320</v>
      </c>
      <c r="I43" s="3595" t="s">
        <v>3319</v>
      </c>
      <c r="J43" s="3595" t="s">
        <v>3379</v>
      </c>
      <c r="K43" s="3595" t="s">
        <v>3317</v>
      </c>
      <c r="L43" s="3595" t="s">
        <v>3384</v>
      </c>
      <c r="M43" s="3595" t="s">
        <v>3315</v>
      </c>
      <c r="N43" s="3595" t="s">
        <v>3314</v>
      </c>
      <c r="O43" s="3595">
        <v>15400</v>
      </c>
      <c r="P43" s="3595">
        <v>380.02</v>
      </c>
      <c r="Q43" s="3595">
        <v>2850</v>
      </c>
      <c r="R43" s="3595">
        <v>0</v>
      </c>
      <c r="S43" s="3595" t="s">
        <v>3347</v>
      </c>
    </row>
    <row r="44" spans="1:19">
      <c r="A44" s="3595" t="s">
        <v>3386</v>
      </c>
      <c r="B44" s="3595" t="s">
        <v>3324</v>
      </c>
      <c r="C44" s="3595" t="s">
        <v>3342</v>
      </c>
      <c r="D44" s="3595" t="s">
        <v>3385</v>
      </c>
      <c r="E44" s="3595">
        <v>26172.6</v>
      </c>
      <c r="F44" s="3595">
        <v>52345.2</v>
      </c>
      <c r="G44" s="3595" t="s">
        <v>3340</v>
      </c>
      <c r="H44" s="3595" t="s">
        <v>3320</v>
      </c>
      <c r="I44" s="3595" t="s">
        <v>3319</v>
      </c>
      <c r="J44" s="3595" t="s">
        <v>3379</v>
      </c>
      <c r="K44" s="3595" t="s">
        <v>3317</v>
      </c>
      <c r="L44" s="3595" t="s">
        <v>3384</v>
      </c>
      <c r="M44" s="3595" t="s">
        <v>3315</v>
      </c>
      <c r="N44" s="3595" t="s">
        <v>3314</v>
      </c>
      <c r="O44" s="3595">
        <v>14919</v>
      </c>
      <c r="P44" s="3595">
        <v>380.02</v>
      </c>
      <c r="Q44" s="3595">
        <v>2850</v>
      </c>
      <c r="R44" s="3595">
        <v>0</v>
      </c>
      <c r="S44" s="3595" t="s">
        <v>3338</v>
      </c>
    </row>
    <row r="45" spans="1:19">
      <c r="A45" s="3595" t="s">
        <v>3383</v>
      </c>
      <c r="B45" s="3595" t="s">
        <v>3324</v>
      </c>
      <c r="C45" s="3595" t="s">
        <v>3372</v>
      </c>
      <c r="D45" s="3595" t="s">
        <v>3382</v>
      </c>
      <c r="E45" s="3595">
        <v>27178.400000000001</v>
      </c>
      <c r="F45" s="3595">
        <v>54356.800000000003</v>
      </c>
      <c r="G45" s="3595" t="s">
        <v>3340</v>
      </c>
      <c r="H45" s="3595" t="s">
        <v>3320</v>
      </c>
      <c r="I45" s="3595" t="s">
        <v>3319</v>
      </c>
      <c r="J45" s="3595" t="s">
        <v>3379</v>
      </c>
      <c r="K45" s="3595" t="s">
        <v>3317</v>
      </c>
      <c r="L45" s="3595" t="s">
        <v>3370</v>
      </c>
      <c r="M45" s="3595" t="s">
        <v>3315</v>
      </c>
      <c r="N45" s="3595" t="s">
        <v>3314</v>
      </c>
      <c r="O45" s="3595">
        <v>14881</v>
      </c>
      <c r="P45" s="3595">
        <v>365.02</v>
      </c>
      <c r="Q45" s="3595">
        <v>2738</v>
      </c>
      <c r="R45" s="3595">
        <v>0</v>
      </c>
      <c r="S45" s="3595" t="s">
        <v>3347</v>
      </c>
    </row>
    <row r="46" spans="1:19">
      <c r="A46" s="3595" t="s">
        <v>3381</v>
      </c>
      <c r="B46" s="3595" t="s">
        <v>3324</v>
      </c>
      <c r="C46" s="3595" t="s">
        <v>3372</v>
      </c>
      <c r="D46" s="3595" t="s">
        <v>3380</v>
      </c>
      <c r="E46" s="3595">
        <v>30955.1</v>
      </c>
      <c r="F46" s="3595">
        <v>61910.2</v>
      </c>
      <c r="G46" s="3595" t="s">
        <v>3340</v>
      </c>
      <c r="H46" s="3595" t="s">
        <v>3320</v>
      </c>
      <c r="I46" s="3595" t="s">
        <v>3319</v>
      </c>
      <c r="J46" s="3595" t="s">
        <v>3379</v>
      </c>
      <c r="K46" s="3595" t="s">
        <v>3317</v>
      </c>
      <c r="L46" s="3595" t="s">
        <v>3370</v>
      </c>
      <c r="M46" s="3595" t="s">
        <v>3315</v>
      </c>
      <c r="N46" s="3595" t="s">
        <v>3314</v>
      </c>
      <c r="O46" s="3595">
        <v>16948</v>
      </c>
      <c r="P46" s="3595">
        <v>365</v>
      </c>
      <c r="Q46" s="3595">
        <v>2738</v>
      </c>
      <c r="R46" s="3595">
        <v>0</v>
      </c>
      <c r="S46" s="3595" t="s">
        <v>3347</v>
      </c>
    </row>
    <row r="47" spans="1:19">
      <c r="A47" s="3595" t="s">
        <v>3378</v>
      </c>
      <c r="B47" s="3595" t="s">
        <v>3324</v>
      </c>
      <c r="C47" s="3595" t="s">
        <v>3377</v>
      </c>
      <c r="D47" s="3595" t="s">
        <v>3376</v>
      </c>
      <c r="E47" s="3595">
        <v>13045.1</v>
      </c>
      <c r="F47" s="3595">
        <v>19567.650000000001</v>
      </c>
      <c r="G47" s="3595" t="s">
        <v>3340</v>
      </c>
      <c r="H47" s="3595" t="s">
        <v>3320</v>
      </c>
      <c r="I47" s="3595" t="s">
        <v>3319</v>
      </c>
      <c r="J47" s="3595" t="s">
        <v>3334</v>
      </c>
      <c r="K47" s="3595" t="s">
        <v>3317</v>
      </c>
      <c r="L47" s="3595" t="s">
        <v>3375</v>
      </c>
      <c r="M47" s="3595" t="s">
        <v>3315</v>
      </c>
      <c r="N47" s="3595" t="s">
        <v>3314</v>
      </c>
      <c r="O47" s="3595">
        <v>1227</v>
      </c>
      <c r="P47" s="3595">
        <v>62.71</v>
      </c>
      <c r="Q47" s="3595">
        <v>627</v>
      </c>
      <c r="R47" s="3595">
        <v>13.93</v>
      </c>
      <c r="S47" s="3595" t="s">
        <v>3374</v>
      </c>
    </row>
    <row r="48" spans="1:19">
      <c r="A48" s="3595" t="s">
        <v>3373</v>
      </c>
      <c r="B48" s="3595" t="s">
        <v>3324</v>
      </c>
      <c r="C48" s="3595" t="s">
        <v>3372</v>
      </c>
      <c r="D48" s="3595" t="s">
        <v>3371</v>
      </c>
      <c r="E48" s="3595">
        <v>12094</v>
      </c>
      <c r="F48" s="3595">
        <v>21769.200000000001</v>
      </c>
      <c r="G48" s="3595" t="s">
        <v>3340</v>
      </c>
      <c r="H48" s="3595" t="s">
        <v>3320</v>
      </c>
      <c r="I48" s="3595" t="s">
        <v>3319</v>
      </c>
      <c r="J48" s="3595" t="s">
        <v>3349</v>
      </c>
      <c r="K48" s="3595" t="s">
        <v>3317</v>
      </c>
      <c r="L48" s="3595" t="s">
        <v>3370</v>
      </c>
      <c r="M48" s="3595" t="s">
        <v>3315</v>
      </c>
      <c r="N48" s="3595" t="s">
        <v>3314</v>
      </c>
      <c r="O48" s="3595">
        <v>6622</v>
      </c>
      <c r="P48" s="3595">
        <v>365.03</v>
      </c>
      <c r="Q48" s="3595">
        <v>3042</v>
      </c>
      <c r="R48" s="3595">
        <v>0</v>
      </c>
      <c r="S48" s="3595" t="s">
        <v>3347</v>
      </c>
    </row>
    <row r="49" spans="1:19">
      <c r="A49" s="3595" t="s">
        <v>3369</v>
      </c>
      <c r="B49" s="3595" t="s">
        <v>3324</v>
      </c>
      <c r="C49" s="3595" t="s">
        <v>3336</v>
      </c>
      <c r="D49" s="3595" t="s">
        <v>3368</v>
      </c>
      <c r="E49" s="3595">
        <v>34696.449999999997</v>
      </c>
      <c r="F49" s="3595">
        <v>62453.61</v>
      </c>
      <c r="G49" s="3595" t="s">
        <v>3340</v>
      </c>
      <c r="H49" s="3595" t="s">
        <v>3320</v>
      </c>
      <c r="I49" s="3595" t="s">
        <v>3319</v>
      </c>
      <c r="J49" s="3595" t="s">
        <v>3349</v>
      </c>
      <c r="K49" s="3595" t="s">
        <v>3317</v>
      </c>
      <c r="L49" s="3595" t="s">
        <v>3348</v>
      </c>
      <c r="M49" s="3595" t="s">
        <v>3315</v>
      </c>
      <c r="N49" s="3595" t="s">
        <v>3314</v>
      </c>
      <c r="O49" s="3595">
        <v>18216</v>
      </c>
      <c r="P49" s="3595">
        <v>350.01</v>
      </c>
      <c r="Q49" s="3595">
        <v>2917</v>
      </c>
      <c r="R49" s="3595">
        <v>0</v>
      </c>
      <c r="S49" s="3595" t="s">
        <v>3367</v>
      </c>
    </row>
    <row r="50" spans="1:19">
      <c r="A50" s="3595" t="s">
        <v>3366</v>
      </c>
      <c r="B50" s="3595" t="s">
        <v>3324</v>
      </c>
      <c r="C50" s="3595" t="s">
        <v>3342</v>
      </c>
      <c r="D50" s="3595" t="s">
        <v>3365</v>
      </c>
      <c r="E50" s="3595">
        <v>16376.1</v>
      </c>
      <c r="F50" s="3595">
        <v>27839.37</v>
      </c>
      <c r="G50" s="3595" t="s">
        <v>3340</v>
      </c>
      <c r="H50" s="3595" t="s">
        <v>3320</v>
      </c>
      <c r="I50" s="3595" t="s">
        <v>3319</v>
      </c>
      <c r="J50" s="3595" t="s">
        <v>3364</v>
      </c>
      <c r="K50" s="3595" t="s">
        <v>3317</v>
      </c>
      <c r="L50" s="3595" t="s">
        <v>3358</v>
      </c>
      <c r="M50" s="3595" t="s">
        <v>3315</v>
      </c>
      <c r="N50" s="3595" t="s">
        <v>3314</v>
      </c>
      <c r="O50" s="3595">
        <v>8598</v>
      </c>
      <c r="P50" s="3595">
        <v>350.02</v>
      </c>
      <c r="Q50" s="3595">
        <v>3088</v>
      </c>
      <c r="R50" s="3595">
        <v>0</v>
      </c>
      <c r="S50" s="3595" t="s">
        <v>3361</v>
      </c>
    </row>
    <row r="51" spans="1:19">
      <c r="A51" s="3595" t="s">
        <v>3363</v>
      </c>
      <c r="B51" s="3595" t="s">
        <v>3324</v>
      </c>
      <c r="C51" s="3595" t="s">
        <v>3342</v>
      </c>
      <c r="D51" s="3595" t="s">
        <v>3362</v>
      </c>
      <c r="E51" s="3595">
        <v>22910.9</v>
      </c>
      <c r="F51" s="3595">
        <v>34366.35</v>
      </c>
      <c r="G51" s="3595" t="s">
        <v>3340</v>
      </c>
      <c r="H51" s="3595" t="s">
        <v>3320</v>
      </c>
      <c r="I51" s="3595" t="s">
        <v>3319</v>
      </c>
      <c r="J51" s="3595" t="s">
        <v>3334</v>
      </c>
      <c r="K51" s="3595" t="s">
        <v>3317</v>
      </c>
      <c r="L51" s="3595" t="s">
        <v>3358</v>
      </c>
      <c r="M51" s="3595" t="s">
        <v>3315</v>
      </c>
      <c r="N51" s="3595" t="s">
        <v>3314</v>
      </c>
      <c r="O51" s="3595">
        <v>12029</v>
      </c>
      <c r="P51" s="3595">
        <v>350.02</v>
      </c>
      <c r="Q51" s="3595">
        <v>3500</v>
      </c>
      <c r="R51" s="3595">
        <v>0</v>
      </c>
      <c r="S51" s="3595" t="s">
        <v>3361</v>
      </c>
    </row>
    <row r="52" spans="1:19">
      <c r="A52" s="3402" t="s">
        <v>3360</v>
      </c>
      <c r="B52" s="3402" t="s">
        <v>3324</v>
      </c>
      <c r="C52" s="3402" t="s">
        <v>3342</v>
      </c>
      <c r="D52" s="3402" t="s">
        <v>3359</v>
      </c>
      <c r="E52" s="3402">
        <v>23277</v>
      </c>
      <c r="F52" s="3402">
        <v>34915.5</v>
      </c>
      <c r="G52" s="3402" t="s">
        <v>3340</v>
      </c>
      <c r="H52" s="3402" t="s">
        <v>3320</v>
      </c>
      <c r="I52" s="3402" t="s">
        <v>3319</v>
      </c>
      <c r="J52" s="3402" t="s">
        <v>3334</v>
      </c>
      <c r="K52" s="3402" t="s">
        <v>3317</v>
      </c>
      <c r="L52" s="3402" t="s">
        <v>3358</v>
      </c>
      <c r="M52" s="3402" t="s">
        <v>3315</v>
      </c>
      <c r="N52" s="3402" t="s">
        <v>3314</v>
      </c>
      <c r="O52" s="3402">
        <v>12221</v>
      </c>
      <c r="P52" s="3402">
        <v>350.02</v>
      </c>
      <c r="Q52" s="3402">
        <v>3500</v>
      </c>
      <c r="R52" s="3402">
        <v>0</v>
      </c>
      <c r="S52" s="3402" t="s">
        <v>3357</v>
      </c>
    </row>
    <row r="53" spans="1:19">
      <c r="A53" s="3402" t="s">
        <v>3356</v>
      </c>
      <c r="B53" s="3402" t="s">
        <v>3324</v>
      </c>
      <c r="C53" s="3402" t="s">
        <v>3336</v>
      </c>
      <c r="D53" s="3402" t="s">
        <v>3355</v>
      </c>
      <c r="E53" s="3402">
        <v>34021.72</v>
      </c>
      <c r="F53" s="3402">
        <v>61239.1</v>
      </c>
      <c r="G53" s="3402" t="s">
        <v>3340</v>
      </c>
      <c r="H53" s="3402" t="s">
        <v>3320</v>
      </c>
      <c r="I53" s="3402" t="s">
        <v>3319</v>
      </c>
      <c r="J53" s="3402" t="s">
        <v>3349</v>
      </c>
      <c r="K53" s="3402" t="s">
        <v>3317</v>
      </c>
      <c r="L53" s="3402" t="s">
        <v>3348</v>
      </c>
      <c r="M53" s="3402" t="s">
        <v>3315</v>
      </c>
      <c r="N53" s="3402" t="s">
        <v>3314</v>
      </c>
      <c r="O53" s="3402">
        <v>17862</v>
      </c>
      <c r="P53" s="3402">
        <v>350.01</v>
      </c>
      <c r="Q53" s="3402">
        <v>2917</v>
      </c>
      <c r="R53" s="3402">
        <v>0</v>
      </c>
      <c r="S53" s="3402" t="s">
        <v>3347</v>
      </c>
    </row>
    <row r="54" spans="1:19">
      <c r="A54" s="3402" t="s">
        <v>3354</v>
      </c>
      <c r="B54" s="3402" t="s">
        <v>3324</v>
      </c>
      <c r="C54" s="3402" t="s">
        <v>3336</v>
      </c>
      <c r="D54" s="3402" t="s">
        <v>3353</v>
      </c>
      <c r="E54" s="3402">
        <v>47482.68</v>
      </c>
      <c r="F54" s="3402">
        <v>85468.82</v>
      </c>
      <c r="G54" s="3402" t="s">
        <v>3340</v>
      </c>
      <c r="H54" s="3402" t="s">
        <v>3320</v>
      </c>
      <c r="I54" s="3402" t="s">
        <v>3319</v>
      </c>
      <c r="J54" s="3402" t="s">
        <v>3349</v>
      </c>
      <c r="K54" s="3402" t="s">
        <v>3317</v>
      </c>
      <c r="L54" s="3402" t="s">
        <v>3348</v>
      </c>
      <c r="M54" s="3402" t="s">
        <v>3315</v>
      </c>
      <c r="N54" s="3402" t="s">
        <v>3314</v>
      </c>
      <c r="O54" s="3402">
        <v>24929</v>
      </c>
      <c r="P54" s="3402">
        <v>350.01</v>
      </c>
      <c r="Q54" s="3402">
        <v>2917</v>
      </c>
      <c r="R54" s="3402">
        <v>0</v>
      </c>
      <c r="S54" s="3402" t="s">
        <v>3352</v>
      </c>
    </row>
    <row r="55" spans="1:19">
      <c r="A55" s="3402" t="s">
        <v>3351</v>
      </c>
      <c r="B55" s="3402" t="s">
        <v>3324</v>
      </c>
      <c r="C55" s="3402" t="s">
        <v>3336</v>
      </c>
      <c r="D55" s="3402" t="s">
        <v>3350</v>
      </c>
      <c r="E55" s="3402">
        <v>21711.68</v>
      </c>
      <c r="F55" s="3402">
        <v>39081.019999999997</v>
      </c>
      <c r="G55" s="3402" t="s">
        <v>3321</v>
      </c>
      <c r="H55" s="3402" t="s">
        <v>3320</v>
      </c>
      <c r="I55" s="3402" t="s">
        <v>3319</v>
      </c>
      <c r="J55" s="3402" t="s">
        <v>3349</v>
      </c>
      <c r="K55" s="3402" t="s">
        <v>3317</v>
      </c>
      <c r="L55" s="3402" t="s">
        <v>3348</v>
      </c>
      <c r="M55" s="3402" t="s">
        <v>3315</v>
      </c>
      <c r="N55" s="3402" t="s">
        <v>3314</v>
      </c>
      <c r="O55" s="3402">
        <v>11399</v>
      </c>
      <c r="P55" s="3402">
        <v>350.01</v>
      </c>
      <c r="Q55" s="3402">
        <v>2917</v>
      </c>
      <c r="R55" s="3402">
        <v>0</v>
      </c>
      <c r="S55" s="3402" t="s">
        <v>3347</v>
      </c>
    </row>
    <row r="56" spans="1:19">
      <c r="A56" s="3402" t="s">
        <v>3346</v>
      </c>
      <c r="B56" s="3402" t="s">
        <v>3324</v>
      </c>
      <c r="C56" s="3402" t="s">
        <v>3342</v>
      </c>
      <c r="D56" s="3402" t="s">
        <v>3345</v>
      </c>
      <c r="E56" s="3402">
        <v>16334.4</v>
      </c>
      <c r="F56" s="3402">
        <v>21234.720000000001</v>
      </c>
      <c r="G56" s="3402" t="s">
        <v>3340</v>
      </c>
      <c r="H56" s="3402" t="s">
        <v>3320</v>
      </c>
      <c r="I56" s="3402" t="s">
        <v>3319</v>
      </c>
      <c r="J56" s="3402" t="s">
        <v>3344</v>
      </c>
      <c r="K56" s="3402" t="s">
        <v>3317</v>
      </c>
      <c r="L56" s="3402" t="s">
        <v>3339</v>
      </c>
      <c r="M56" s="3402" t="s">
        <v>3315</v>
      </c>
      <c r="N56" s="3402" t="s">
        <v>3314</v>
      </c>
      <c r="O56" s="3402">
        <v>7351</v>
      </c>
      <c r="P56" s="3402">
        <v>300.02</v>
      </c>
      <c r="Q56" s="3402">
        <v>3462</v>
      </c>
      <c r="R56" s="3402">
        <v>0</v>
      </c>
      <c r="S56" s="3402" t="s">
        <v>3338</v>
      </c>
    </row>
    <row r="57" spans="1:19">
      <c r="A57" s="3402" t="s">
        <v>3343</v>
      </c>
      <c r="B57" s="3402" t="s">
        <v>3324</v>
      </c>
      <c r="C57" s="3402" t="s">
        <v>3342</v>
      </c>
      <c r="D57" s="3402" t="s">
        <v>3341</v>
      </c>
      <c r="E57" s="3402">
        <v>32575.7</v>
      </c>
      <c r="F57" s="3402">
        <v>48863.55</v>
      </c>
      <c r="G57" s="3402" t="s">
        <v>3340</v>
      </c>
      <c r="H57" s="3402" t="s">
        <v>3320</v>
      </c>
      <c r="I57" s="3402" t="s">
        <v>3319</v>
      </c>
      <c r="J57" s="3402" t="s">
        <v>3334</v>
      </c>
      <c r="K57" s="3402" t="s">
        <v>3317</v>
      </c>
      <c r="L57" s="3402" t="s">
        <v>3339</v>
      </c>
      <c r="M57" s="3402" t="s">
        <v>3315</v>
      </c>
      <c r="N57" s="3402" t="s">
        <v>3314</v>
      </c>
      <c r="O57" s="3402">
        <v>14660</v>
      </c>
      <c r="P57" s="3402">
        <v>300.02</v>
      </c>
      <c r="Q57" s="3402">
        <v>3000</v>
      </c>
      <c r="R57" s="3402">
        <v>0</v>
      </c>
      <c r="S57" s="3402" t="s">
        <v>3338</v>
      </c>
    </row>
    <row r="58" spans="1:19">
      <c r="A58" s="3402" t="s">
        <v>3337</v>
      </c>
      <c r="B58" s="3402" t="s">
        <v>3324</v>
      </c>
      <c r="C58" s="3402" t="s">
        <v>3336</v>
      </c>
      <c r="D58" s="3402" t="s">
        <v>3335</v>
      </c>
      <c r="E58" s="3402">
        <v>38584.5</v>
      </c>
      <c r="F58" s="3402">
        <v>57876.75</v>
      </c>
      <c r="G58" s="3402" t="s">
        <v>3321</v>
      </c>
      <c r="H58" s="3402" t="s">
        <v>3320</v>
      </c>
      <c r="I58" s="3402" t="s">
        <v>3319</v>
      </c>
      <c r="J58" s="3402" t="s">
        <v>3334</v>
      </c>
      <c r="K58" s="3402" t="s">
        <v>3317</v>
      </c>
      <c r="L58" s="3402" t="s">
        <v>3333</v>
      </c>
      <c r="M58" s="3402" t="s">
        <v>3315</v>
      </c>
      <c r="N58" s="3402" t="s">
        <v>3314</v>
      </c>
      <c r="O58" s="3402">
        <v>17364</v>
      </c>
      <c r="P58" s="3402">
        <v>300.02</v>
      </c>
      <c r="Q58" s="3402">
        <v>3000</v>
      </c>
      <c r="R58" s="3402">
        <v>0</v>
      </c>
      <c r="S58" s="3402" t="s">
        <v>3332</v>
      </c>
    </row>
    <row r="59" spans="1:19">
      <c r="A59" s="3402" t="s">
        <v>3331</v>
      </c>
      <c r="B59" s="3402" t="s">
        <v>3324</v>
      </c>
      <c r="C59" s="3402" t="s">
        <v>3323</v>
      </c>
      <c r="D59" s="3402" t="s">
        <v>3330</v>
      </c>
      <c r="E59" s="3402">
        <v>35519.199999999997</v>
      </c>
      <c r="F59" s="3402">
        <v>56830.720000000001</v>
      </c>
      <c r="G59" s="3402" t="s">
        <v>3321</v>
      </c>
      <c r="H59" s="3402" t="s">
        <v>3320</v>
      </c>
      <c r="I59" s="3402" t="s">
        <v>3319</v>
      </c>
      <c r="J59" s="3402" t="s">
        <v>3329</v>
      </c>
      <c r="K59" s="3402" t="s">
        <v>3317</v>
      </c>
      <c r="L59" s="3402" t="s">
        <v>3316</v>
      </c>
      <c r="M59" s="3402" t="s">
        <v>3315</v>
      </c>
      <c r="N59" s="3402" t="s">
        <v>3314</v>
      </c>
      <c r="O59" s="3402">
        <v>1673</v>
      </c>
      <c r="P59" s="3402">
        <v>31.4</v>
      </c>
      <c r="Q59" s="3402">
        <v>294</v>
      </c>
      <c r="R59" s="3402">
        <v>0</v>
      </c>
      <c r="S59" s="3402" t="s">
        <v>3313</v>
      </c>
    </row>
    <row r="60" spans="1:19">
      <c r="A60" s="3402" t="s">
        <v>3328</v>
      </c>
      <c r="B60" s="3402" t="s">
        <v>3324</v>
      </c>
      <c r="C60" s="3402" t="s">
        <v>3323</v>
      </c>
      <c r="D60" s="3402" t="s">
        <v>3327</v>
      </c>
      <c r="E60" s="3402">
        <v>55132</v>
      </c>
      <c r="F60" s="3402">
        <v>82698</v>
      </c>
      <c r="G60" s="3402" t="s">
        <v>3321</v>
      </c>
      <c r="H60" s="3402" t="s">
        <v>3320</v>
      </c>
      <c r="I60" s="3402" t="s">
        <v>3319</v>
      </c>
      <c r="J60" s="3402" t="s">
        <v>3326</v>
      </c>
      <c r="K60" s="3402" t="s">
        <v>3317</v>
      </c>
      <c r="L60" s="3402" t="s">
        <v>3316</v>
      </c>
      <c r="M60" s="3402" t="s">
        <v>3315</v>
      </c>
      <c r="N60" s="3402" t="s">
        <v>3314</v>
      </c>
      <c r="O60" s="3402">
        <v>2459</v>
      </c>
      <c r="P60" s="3402">
        <v>29.73</v>
      </c>
      <c r="Q60" s="3402">
        <v>297</v>
      </c>
      <c r="R60" s="3402">
        <v>0</v>
      </c>
      <c r="S60" s="3402" t="s">
        <v>3313</v>
      </c>
    </row>
    <row r="61" spans="1:19">
      <c r="A61" s="3402" t="s">
        <v>3325</v>
      </c>
      <c r="B61" s="3402" t="s">
        <v>3324</v>
      </c>
      <c r="C61" s="3402" t="s">
        <v>3323</v>
      </c>
      <c r="D61" s="3402" t="s">
        <v>3322</v>
      </c>
      <c r="E61" s="3402">
        <v>69953.7</v>
      </c>
      <c r="F61" s="3402">
        <v>83944.44</v>
      </c>
      <c r="G61" s="3402" t="s">
        <v>3321</v>
      </c>
      <c r="H61" s="3402" t="s">
        <v>3320</v>
      </c>
      <c r="I61" s="3402" t="s">
        <v>3319</v>
      </c>
      <c r="J61" s="3402" t="s">
        <v>3318</v>
      </c>
      <c r="K61" s="3402" t="s">
        <v>3317</v>
      </c>
      <c r="L61" s="3402" t="s">
        <v>3316</v>
      </c>
      <c r="M61" s="3402" t="s">
        <v>3315</v>
      </c>
      <c r="N61" s="3402" t="s">
        <v>3314</v>
      </c>
      <c r="O61" s="3402">
        <v>2988</v>
      </c>
      <c r="P61" s="3402">
        <v>28.48</v>
      </c>
      <c r="Q61" s="3402">
        <v>356</v>
      </c>
      <c r="R61" s="3402">
        <v>0</v>
      </c>
      <c r="S61" s="3402" t="s">
        <v>3313</v>
      </c>
    </row>
  </sheetData>
  <mergeCells count="969">
    <mergeCell ref="J1"/>
    <mergeCell ref="K1"/>
    <mergeCell ref="L1"/>
    <mergeCell ref="J2"/>
    <mergeCell ref="K2"/>
    <mergeCell ref="L2"/>
    <mergeCell ref="A2"/>
    <mergeCell ref="B2"/>
    <mergeCell ref="C2"/>
    <mergeCell ref="D2"/>
    <mergeCell ref="E2"/>
    <mergeCell ref="F2"/>
    <mergeCell ref="A1"/>
    <mergeCell ref="B1"/>
    <mergeCell ref="C1"/>
    <mergeCell ref="D1"/>
    <mergeCell ref="E1"/>
    <mergeCell ref="F1"/>
    <mergeCell ref="G2"/>
    <mergeCell ref="H2"/>
    <mergeCell ref="I2"/>
    <mergeCell ref="G1"/>
    <mergeCell ref="H1"/>
    <mergeCell ref="I1"/>
    <mergeCell ref="P4"/>
    <mergeCell ref="Q4"/>
    <mergeCell ref="M3"/>
    <mergeCell ref="N3"/>
    <mergeCell ref="S3"/>
    <mergeCell ref="O1"/>
    <mergeCell ref="P1"/>
    <mergeCell ref="Q1"/>
    <mergeCell ref="R1"/>
    <mergeCell ref="M2"/>
    <mergeCell ref="N2"/>
    <mergeCell ref="S2"/>
    <mergeCell ref="O2"/>
    <mergeCell ref="P2"/>
    <mergeCell ref="Q2"/>
    <mergeCell ref="R2"/>
    <mergeCell ref="M1"/>
    <mergeCell ref="N1"/>
    <mergeCell ref="S1"/>
    <mergeCell ref="P3"/>
    <mergeCell ref="Q3"/>
    <mergeCell ref="R3"/>
    <mergeCell ref="S4"/>
    <mergeCell ref="R4"/>
    <mergeCell ref="J3"/>
    <mergeCell ref="K3"/>
    <mergeCell ref="L3"/>
    <mergeCell ref="O4"/>
    <mergeCell ref="O3"/>
    <mergeCell ref="M4"/>
    <mergeCell ref="N4"/>
    <mergeCell ref="J4"/>
    <mergeCell ref="K4"/>
    <mergeCell ref="L4"/>
    <mergeCell ref="A3"/>
    <mergeCell ref="B3"/>
    <mergeCell ref="C3"/>
    <mergeCell ref="D3"/>
    <mergeCell ref="E3"/>
    <mergeCell ref="F3"/>
    <mergeCell ref="G4"/>
    <mergeCell ref="H4"/>
    <mergeCell ref="I4"/>
    <mergeCell ref="A4"/>
    <mergeCell ref="B4"/>
    <mergeCell ref="C4"/>
    <mergeCell ref="D4"/>
    <mergeCell ref="E4"/>
    <mergeCell ref="F4"/>
    <mergeCell ref="G3"/>
    <mergeCell ref="H3"/>
    <mergeCell ref="I3"/>
    <mergeCell ref="A6"/>
    <mergeCell ref="B6"/>
    <mergeCell ref="C6"/>
    <mergeCell ref="D6"/>
    <mergeCell ref="E6"/>
    <mergeCell ref="F6"/>
    <mergeCell ref="A5"/>
    <mergeCell ref="B5"/>
    <mergeCell ref="C5"/>
    <mergeCell ref="D5"/>
    <mergeCell ref="E5"/>
    <mergeCell ref="F5"/>
    <mergeCell ref="G6"/>
    <mergeCell ref="H6"/>
    <mergeCell ref="I6"/>
    <mergeCell ref="G5"/>
    <mergeCell ref="H5"/>
    <mergeCell ref="I5"/>
    <mergeCell ref="P8"/>
    <mergeCell ref="Q8"/>
    <mergeCell ref="M7"/>
    <mergeCell ref="N7"/>
    <mergeCell ref="J5"/>
    <mergeCell ref="K5"/>
    <mergeCell ref="L5"/>
    <mergeCell ref="O6"/>
    <mergeCell ref="P6"/>
    <mergeCell ref="Q6"/>
    <mergeCell ref="M5"/>
    <mergeCell ref="N5"/>
    <mergeCell ref="J6"/>
    <mergeCell ref="K6"/>
    <mergeCell ref="L6"/>
    <mergeCell ref="K7"/>
    <mergeCell ref="L7"/>
    <mergeCell ref="O8"/>
    <mergeCell ref="O7"/>
    <mergeCell ref="M8"/>
    <mergeCell ref="N8"/>
    <mergeCell ref="S7"/>
    <mergeCell ref="O5"/>
    <mergeCell ref="P5"/>
    <mergeCell ref="Q5"/>
    <mergeCell ref="R5"/>
    <mergeCell ref="M6"/>
    <mergeCell ref="N6"/>
    <mergeCell ref="S6"/>
    <mergeCell ref="R6"/>
    <mergeCell ref="P7"/>
    <mergeCell ref="Q7"/>
    <mergeCell ref="R7"/>
    <mergeCell ref="S5"/>
    <mergeCell ref="S8"/>
    <mergeCell ref="R8"/>
    <mergeCell ref="K8"/>
    <mergeCell ref="L8"/>
    <mergeCell ref="A8"/>
    <mergeCell ref="B8"/>
    <mergeCell ref="C8"/>
    <mergeCell ref="D8"/>
    <mergeCell ref="E8"/>
    <mergeCell ref="F8"/>
    <mergeCell ref="A7"/>
    <mergeCell ref="B7"/>
    <mergeCell ref="C7"/>
    <mergeCell ref="D7"/>
    <mergeCell ref="E7"/>
    <mergeCell ref="F7"/>
    <mergeCell ref="G8"/>
    <mergeCell ref="H8"/>
    <mergeCell ref="I8"/>
    <mergeCell ref="G7"/>
    <mergeCell ref="H7"/>
    <mergeCell ref="I7"/>
    <mergeCell ref="J7"/>
    <mergeCell ref="A10"/>
    <mergeCell ref="B10"/>
    <mergeCell ref="C10"/>
    <mergeCell ref="D10"/>
    <mergeCell ref="E10"/>
    <mergeCell ref="F10"/>
    <mergeCell ref="A9"/>
    <mergeCell ref="B9"/>
    <mergeCell ref="C9"/>
    <mergeCell ref="D9"/>
    <mergeCell ref="E9"/>
    <mergeCell ref="F9"/>
    <mergeCell ref="G10"/>
    <mergeCell ref="H10"/>
    <mergeCell ref="I10"/>
    <mergeCell ref="G9"/>
    <mergeCell ref="H9"/>
    <mergeCell ref="I9"/>
    <mergeCell ref="J8"/>
    <mergeCell ref="P12"/>
    <mergeCell ref="Q12"/>
    <mergeCell ref="M11"/>
    <mergeCell ref="N11"/>
    <mergeCell ref="J9"/>
    <mergeCell ref="K9"/>
    <mergeCell ref="L9"/>
    <mergeCell ref="O10"/>
    <mergeCell ref="P10"/>
    <mergeCell ref="Q10"/>
    <mergeCell ref="M9"/>
    <mergeCell ref="N9"/>
    <mergeCell ref="J10"/>
    <mergeCell ref="K10"/>
    <mergeCell ref="L10"/>
    <mergeCell ref="K11"/>
    <mergeCell ref="L11"/>
    <mergeCell ref="O12"/>
    <mergeCell ref="O11"/>
    <mergeCell ref="M12"/>
    <mergeCell ref="N12"/>
    <mergeCell ref="S11"/>
    <mergeCell ref="O9"/>
    <mergeCell ref="P9"/>
    <mergeCell ref="Q9"/>
    <mergeCell ref="R9"/>
    <mergeCell ref="M10"/>
    <mergeCell ref="N10"/>
    <mergeCell ref="S10"/>
    <mergeCell ref="R10"/>
    <mergeCell ref="P11"/>
    <mergeCell ref="Q11"/>
    <mergeCell ref="R11"/>
    <mergeCell ref="S9"/>
    <mergeCell ref="S12"/>
    <mergeCell ref="R12"/>
    <mergeCell ref="A11"/>
    <mergeCell ref="B11"/>
    <mergeCell ref="C11"/>
    <mergeCell ref="D11"/>
    <mergeCell ref="E11"/>
    <mergeCell ref="F11"/>
    <mergeCell ref="G12"/>
    <mergeCell ref="H12"/>
    <mergeCell ref="I12"/>
    <mergeCell ref="G11"/>
    <mergeCell ref="H11"/>
    <mergeCell ref="I11"/>
    <mergeCell ref="I13"/>
    <mergeCell ref="J12"/>
    <mergeCell ref="K12"/>
    <mergeCell ref="L12"/>
    <mergeCell ref="A12"/>
    <mergeCell ref="B12"/>
    <mergeCell ref="C12"/>
    <mergeCell ref="D12"/>
    <mergeCell ref="E12"/>
    <mergeCell ref="F12"/>
    <mergeCell ref="J13"/>
    <mergeCell ref="K13"/>
    <mergeCell ref="L13"/>
    <mergeCell ref="L15"/>
    <mergeCell ref="O16"/>
    <mergeCell ref="O15"/>
    <mergeCell ref="M16"/>
    <mergeCell ref="N16"/>
    <mergeCell ref="J15"/>
    <mergeCell ref="J11"/>
    <mergeCell ref="A14"/>
    <mergeCell ref="B14"/>
    <mergeCell ref="C14"/>
    <mergeCell ref="D14"/>
    <mergeCell ref="E14"/>
    <mergeCell ref="F14"/>
    <mergeCell ref="A13"/>
    <mergeCell ref="B13"/>
    <mergeCell ref="C13"/>
    <mergeCell ref="D13"/>
    <mergeCell ref="E13"/>
    <mergeCell ref="F13"/>
    <mergeCell ref="G14"/>
    <mergeCell ref="H14"/>
    <mergeCell ref="I14"/>
    <mergeCell ref="G13"/>
    <mergeCell ref="H13"/>
    <mergeCell ref="O14"/>
    <mergeCell ref="P14"/>
    <mergeCell ref="Q14"/>
    <mergeCell ref="M13"/>
    <mergeCell ref="N13"/>
    <mergeCell ref="J14"/>
    <mergeCell ref="K14"/>
    <mergeCell ref="L14"/>
    <mergeCell ref="S15"/>
    <mergeCell ref="O13"/>
    <mergeCell ref="P13"/>
    <mergeCell ref="Q13"/>
    <mergeCell ref="R13"/>
    <mergeCell ref="M14"/>
    <mergeCell ref="N14"/>
    <mergeCell ref="S14"/>
    <mergeCell ref="R14"/>
    <mergeCell ref="P15"/>
    <mergeCell ref="Q15"/>
    <mergeCell ref="R15"/>
    <mergeCell ref="S13"/>
    <mergeCell ref="M15"/>
    <mergeCell ref="N15"/>
    <mergeCell ref="K15"/>
    <mergeCell ref="S16"/>
    <mergeCell ref="R16"/>
    <mergeCell ref="K16"/>
    <mergeCell ref="L16"/>
    <mergeCell ref="A16"/>
    <mergeCell ref="B16"/>
    <mergeCell ref="C16"/>
    <mergeCell ref="D16"/>
    <mergeCell ref="E16"/>
    <mergeCell ref="F16"/>
    <mergeCell ref="P16"/>
    <mergeCell ref="Q16"/>
    <mergeCell ref="A15"/>
    <mergeCell ref="B15"/>
    <mergeCell ref="C15"/>
    <mergeCell ref="D15"/>
    <mergeCell ref="E15"/>
    <mergeCell ref="F15"/>
    <mergeCell ref="G16"/>
    <mergeCell ref="H16"/>
    <mergeCell ref="I16"/>
    <mergeCell ref="G15"/>
    <mergeCell ref="H15"/>
    <mergeCell ref="I15"/>
    <mergeCell ref="A18"/>
    <mergeCell ref="B18"/>
    <mergeCell ref="C18"/>
    <mergeCell ref="D18"/>
    <mergeCell ref="E18"/>
    <mergeCell ref="F18"/>
    <mergeCell ref="A17"/>
    <mergeCell ref="B17"/>
    <mergeCell ref="C17"/>
    <mergeCell ref="D17"/>
    <mergeCell ref="E17"/>
    <mergeCell ref="F17"/>
    <mergeCell ref="G18"/>
    <mergeCell ref="H18"/>
    <mergeCell ref="I18"/>
    <mergeCell ref="G17"/>
    <mergeCell ref="H17"/>
    <mergeCell ref="I17"/>
    <mergeCell ref="J16"/>
    <mergeCell ref="P20"/>
    <mergeCell ref="Q20"/>
    <mergeCell ref="M19"/>
    <mergeCell ref="N19"/>
    <mergeCell ref="J17"/>
    <mergeCell ref="K17"/>
    <mergeCell ref="L17"/>
    <mergeCell ref="O18"/>
    <mergeCell ref="P18"/>
    <mergeCell ref="Q18"/>
    <mergeCell ref="M17"/>
    <mergeCell ref="N17"/>
    <mergeCell ref="J18"/>
    <mergeCell ref="K18"/>
    <mergeCell ref="L18"/>
    <mergeCell ref="K19"/>
    <mergeCell ref="L19"/>
    <mergeCell ref="O20"/>
    <mergeCell ref="O19"/>
    <mergeCell ref="M20"/>
    <mergeCell ref="N20"/>
    <mergeCell ref="S19"/>
    <mergeCell ref="O17"/>
    <mergeCell ref="P17"/>
    <mergeCell ref="Q17"/>
    <mergeCell ref="R17"/>
    <mergeCell ref="M18"/>
    <mergeCell ref="N18"/>
    <mergeCell ref="S18"/>
    <mergeCell ref="R18"/>
    <mergeCell ref="P19"/>
    <mergeCell ref="Q19"/>
    <mergeCell ref="R19"/>
    <mergeCell ref="S17"/>
    <mergeCell ref="S20"/>
    <mergeCell ref="R20"/>
    <mergeCell ref="A19"/>
    <mergeCell ref="B19"/>
    <mergeCell ref="C19"/>
    <mergeCell ref="D19"/>
    <mergeCell ref="E19"/>
    <mergeCell ref="F19"/>
    <mergeCell ref="G20"/>
    <mergeCell ref="H20"/>
    <mergeCell ref="I20"/>
    <mergeCell ref="G19"/>
    <mergeCell ref="H19"/>
    <mergeCell ref="I19"/>
    <mergeCell ref="I21"/>
    <mergeCell ref="J20"/>
    <mergeCell ref="K20"/>
    <mergeCell ref="L20"/>
    <mergeCell ref="A20"/>
    <mergeCell ref="B20"/>
    <mergeCell ref="C20"/>
    <mergeCell ref="D20"/>
    <mergeCell ref="E20"/>
    <mergeCell ref="F20"/>
    <mergeCell ref="J21"/>
    <mergeCell ref="K21"/>
    <mergeCell ref="L21"/>
    <mergeCell ref="L23"/>
    <mergeCell ref="O24"/>
    <mergeCell ref="O23"/>
    <mergeCell ref="M24"/>
    <mergeCell ref="N24"/>
    <mergeCell ref="J23"/>
    <mergeCell ref="J19"/>
    <mergeCell ref="A22"/>
    <mergeCell ref="B22"/>
    <mergeCell ref="C22"/>
    <mergeCell ref="D22"/>
    <mergeCell ref="E22"/>
    <mergeCell ref="F22"/>
    <mergeCell ref="A21"/>
    <mergeCell ref="B21"/>
    <mergeCell ref="C21"/>
    <mergeCell ref="D21"/>
    <mergeCell ref="E21"/>
    <mergeCell ref="F21"/>
    <mergeCell ref="G22"/>
    <mergeCell ref="H22"/>
    <mergeCell ref="I22"/>
    <mergeCell ref="G21"/>
    <mergeCell ref="H21"/>
    <mergeCell ref="O22"/>
    <mergeCell ref="P22"/>
    <mergeCell ref="Q22"/>
    <mergeCell ref="M21"/>
    <mergeCell ref="N21"/>
    <mergeCell ref="J22"/>
    <mergeCell ref="K22"/>
    <mergeCell ref="L22"/>
    <mergeCell ref="S23"/>
    <mergeCell ref="O21"/>
    <mergeCell ref="P21"/>
    <mergeCell ref="Q21"/>
    <mergeCell ref="R21"/>
    <mergeCell ref="M22"/>
    <mergeCell ref="N22"/>
    <mergeCell ref="S22"/>
    <mergeCell ref="R22"/>
    <mergeCell ref="P23"/>
    <mergeCell ref="Q23"/>
    <mergeCell ref="R23"/>
    <mergeCell ref="S21"/>
    <mergeCell ref="M23"/>
    <mergeCell ref="N23"/>
    <mergeCell ref="K23"/>
    <mergeCell ref="S24"/>
    <mergeCell ref="R24"/>
    <mergeCell ref="K24"/>
    <mergeCell ref="L24"/>
    <mergeCell ref="A24"/>
    <mergeCell ref="B24"/>
    <mergeCell ref="C24"/>
    <mergeCell ref="D24"/>
    <mergeCell ref="E24"/>
    <mergeCell ref="F24"/>
    <mergeCell ref="P24"/>
    <mergeCell ref="Q24"/>
    <mergeCell ref="A23"/>
    <mergeCell ref="B23"/>
    <mergeCell ref="C23"/>
    <mergeCell ref="D23"/>
    <mergeCell ref="E23"/>
    <mergeCell ref="F23"/>
    <mergeCell ref="G24"/>
    <mergeCell ref="H24"/>
    <mergeCell ref="I24"/>
    <mergeCell ref="G23"/>
    <mergeCell ref="H23"/>
    <mergeCell ref="I23"/>
    <mergeCell ref="A26"/>
    <mergeCell ref="B26"/>
    <mergeCell ref="C26"/>
    <mergeCell ref="D26"/>
    <mergeCell ref="E26"/>
    <mergeCell ref="F26"/>
    <mergeCell ref="A25"/>
    <mergeCell ref="B25"/>
    <mergeCell ref="C25"/>
    <mergeCell ref="D25"/>
    <mergeCell ref="E25"/>
    <mergeCell ref="F25"/>
    <mergeCell ref="G26"/>
    <mergeCell ref="H26"/>
    <mergeCell ref="I26"/>
    <mergeCell ref="G25"/>
    <mergeCell ref="H25"/>
    <mergeCell ref="I25"/>
    <mergeCell ref="J24"/>
    <mergeCell ref="P28"/>
    <mergeCell ref="Q28"/>
    <mergeCell ref="M27"/>
    <mergeCell ref="N27"/>
    <mergeCell ref="J25"/>
    <mergeCell ref="K25"/>
    <mergeCell ref="L25"/>
    <mergeCell ref="O26"/>
    <mergeCell ref="P26"/>
    <mergeCell ref="Q26"/>
    <mergeCell ref="M25"/>
    <mergeCell ref="N25"/>
    <mergeCell ref="J26"/>
    <mergeCell ref="K26"/>
    <mergeCell ref="L26"/>
    <mergeCell ref="K27"/>
    <mergeCell ref="L27"/>
    <mergeCell ref="O28"/>
    <mergeCell ref="O27"/>
    <mergeCell ref="M28"/>
    <mergeCell ref="N28"/>
    <mergeCell ref="S27"/>
    <mergeCell ref="O25"/>
    <mergeCell ref="P25"/>
    <mergeCell ref="Q25"/>
    <mergeCell ref="R25"/>
    <mergeCell ref="M26"/>
    <mergeCell ref="N26"/>
    <mergeCell ref="S26"/>
    <mergeCell ref="R26"/>
    <mergeCell ref="P27"/>
    <mergeCell ref="Q27"/>
    <mergeCell ref="R27"/>
    <mergeCell ref="S25"/>
    <mergeCell ref="S28"/>
    <mergeCell ref="R28"/>
    <mergeCell ref="A27"/>
    <mergeCell ref="B27"/>
    <mergeCell ref="C27"/>
    <mergeCell ref="D27"/>
    <mergeCell ref="E27"/>
    <mergeCell ref="F27"/>
    <mergeCell ref="G28"/>
    <mergeCell ref="H28"/>
    <mergeCell ref="I28"/>
    <mergeCell ref="G27"/>
    <mergeCell ref="H27"/>
    <mergeCell ref="I27"/>
    <mergeCell ref="I29"/>
    <mergeCell ref="J28"/>
    <mergeCell ref="K28"/>
    <mergeCell ref="L28"/>
    <mergeCell ref="A28"/>
    <mergeCell ref="B28"/>
    <mergeCell ref="C28"/>
    <mergeCell ref="D28"/>
    <mergeCell ref="E28"/>
    <mergeCell ref="F28"/>
    <mergeCell ref="J29"/>
    <mergeCell ref="K29"/>
    <mergeCell ref="L29"/>
    <mergeCell ref="L31"/>
    <mergeCell ref="O32"/>
    <mergeCell ref="O31"/>
    <mergeCell ref="M32"/>
    <mergeCell ref="N32"/>
    <mergeCell ref="J31"/>
    <mergeCell ref="J27"/>
    <mergeCell ref="A30"/>
    <mergeCell ref="B30"/>
    <mergeCell ref="C30"/>
    <mergeCell ref="D30"/>
    <mergeCell ref="E30"/>
    <mergeCell ref="F30"/>
    <mergeCell ref="A29"/>
    <mergeCell ref="B29"/>
    <mergeCell ref="C29"/>
    <mergeCell ref="D29"/>
    <mergeCell ref="E29"/>
    <mergeCell ref="F29"/>
    <mergeCell ref="G30"/>
    <mergeCell ref="H30"/>
    <mergeCell ref="I30"/>
    <mergeCell ref="G29"/>
    <mergeCell ref="H29"/>
    <mergeCell ref="O30"/>
    <mergeCell ref="P30"/>
    <mergeCell ref="Q30"/>
    <mergeCell ref="M29"/>
    <mergeCell ref="N29"/>
    <mergeCell ref="J30"/>
    <mergeCell ref="K30"/>
    <mergeCell ref="L30"/>
    <mergeCell ref="S31"/>
    <mergeCell ref="O29"/>
    <mergeCell ref="P29"/>
    <mergeCell ref="Q29"/>
    <mergeCell ref="R29"/>
    <mergeCell ref="M30"/>
    <mergeCell ref="N30"/>
    <mergeCell ref="S30"/>
    <mergeCell ref="R30"/>
    <mergeCell ref="P31"/>
    <mergeCell ref="Q31"/>
    <mergeCell ref="R31"/>
    <mergeCell ref="S29"/>
    <mergeCell ref="M31"/>
    <mergeCell ref="N31"/>
    <mergeCell ref="K31"/>
    <mergeCell ref="S32"/>
    <mergeCell ref="R32"/>
    <mergeCell ref="K32"/>
    <mergeCell ref="L32"/>
    <mergeCell ref="A32"/>
    <mergeCell ref="B32"/>
    <mergeCell ref="C32"/>
    <mergeCell ref="D32"/>
    <mergeCell ref="E32"/>
    <mergeCell ref="F32"/>
    <mergeCell ref="P32"/>
    <mergeCell ref="Q32"/>
    <mergeCell ref="A31"/>
    <mergeCell ref="B31"/>
    <mergeCell ref="C31"/>
    <mergeCell ref="D31"/>
    <mergeCell ref="E31"/>
    <mergeCell ref="F31"/>
    <mergeCell ref="G32"/>
    <mergeCell ref="H32"/>
    <mergeCell ref="I32"/>
    <mergeCell ref="G31"/>
    <mergeCell ref="H31"/>
    <mergeCell ref="I31"/>
    <mergeCell ref="A34"/>
    <mergeCell ref="B34"/>
    <mergeCell ref="C34"/>
    <mergeCell ref="D34"/>
    <mergeCell ref="E34"/>
    <mergeCell ref="F34"/>
    <mergeCell ref="A33"/>
    <mergeCell ref="B33"/>
    <mergeCell ref="C33"/>
    <mergeCell ref="D33"/>
    <mergeCell ref="E33"/>
    <mergeCell ref="F33"/>
    <mergeCell ref="G34"/>
    <mergeCell ref="H34"/>
    <mergeCell ref="I34"/>
    <mergeCell ref="G33"/>
    <mergeCell ref="H33"/>
    <mergeCell ref="I33"/>
    <mergeCell ref="J32"/>
    <mergeCell ref="P36"/>
    <mergeCell ref="Q36"/>
    <mergeCell ref="M35"/>
    <mergeCell ref="N35"/>
    <mergeCell ref="J33"/>
    <mergeCell ref="K33"/>
    <mergeCell ref="L33"/>
    <mergeCell ref="O34"/>
    <mergeCell ref="P34"/>
    <mergeCell ref="Q34"/>
    <mergeCell ref="M33"/>
    <mergeCell ref="N33"/>
    <mergeCell ref="J34"/>
    <mergeCell ref="K34"/>
    <mergeCell ref="L34"/>
    <mergeCell ref="K35"/>
    <mergeCell ref="L35"/>
    <mergeCell ref="O36"/>
    <mergeCell ref="O35"/>
    <mergeCell ref="M36"/>
    <mergeCell ref="N36"/>
    <mergeCell ref="S35"/>
    <mergeCell ref="O33"/>
    <mergeCell ref="P33"/>
    <mergeCell ref="Q33"/>
    <mergeCell ref="R33"/>
    <mergeCell ref="M34"/>
    <mergeCell ref="N34"/>
    <mergeCell ref="S34"/>
    <mergeCell ref="R34"/>
    <mergeCell ref="P35"/>
    <mergeCell ref="Q35"/>
    <mergeCell ref="R35"/>
    <mergeCell ref="S33"/>
    <mergeCell ref="S36"/>
    <mergeCell ref="R36"/>
    <mergeCell ref="A35"/>
    <mergeCell ref="B35"/>
    <mergeCell ref="C35"/>
    <mergeCell ref="D35"/>
    <mergeCell ref="E35"/>
    <mergeCell ref="F35"/>
    <mergeCell ref="G36"/>
    <mergeCell ref="H36"/>
    <mergeCell ref="I36"/>
    <mergeCell ref="G35"/>
    <mergeCell ref="H35"/>
    <mergeCell ref="I35"/>
    <mergeCell ref="I37"/>
    <mergeCell ref="J36"/>
    <mergeCell ref="K36"/>
    <mergeCell ref="L36"/>
    <mergeCell ref="A36"/>
    <mergeCell ref="B36"/>
    <mergeCell ref="C36"/>
    <mergeCell ref="D36"/>
    <mergeCell ref="E36"/>
    <mergeCell ref="F36"/>
    <mergeCell ref="J37"/>
    <mergeCell ref="K37"/>
    <mergeCell ref="L37"/>
    <mergeCell ref="L39"/>
    <mergeCell ref="O40"/>
    <mergeCell ref="O39"/>
    <mergeCell ref="M40"/>
    <mergeCell ref="N40"/>
    <mergeCell ref="J39"/>
    <mergeCell ref="J35"/>
    <mergeCell ref="A38"/>
    <mergeCell ref="B38"/>
    <mergeCell ref="C38"/>
    <mergeCell ref="D38"/>
    <mergeCell ref="E38"/>
    <mergeCell ref="F38"/>
    <mergeCell ref="A37"/>
    <mergeCell ref="B37"/>
    <mergeCell ref="C37"/>
    <mergeCell ref="D37"/>
    <mergeCell ref="E37"/>
    <mergeCell ref="F37"/>
    <mergeCell ref="G38"/>
    <mergeCell ref="H38"/>
    <mergeCell ref="I38"/>
    <mergeCell ref="G37"/>
    <mergeCell ref="H37"/>
    <mergeCell ref="O38"/>
    <mergeCell ref="P38"/>
    <mergeCell ref="Q38"/>
    <mergeCell ref="M37"/>
    <mergeCell ref="N37"/>
    <mergeCell ref="J38"/>
    <mergeCell ref="K38"/>
    <mergeCell ref="L38"/>
    <mergeCell ref="S39"/>
    <mergeCell ref="O37"/>
    <mergeCell ref="P37"/>
    <mergeCell ref="Q37"/>
    <mergeCell ref="R37"/>
    <mergeCell ref="M38"/>
    <mergeCell ref="N38"/>
    <mergeCell ref="S38"/>
    <mergeCell ref="R38"/>
    <mergeCell ref="P39"/>
    <mergeCell ref="Q39"/>
    <mergeCell ref="R39"/>
    <mergeCell ref="S37"/>
    <mergeCell ref="M39"/>
    <mergeCell ref="N39"/>
    <mergeCell ref="K39"/>
    <mergeCell ref="S40"/>
    <mergeCell ref="R40"/>
    <mergeCell ref="K40"/>
    <mergeCell ref="L40"/>
    <mergeCell ref="A40"/>
    <mergeCell ref="B40"/>
    <mergeCell ref="C40"/>
    <mergeCell ref="D40"/>
    <mergeCell ref="E40"/>
    <mergeCell ref="F40"/>
    <mergeCell ref="P40"/>
    <mergeCell ref="Q40"/>
    <mergeCell ref="A39"/>
    <mergeCell ref="B39"/>
    <mergeCell ref="C39"/>
    <mergeCell ref="D39"/>
    <mergeCell ref="E39"/>
    <mergeCell ref="F39"/>
    <mergeCell ref="G40"/>
    <mergeCell ref="H40"/>
    <mergeCell ref="I40"/>
    <mergeCell ref="G39"/>
    <mergeCell ref="H39"/>
    <mergeCell ref="I39"/>
    <mergeCell ref="A42"/>
    <mergeCell ref="B42"/>
    <mergeCell ref="C42"/>
    <mergeCell ref="D42"/>
    <mergeCell ref="E42"/>
    <mergeCell ref="F42"/>
    <mergeCell ref="A41"/>
    <mergeCell ref="B41"/>
    <mergeCell ref="C41"/>
    <mergeCell ref="D41"/>
    <mergeCell ref="E41"/>
    <mergeCell ref="F41"/>
    <mergeCell ref="S44"/>
    <mergeCell ref="R44"/>
    <mergeCell ref="G42"/>
    <mergeCell ref="H42"/>
    <mergeCell ref="I42"/>
    <mergeCell ref="G41"/>
    <mergeCell ref="H41"/>
    <mergeCell ref="I41"/>
    <mergeCell ref="J40"/>
    <mergeCell ref="P44"/>
    <mergeCell ref="Q44"/>
    <mergeCell ref="M43"/>
    <mergeCell ref="N43"/>
    <mergeCell ref="J41"/>
    <mergeCell ref="K41"/>
    <mergeCell ref="L41"/>
    <mergeCell ref="O42"/>
    <mergeCell ref="P42"/>
    <mergeCell ref="Q42"/>
    <mergeCell ref="M41"/>
    <mergeCell ref="N41"/>
    <mergeCell ref="J42"/>
    <mergeCell ref="K42"/>
    <mergeCell ref="L42"/>
    <mergeCell ref="S43"/>
    <mergeCell ref="O41"/>
    <mergeCell ref="P41"/>
    <mergeCell ref="Q41"/>
    <mergeCell ref="R41"/>
    <mergeCell ref="M42"/>
    <mergeCell ref="N42"/>
    <mergeCell ref="S42"/>
    <mergeCell ref="R42"/>
    <mergeCell ref="P43"/>
    <mergeCell ref="Q43"/>
    <mergeCell ref="R43"/>
    <mergeCell ref="S41"/>
    <mergeCell ref="G44"/>
    <mergeCell ref="H44"/>
    <mergeCell ref="I44"/>
    <mergeCell ref="G43"/>
    <mergeCell ref="H43"/>
    <mergeCell ref="I43"/>
    <mergeCell ref="J43"/>
    <mergeCell ref="O44"/>
    <mergeCell ref="O43"/>
    <mergeCell ref="M44"/>
    <mergeCell ref="N44"/>
    <mergeCell ref="K43"/>
    <mergeCell ref="L43"/>
    <mergeCell ref="A44"/>
    <mergeCell ref="B44"/>
    <mergeCell ref="C44"/>
    <mergeCell ref="D44"/>
    <mergeCell ref="E44"/>
    <mergeCell ref="F44"/>
    <mergeCell ref="A43"/>
    <mergeCell ref="B43"/>
    <mergeCell ref="C43"/>
    <mergeCell ref="D43"/>
    <mergeCell ref="E43"/>
    <mergeCell ref="F43"/>
    <mergeCell ref="A46"/>
    <mergeCell ref="B46"/>
    <mergeCell ref="C46"/>
    <mergeCell ref="D46"/>
    <mergeCell ref="E46"/>
    <mergeCell ref="F46"/>
    <mergeCell ref="A45"/>
    <mergeCell ref="B45"/>
    <mergeCell ref="C45"/>
    <mergeCell ref="D45"/>
    <mergeCell ref="E45"/>
    <mergeCell ref="F45"/>
    <mergeCell ref="G46"/>
    <mergeCell ref="H46"/>
    <mergeCell ref="I46"/>
    <mergeCell ref="G45"/>
    <mergeCell ref="H45"/>
    <mergeCell ref="I45"/>
    <mergeCell ref="J44"/>
    <mergeCell ref="P48"/>
    <mergeCell ref="Q48"/>
    <mergeCell ref="M47"/>
    <mergeCell ref="N47"/>
    <mergeCell ref="J45"/>
    <mergeCell ref="K45"/>
    <mergeCell ref="L45"/>
    <mergeCell ref="O46"/>
    <mergeCell ref="P46"/>
    <mergeCell ref="Q46"/>
    <mergeCell ref="M45"/>
    <mergeCell ref="N45"/>
    <mergeCell ref="J46"/>
    <mergeCell ref="K46"/>
    <mergeCell ref="L46"/>
    <mergeCell ref="K44"/>
    <mergeCell ref="L44"/>
    <mergeCell ref="S47"/>
    <mergeCell ref="O45"/>
    <mergeCell ref="P45"/>
    <mergeCell ref="Q45"/>
    <mergeCell ref="R45"/>
    <mergeCell ref="M46"/>
    <mergeCell ref="N46"/>
    <mergeCell ref="S46"/>
    <mergeCell ref="R46"/>
    <mergeCell ref="P47"/>
    <mergeCell ref="Q47"/>
    <mergeCell ref="R47"/>
    <mergeCell ref="S45"/>
    <mergeCell ref="E48"/>
    <mergeCell ref="F48"/>
    <mergeCell ref="G47"/>
    <mergeCell ref="H47"/>
    <mergeCell ref="I47"/>
    <mergeCell ref="J47"/>
    <mergeCell ref="K47"/>
    <mergeCell ref="L47"/>
    <mergeCell ref="O48"/>
    <mergeCell ref="O47"/>
    <mergeCell ref="M48"/>
    <mergeCell ref="N48"/>
    <mergeCell ref="S49"/>
    <mergeCell ref="J50"/>
    <mergeCell ref="K50"/>
    <mergeCell ref="L50"/>
    <mergeCell ref="R49"/>
    <mergeCell ref="S50"/>
    <mergeCell ref="S48"/>
    <mergeCell ref="R48"/>
    <mergeCell ref="A47"/>
    <mergeCell ref="B47"/>
    <mergeCell ref="C47"/>
    <mergeCell ref="D47"/>
    <mergeCell ref="E47"/>
    <mergeCell ref="F47"/>
    <mergeCell ref="G48"/>
    <mergeCell ref="H48"/>
    <mergeCell ref="I48"/>
    <mergeCell ref="J48"/>
    <mergeCell ref="K48"/>
    <mergeCell ref="L48"/>
    <mergeCell ref="A48"/>
    <mergeCell ref="B48"/>
    <mergeCell ref="C48"/>
    <mergeCell ref="D48"/>
    <mergeCell ref="A50"/>
    <mergeCell ref="B50"/>
    <mergeCell ref="C50"/>
    <mergeCell ref="D50"/>
    <mergeCell ref="E50"/>
    <mergeCell ref="F50"/>
    <mergeCell ref="A49"/>
    <mergeCell ref="B49"/>
    <mergeCell ref="C49"/>
    <mergeCell ref="D49"/>
    <mergeCell ref="E49"/>
    <mergeCell ref="F49"/>
    <mergeCell ref="G50"/>
    <mergeCell ref="H50"/>
    <mergeCell ref="I50"/>
    <mergeCell ref="G49"/>
    <mergeCell ref="H49"/>
    <mergeCell ref="I49"/>
    <mergeCell ref="O49"/>
    <mergeCell ref="P49"/>
    <mergeCell ref="Q49"/>
    <mergeCell ref="M50"/>
    <mergeCell ref="N50"/>
    <mergeCell ref="J49"/>
    <mergeCell ref="K49"/>
    <mergeCell ref="L49"/>
    <mergeCell ref="O50"/>
    <mergeCell ref="P50"/>
    <mergeCell ref="Q50"/>
    <mergeCell ref="M49"/>
    <mergeCell ref="N49"/>
    <mergeCell ref="R50"/>
    <mergeCell ref="J51"/>
    <mergeCell ref="K51"/>
    <mergeCell ref="L51"/>
    <mergeCell ref="O51"/>
    <mergeCell ref="P51"/>
    <mergeCell ref="Q51"/>
    <mergeCell ref="M51"/>
    <mergeCell ref="N51"/>
    <mergeCell ref="S51"/>
    <mergeCell ref="A51"/>
    <mergeCell ref="B51"/>
    <mergeCell ref="C51"/>
    <mergeCell ref="D51"/>
    <mergeCell ref="E51"/>
    <mergeCell ref="F51"/>
    <mergeCell ref="G51"/>
    <mergeCell ref="H51"/>
    <mergeCell ref="I51"/>
    <mergeCell ref="R51"/>
  </mergeCells>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5935C-46F5-445E-A3B7-9327F5CEE425}">
  <dimension ref="A1"/>
  <sheetViews>
    <sheetView topLeftCell="A46" workbookViewId="0">
      <selection activeCell="K67" sqref="K67"/>
    </sheetView>
  </sheetViews>
  <sheetFormatPr defaultRowHeight="13.5"/>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1426</v>
      </c>
    </row>
    <row r="3" spans="1:4" ht="18.75">
      <c r="A3" s="1491" t="str">
        <f>项目基本情况!B5&amp;"："</f>
        <v>：</v>
      </c>
    </row>
    <row r="4" spans="1:4" ht="18.75">
      <c r="A4" s="1486" t="str">
        <f>"受贵公司委托，我公司对"&amp;项目基本情况!K2&amp;项目基本情况!B9&amp;"进行了预评估。"</f>
        <v>受贵公司委托，我公司对出让国有建设用地使用权抵押价格进行了预评估。</v>
      </c>
    </row>
    <row r="5" spans="1:4" ht="18.75">
      <c r="A5" s="1489" t="s">
        <v>1427</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16985.07平方米。根据《建设工程规划许可证》[]、《出让合同》[]，估价对象规划建筑面积为42462平方米。</v>
      </c>
    </row>
    <row r="7" spans="1:4" ht="93.75">
      <c r="A7" s="2176" t="s">
        <v>2028</v>
      </c>
    </row>
    <row r="8" spans="1:4" ht="18.75">
      <c r="A8" s="1489" t="s">
        <v>1428</v>
      </c>
    </row>
    <row r="9" spans="1:4" ht="75">
      <c r="A9" s="14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1542</v>
      </c>
    </row>
    <row r="11" spans="1:4" ht="18.75">
      <c r="A11" s="1475" t="str">
        <f>TEXT(项目基本情况!D3,"yyyy年m月d日;;")&amp;IF(项目基本情况!B3=项目基本情况!D3,"（评估专业人员勘察现场之日）","")</f>
        <v>2025年6月9日（评估专业人员勘察现场之日）</v>
      </c>
    </row>
    <row r="12" spans="1:4" ht="18.75">
      <c r="A12" s="1491" t="s">
        <v>1541</v>
      </c>
    </row>
    <row r="13" spans="1:4" ht="18.75">
      <c r="A13" s="1486" t="s">
        <v>1587</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1588</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1589</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根据《国有土地使用证》[]，估价对象（分摊）出让国有建设用地使用权面积为16985.07平方米。根据《建设工程规划许可证》[]、《出让合同》[]，估价对象规划建筑面积为42462平方米。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1590</v>
      </c>
    </row>
    <row r="23" spans="1:1" ht="18.75">
      <c r="A23" s="2178" t="s">
        <v>2029</v>
      </c>
    </row>
    <row r="24" spans="1:1" ht="18.75">
      <c r="A24" s="1486" t="s">
        <v>1591</v>
      </c>
    </row>
    <row r="25" spans="1:1" ht="75">
      <c r="A25" s="1486"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6" t="str">
        <f>IF(项目基本情况!E9="——","",定义!C57)</f>
        <v/>
      </c>
    </row>
    <row r="29" spans="1:1" ht="18.75">
      <c r="A29" s="1491" t="s">
        <v>1543</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663</v>
      </c>
      <c r="B1" s="454" t="s">
        <v>695</v>
      </c>
      <c r="C1" s="455" t="s">
        <v>665</v>
      </c>
      <c r="D1" s="1931"/>
      <c r="E1" s="457"/>
      <c r="F1" s="2116"/>
      <c r="G1" s="1326" t="s">
        <v>666</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425</v>
      </c>
      <c r="B2" s="784"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466</v>
      </c>
      <c r="B3" s="461" t="e">
        <f>C49</f>
        <v>#DIV/0!</v>
      </c>
      <c r="C3" s="786" t="s">
        <v>667</v>
      </c>
      <c r="D3" s="785">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3" t="s">
        <v>468</v>
      </c>
      <c r="B4" s="464"/>
      <c r="C4" s="3604" t="s">
        <v>469</v>
      </c>
      <c r="D4" s="3605"/>
      <c r="E4" s="3639" t="s">
        <v>470</v>
      </c>
      <c r="F4" s="3640"/>
      <c r="G4" s="3604" t="s">
        <v>471</v>
      </c>
      <c r="H4" s="3605"/>
      <c r="I4" s="3604" t="s">
        <v>472</v>
      </c>
      <c r="J4" s="3605"/>
      <c r="K4" s="465" t="s">
        <v>473</v>
      </c>
      <c r="L4" s="1739"/>
      <c r="M4" s="1740"/>
      <c r="N4" s="1740"/>
      <c r="O4" s="1740"/>
      <c r="P4" s="3606" t="s">
        <v>474</v>
      </c>
      <c r="Q4" s="3607"/>
      <c r="R4" s="3612" t="s">
        <v>470</v>
      </c>
      <c r="S4" s="3613"/>
      <c r="T4" s="3612" t="s">
        <v>471</v>
      </c>
      <c r="U4" s="3613"/>
      <c r="V4" s="3599" t="s">
        <v>472</v>
      </c>
      <c r="W4" s="3599"/>
      <c r="X4" s="1300"/>
      <c r="Y4" s="3612" t="s">
        <v>474</v>
      </c>
      <c r="Z4" s="3613"/>
      <c r="AA4" s="3601" t="s">
        <v>470</v>
      </c>
      <c r="AB4" s="3599" t="s">
        <v>471</v>
      </c>
      <c r="AC4" s="3601" t="s">
        <v>472</v>
      </c>
    </row>
    <row r="5" spans="1:29" ht="15">
      <c r="A5" s="466"/>
      <c r="B5" s="467"/>
      <c r="C5" s="3620" t="s">
        <v>2180</v>
      </c>
      <c r="D5" s="3621"/>
      <c r="E5" s="3641" t="s">
        <v>2181</v>
      </c>
      <c r="F5" s="3642"/>
      <c r="G5" s="3620" t="s">
        <v>2182</v>
      </c>
      <c r="H5" s="3621"/>
      <c r="I5" s="3620" t="s">
        <v>2183</v>
      </c>
      <c r="J5" s="3621"/>
      <c r="K5" s="465"/>
      <c r="L5" s="1739"/>
      <c r="M5" s="1740"/>
      <c r="N5" s="1740"/>
      <c r="O5" s="1740"/>
      <c r="P5" s="3608"/>
      <c r="Q5" s="3609"/>
      <c r="R5" s="3614"/>
      <c r="S5" s="3615"/>
      <c r="T5" s="3614"/>
      <c r="U5" s="3615"/>
      <c r="V5" s="3599"/>
      <c r="W5" s="3599"/>
      <c r="X5" s="1300"/>
      <c r="Y5" s="3614"/>
      <c r="Z5" s="3615"/>
      <c r="AA5" s="3602"/>
      <c r="AB5" s="3599"/>
      <c r="AC5" s="3602"/>
    </row>
    <row r="6" spans="1:29" ht="15.75" thickBot="1">
      <c r="A6" s="468"/>
      <c r="B6" s="469"/>
      <c r="C6" s="3618" t="s">
        <v>2184</v>
      </c>
      <c r="D6" s="3619"/>
      <c r="E6" s="3637" t="s">
        <v>2184</v>
      </c>
      <c r="F6" s="3638"/>
      <c r="G6" s="3618" t="s">
        <v>2184</v>
      </c>
      <c r="H6" s="3619"/>
      <c r="I6" s="3618" t="s">
        <v>2184</v>
      </c>
      <c r="J6" s="3619"/>
      <c r="K6" s="465" t="s">
        <v>475</v>
      </c>
      <c r="L6" s="1739"/>
      <c r="M6" s="1740"/>
      <c r="N6" s="1740"/>
      <c r="O6" s="1740"/>
      <c r="P6" s="3610"/>
      <c r="Q6" s="3611"/>
      <c r="R6" s="3614"/>
      <c r="S6" s="3615"/>
      <c r="T6" s="3616"/>
      <c r="U6" s="3617"/>
      <c r="V6" s="3599"/>
      <c r="W6" s="3599"/>
      <c r="X6" s="1300"/>
      <c r="Y6" s="3616"/>
      <c r="Z6" s="3617"/>
      <c r="AA6" s="3603"/>
      <c r="AB6" s="3599"/>
      <c r="AC6" s="3603"/>
    </row>
    <row r="7" spans="1:29" s="1057" customFormat="1" ht="15.75" thickBot="1">
      <c r="A7" s="2207"/>
      <c r="B7" s="2214" t="s">
        <v>476</v>
      </c>
      <c r="C7" s="470">
        <f>'数据-取费表'!B2</f>
        <v>45817</v>
      </c>
      <c r="D7" s="471">
        <v>100</v>
      </c>
      <c r="E7" s="472"/>
      <c r="F7" s="473">
        <f>SUMIF(58:58,YEAR(E7)&amp;"-"&amp;MONTH(E7),59:59)</f>
        <v>0</v>
      </c>
      <c r="G7" s="472"/>
      <c r="H7" s="471">
        <f>SUMIF(58:58,YEAR(G7)&amp;"-"&amp;MONTH(G7),59:59)</f>
        <v>0</v>
      </c>
      <c r="I7" s="472"/>
      <c r="J7" s="471">
        <f>SUMIF(58:58,YEAR(I7)&amp;"-"&amp;MONTH(I7),59:59)</f>
        <v>0</v>
      </c>
      <c r="K7" s="88"/>
      <c r="L7" s="1741"/>
      <c r="M7" s="1638"/>
      <c r="N7" s="1638"/>
      <c r="O7" s="1638"/>
      <c r="P7" s="3628" t="s">
        <v>477</v>
      </c>
      <c r="Q7" s="3630"/>
      <c r="R7" s="1301" t="s">
        <v>5</v>
      </c>
      <c r="S7" s="1302">
        <f t="shared" ref="S7:S15" si="0">F7</f>
        <v>0</v>
      </c>
      <c r="T7" s="1301" t="s">
        <v>5</v>
      </c>
      <c r="U7" s="1302">
        <f t="shared" ref="U7:U15" si="1">H7</f>
        <v>0</v>
      </c>
      <c r="V7" s="1301" t="s">
        <v>5</v>
      </c>
      <c r="W7" s="1302">
        <f t="shared" ref="W7:W15" si="2">J7</f>
        <v>0</v>
      </c>
      <c r="X7" s="1303"/>
      <c r="Y7" s="3628" t="s">
        <v>477</v>
      </c>
      <c r="Z7" s="3629"/>
      <c r="AA7" s="994" t="e">
        <f>D7/F7</f>
        <v>#DIV/0!</v>
      </c>
      <c r="AB7" s="994" t="e">
        <f>D7/H7</f>
        <v>#DIV/0!</v>
      </c>
      <c r="AC7" s="994" t="e">
        <f>D7/J7</f>
        <v>#DIV/0!</v>
      </c>
    </row>
    <row r="8" spans="1:29" s="1057" customFormat="1" ht="15.75" thickBot="1">
      <c r="A8" s="2208"/>
      <c r="B8" s="2215" t="s">
        <v>478</v>
      </c>
      <c r="C8" s="475" t="s">
        <v>522</v>
      </c>
      <c r="D8" s="471">
        <v>100</v>
      </c>
      <c r="E8" s="475"/>
      <c r="F8" s="473">
        <f>SUMIF(61:61,E8,62:62)-SUMIF(61:61,C8,62:62)+100</f>
        <v>0</v>
      </c>
      <c r="G8" s="475"/>
      <c r="H8" s="471">
        <f>SUMIF(61:61,G8,62:62)-SUMIF(61:61,C8,62:62)+100</f>
        <v>0</v>
      </c>
      <c r="I8" s="475"/>
      <c r="J8" s="471">
        <f>SUMIF(61:61,I8,62:62)-SUMIF(61:61,C8,62:62)+100</f>
        <v>0</v>
      </c>
      <c r="K8" s="88"/>
      <c r="L8" s="1741"/>
      <c r="M8" s="1638"/>
      <c r="N8" s="1638"/>
      <c r="O8" s="1638"/>
      <c r="P8" s="3628" t="s">
        <v>480</v>
      </c>
      <c r="Q8" s="3629"/>
      <c r="R8" s="1301" t="s">
        <v>5</v>
      </c>
      <c r="S8" s="1302">
        <f t="shared" si="0"/>
        <v>0</v>
      </c>
      <c r="T8" s="1301" t="s">
        <v>5</v>
      </c>
      <c r="U8" s="1302">
        <f t="shared" si="1"/>
        <v>0</v>
      </c>
      <c r="V8" s="1301" t="s">
        <v>5</v>
      </c>
      <c r="W8" s="1302">
        <f t="shared" si="2"/>
        <v>0</v>
      </c>
      <c r="X8" s="1303"/>
      <c r="Y8" s="3628" t="s">
        <v>480</v>
      </c>
      <c r="Z8" s="3629"/>
      <c r="AA8" s="994" t="e">
        <f t="shared" ref="AA8:AA46" si="3">D8/F8</f>
        <v>#DIV/0!</v>
      </c>
      <c r="AB8" s="994" t="e">
        <f t="shared" ref="AB8:AB46" si="4">D8/H8</f>
        <v>#DIV/0!</v>
      </c>
      <c r="AC8" s="994" t="e">
        <f t="shared" ref="AC8:AC46" si="5">D8/J8</f>
        <v>#DIV/0!</v>
      </c>
    </row>
    <row r="9" spans="1:29" s="1057" customFormat="1" ht="15">
      <c r="A9" s="2209"/>
      <c r="B9" s="2216" t="s">
        <v>2036</v>
      </c>
      <c r="C9" s="791"/>
      <c r="D9" s="154">
        <v>100</v>
      </c>
      <c r="E9" s="793"/>
      <c r="F9" s="154">
        <f>SUMIF(63:63,E9,64:64)-SUMIF(63:63,C9,64:64)+100</f>
        <v>100</v>
      </c>
      <c r="G9" s="792"/>
      <c r="H9" s="154">
        <f>SUMIF(63:63,G9,64:64)-SUMIF(63:63,C9,64:64)+100</f>
        <v>100</v>
      </c>
      <c r="I9" s="792"/>
      <c r="J9" s="154">
        <f>SUMIF(63:63,I9,64:64)-SUMIF(63:63,C9,64:64)+100</f>
        <v>100</v>
      </c>
      <c r="K9" s="88"/>
      <c r="L9" s="1741"/>
      <c r="M9" s="1638"/>
      <c r="N9" s="1638"/>
      <c r="O9" s="1742"/>
      <c r="P9" s="3598" t="s">
        <v>482</v>
      </c>
      <c r="Q9" s="817" t="str">
        <f t="shared" ref="Q9:Q15" si="6">B9</f>
        <v>用途</v>
      </c>
      <c r="R9" s="1301" t="s">
        <v>5</v>
      </c>
      <c r="S9" s="1302">
        <f t="shared" si="0"/>
        <v>100</v>
      </c>
      <c r="T9" s="1301" t="s">
        <v>5</v>
      </c>
      <c r="U9" s="1302">
        <f t="shared" si="1"/>
        <v>100</v>
      </c>
      <c r="V9" s="1301" t="s">
        <v>5</v>
      </c>
      <c r="W9" s="1302">
        <f t="shared" si="2"/>
        <v>100</v>
      </c>
      <c r="X9" s="1303"/>
      <c r="Y9" s="3540" t="s">
        <v>483</v>
      </c>
      <c r="Z9" s="994" t="str">
        <f t="shared" ref="Z9:Z15" si="7">Q9</f>
        <v>用途</v>
      </c>
      <c r="AA9" s="994">
        <f t="shared" si="3"/>
        <v>1</v>
      </c>
      <c r="AB9" s="994">
        <f t="shared" si="4"/>
        <v>1</v>
      </c>
      <c r="AC9" s="994">
        <f t="shared" si="5"/>
        <v>1</v>
      </c>
    </row>
    <row r="10" spans="1:29" s="1130" customFormat="1" ht="27">
      <c r="A10" s="2210"/>
      <c r="B10" s="2215" t="s">
        <v>2037</v>
      </c>
      <c r="C10" s="3385"/>
      <c r="D10" s="235">
        <v>100</v>
      </c>
      <c r="E10" s="3385"/>
      <c r="F10" s="235">
        <f>SUMIF(65:65,E10,66:66)-SUMIF(65:65,C10,66:66)+100</f>
        <v>100</v>
      </c>
      <c r="G10" s="3386"/>
      <c r="H10" s="235">
        <f>SUMIF(65:65,G10,66:66)-SUMIF(65:65,C10,66:66)+100</f>
        <v>100</v>
      </c>
      <c r="I10" s="3385"/>
      <c r="J10" s="235">
        <f>SUMIF(65:65,I10,66:66)-SUMIF(65:65,C10,66:66)+100</f>
        <v>100</v>
      </c>
      <c r="K10" s="88"/>
      <c r="L10" s="1743"/>
      <c r="M10" s="1776"/>
      <c r="N10" s="1776"/>
      <c r="O10" s="1744"/>
      <c r="P10" s="3598"/>
      <c r="Q10" s="817"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1"/>
      <c r="B11" s="2215"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5"/>
      <c r="M11" s="1740"/>
      <c r="N11" s="1740"/>
      <c r="O11" s="1746"/>
      <c r="P11" s="3598"/>
      <c r="Q11" s="817" t="str">
        <f t="shared" si="6"/>
        <v>容积率</v>
      </c>
      <c r="R11" s="1301" t="s">
        <v>5</v>
      </c>
      <c r="S11" s="1302" t="e">
        <f t="shared" si="0"/>
        <v>#N/A</v>
      </c>
      <c r="T11" s="1301" t="s">
        <v>5</v>
      </c>
      <c r="U11" s="1302" t="e">
        <f t="shared" si="1"/>
        <v>#N/A</v>
      </c>
      <c r="V11" s="1301" t="s">
        <v>5</v>
      </c>
      <c r="W11" s="1302" t="e">
        <f t="shared" si="2"/>
        <v>#N/A</v>
      </c>
      <c r="X11" s="1303"/>
      <c r="Y11" s="3540"/>
      <c r="Z11" s="994" t="str">
        <f t="shared" si="7"/>
        <v>容积率</v>
      </c>
      <c r="AA11" s="994" t="e">
        <f t="shared" si="3"/>
        <v>#N/A</v>
      </c>
      <c r="AB11" s="994" t="e">
        <f t="shared" si="4"/>
        <v>#N/A</v>
      </c>
      <c r="AC11" s="994" t="e">
        <f t="shared" si="5"/>
        <v>#N/A</v>
      </c>
    </row>
    <row r="12" spans="1:29" s="1057" customFormat="1" ht="15">
      <c r="A12" s="2212"/>
      <c r="B12" s="2218">
        <v>111</v>
      </c>
      <c r="C12" s="478"/>
      <c r="D12" s="488">
        <v>100</v>
      </c>
      <c r="E12" s="489"/>
      <c r="F12" s="235">
        <f>SUMIF(70:70,E12,71:71)-SUMIF(70:70,C12,71:71)+100</f>
        <v>100</v>
      </c>
      <c r="G12" s="834"/>
      <c r="H12" s="235">
        <f>SUMIF(70:70,G12,71:71)-SUMIF(70:70,C12,71:71)+100</f>
        <v>100</v>
      </c>
      <c r="I12" s="489"/>
      <c r="J12" s="235">
        <f>SUMIF(70:70,I12,71:71)-SUMIF(70:70,C12,71:71)+100</f>
        <v>100</v>
      </c>
      <c r="K12" s="531"/>
      <c r="L12" s="1741"/>
      <c r="M12" s="1638"/>
      <c r="N12" s="1638"/>
      <c r="O12" s="1742"/>
      <c r="P12" s="3598"/>
      <c r="Q12" s="817">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
      <c r="A13" s="2212"/>
      <c r="B13" s="2218">
        <v>111</v>
      </c>
      <c r="C13" s="489"/>
      <c r="D13" s="490">
        <v>100</v>
      </c>
      <c r="E13" s="489"/>
      <c r="F13" s="235">
        <f>SUMIF(72:72,E13,73:73)-SUMIF(72:72,C13,73:73)+100</f>
        <v>100</v>
      </c>
      <c r="G13" s="834"/>
      <c r="H13" s="490">
        <f>SUMIF(72:72,G13,73:73)-SUMIF(72:72,C13,73:73)+100</f>
        <v>100</v>
      </c>
      <c r="I13" s="489"/>
      <c r="J13" s="490">
        <f>SUMIF(72:72,I13,73:73)-SUMIF(72:72,C13,73:73)+100</f>
        <v>100</v>
      </c>
      <c r="K13" s="531"/>
      <c r="L13" s="1747"/>
      <c r="M13" s="1740"/>
      <c r="N13" s="1740"/>
      <c r="O13" s="1746"/>
      <c r="P13" s="3598"/>
      <c r="Q13" s="817">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75" thickBot="1">
      <c r="A14" s="2213"/>
      <c r="B14" s="2219">
        <v>111</v>
      </c>
      <c r="C14" s="495"/>
      <c r="D14" s="496">
        <v>100</v>
      </c>
      <c r="E14" s="495"/>
      <c r="F14" s="496">
        <f>SUMIF(74:74,E14,75:75)-SUMIF(74:74,C14,75:75)+100</f>
        <v>100</v>
      </c>
      <c r="G14" s="834"/>
      <c r="H14" s="496">
        <f>SUMIF(74:74,G14,75:75)-SUMIF(74:74,C14,75:75)+100</f>
        <v>100</v>
      </c>
      <c r="I14" s="489"/>
      <c r="J14" s="496">
        <f>SUMIF(74:74,I14,75:75)-SUMIF(74:74,C14,75:75)+100</f>
        <v>100</v>
      </c>
      <c r="K14" s="531"/>
      <c r="L14" s="1747"/>
      <c r="M14" s="1740"/>
      <c r="N14" s="1740"/>
      <c r="O14" s="1746"/>
      <c r="P14" s="3598"/>
      <c r="Q14" s="817">
        <f t="shared" si="6"/>
        <v>111</v>
      </c>
      <c r="R14" s="1301" t="s">
        <v>5</v>
      </c>
      <c r="S14" s="1302">
        <f t="shared" si="0"/>
        <v>100</v>
      </c>
      <c r="T14" s="1301" t="s">
        <v>5</v>
      </c>
      <c r="U14" s="1302">
        <f t="shared" si="1"/>
        <v>100</v>
      </c>
      <c r="V14" s="1301" t="s">
        <v>5</v>
      </c>
      <c r="W14" s="1302">
        <f t="shared" si="2"/>
        <v>100</v>
      </c>
      <c r="X14" s="1303"/>
      <c r="Y14" s="3540"/>
      <c r="Z14" s="994">
        <f t="shared" si="7"/>
        <v>111</v>
      </c>
      <c r="AA14" s="994">
        <f t="shared" si="3"/>
        <v>1</v>
      </c>
      <c r="AB14" s="994">
        <f t="shared" si="4"/>
        <v>1</v>
      </c>
      <c r="AC14" s="994">
        <f t="shared" si="5"/>
        <v>1</v>
      </c>
    </row>
    <row r="15" spans="1:29" ht="15">
      <c r="A15" s="2205" t="s">
        <v>2034</v>
      </c>
      <c r="B15" s="150" t="s">
        <v>488</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7"/>
      <c r="M15" s="1740"/>
      <c r="N15" s="1740"/>
      <c r="O15" s="1746"/>
      <c r="P15" s="3631" t="s">
        <v>487</v>
      </c>
      <c r="Q15" s="1304" t="str">
        <f t="shared" si="6"/>
        <v>商业繁华度</v>
      </c>
      <c r="R15" s="1305" t="s">
        <v>5</v>
      </c>
      <c r="S15" s="1306">
        <f t="shared" si="0"/>
        <v>100</v>
      </c>
      <c r="T15" s="1305" t="s">
        <v>5</v>
      </c>
      <c r="U15" s="1306">
        <f t="shared" si="1"/>
        <v>100</v>
      </c>
      <c r="V15" s="1305" t="s">
        <v>5</v>
      </c>
      <c r="W15" s="1306">
        <f t="shared" si="2"/>
        <v>100</v>
      </c>
      <c r="X15" s="1300"/>
      <c r="Y15" s="3631" t="s">
        <v>487</v>
      </c>
      <c r="Z15" s="1307" t="str">
        <f t="shared" si="7"/>
        <v>商业繁华度</v>
      </c>
      <c r="AA15" s="1307">
        <f t="shared" si="3"/>
        <v>1</v>
      </c>
      <c r="AB15" s="1307">
        <f t="shared" si="4"/>
        <v>1</v>
      </c>
      <c r="AC15" s="1307">
        <f t="shared" si="5"/>
        <v>1</v>
      </c>
    </row>
    <row r="16" spans="1:29" ht="15">
      <c r="A16" s="482"/>
      <c r="B16" s="799"/>
      <c r="C16" s="526"/>
      <c r="D16" s="505"/>
      <c r="E16" s="526"/>
      <c r="F16" s="507"/>
      <c r="G16" s="526"/>
      <c r="H16" s="509"/>
      <c r="I16" s="526"/>
      <c r="J16" s="505"/>
      <c r="K16" s="822"/>
      <c r="L16" s="1747"/>
      <c r="M16" s="1740"/>
      <c r="N16" s="1740"/>
      <c r="O16" s="1746"/>
      <c r="P16" s="3632"/>
      <c r="Q16" s="1304"/>
      <c r="R16" s="1305"/>
      <c r="S16" s="1306"/>
      <c r="T16" s="1305"/>
      <c r="U16" s="1306"/>
      <c r="V16" s="1305"/>
      <c r="W16" s="1306"/>
      <c r="X16" s="1300"/>
      <c r="Y16" s="3632"/>
      <c r="Z16" s="1307"/>
      <c r="AA16" s="1307">
        <v>1</v>
      </c>
      <c r="AB16" s="1307">
        <v>1</v>
      </c>
      <c r="AC16" s="1307">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7"/>
      <c r="M17" s="1740"/>
      <c r="N17" s="1740"/>
      <c r="O17" s="1746"/>
      <c r="P17" s="3632"/>
      <c r="Q17" s="1304" t="str">
        <f>B17</f>
        <v>交通便捷度</v>
      </c>
      <c r="R17" s="1305" t="s">
        <v>5</v>
      </c>
      <c r="S17" s="1306">
        <f>F17</f>
        <v>100</v>
      </c>
      <c r="T17" s="1305" t="s">
        <v>5</v>
      </c>
      <c r="U17" s="1306">
        <f>H17</f>
        <v>100</v>
      </c>
      <c r="V17" s="1305" t="s">
        <v>5</v>
      </c>
      <c r="W17" s="1306">
        <f>J17</f>
        <v>100</v>
      </c>
      <c r="X17" s="1300"/>
      <c r="Y17" s="3632"/>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7"/>
      <c r="M18" s="1740"/>
      <c r="N18" s="1740"/>
      <c r="O18" s="1746"/>
      <c r="P18" s="3632"/>
      <c r="Q18" s="1304"/>
      <c r="R18" s="1305"/>
      <c r="S18" s="1306"/>
      <c r="T18" s="1305"/>
      <c r="U18" s="1306"/>
      <c r="V18" s="1305"/>
      <c r="W18" s="1306"/>
      <c r="X18" s="1300"/>
      <c r="Y18" s="3632"/>
      <c r="Z18" s="1307"/>
      <c r="AA18" s="1307">
        <v>1</v>
      </c>
      <c r="AB18" s="1307">
        <v>1</v>
      </c>
      <c r="AC18" s="1307">
        <v>1</v>
      </c>
    </row>
    <row r="19" spans="1:29" ht="15">
      <c r="A19" s="482"/>
      <c r="B19" s="2057" t="s">
        <v>1827</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7"/>
      <c r="M19" s="1740"/>
      <c r="N19" s="1740"/>
      <c r="O19" s="1746"/>
      <c r="P19" s="3632"/>
      <c r="Q19" s="1304" t="str">
        <f>B19</f>
        <v>公共配套设施</v>
      </c>
      <c r="R19" s="1305" t="s">
        <v>5</v>
      </c>
      <c r="S19" s="1306">
        <f>F19</f>
        <v>100</v>
      </c>
      <c r="T19" s="1305" t="s">
        <v>5</v>
      </c>
      <c r="U19" s="1306">
        <f>H19</f>
        <v>100</v>
      </c>
      <c r="V19" s="1305" t="s">
        <v>5</v>
      </c>
      <c r="W19" s="1306">
        <f>J19</f>
        <v>100</v>
      </c>
      <c r="X19" s="1300"/>
      <c r="Y19" s="3632"/>
      <c r="Z19" s="1307" t="str">
        <f>Q19</f>
        <v>公共配套设施</v>
      </c>
      <c r="AA19" s="1307">
        <f t="shared" si="3"/>
        <v>1</v>
      </c>
      <c r="AB19" s="1307">
        <f t="shared" si="4"/>
        <v>1</v>
      </c>
      <c r="AC19" s="1307">
        <f t="shared" si="5"/>
        <v>1</v>
      </c>
    </row>
    <row r="20" spans="1:29" ht="15">
      <c r="A20" s="482"/>
      <c r="B20" s="544"/>
      <c r="C20" s="526"/>
      <c r="D20" s="505"/>
      <c r="E20" s="506"/>
      <c r="F20" s="507"/>
      <c r="G20" s="508"/>
      <c r="H20" s="505"/>
      <c r="I20" s="506"/>
      <c r="J20" s="505"/>
      <c r="K20" s="822"/>
      <c r="L20" s="1747"/>
      <c r="M20" s="1740"/>
      <c r="N20" s="1740"/>
      <c r="O20" s="1746"/>
      <c r="P20" s="3632"/>
      <c r="Q20" s="1304"/>
      <c r="R20" s="1305"/>
      <c r="S20" s="1306"/>
      <c r="T20" s="1305"/>
      <c r="U20" s="1306"/>
      <c r="V20" s="1305"/>
      <c r="W20" s="1306"/>
      <c r="X20" s="1300"/>
      <c r="Y20" s="3632"/>
      <c r="Z20" s="1307"/>
      <c r="AA20" s="1307">
        <v>1</v>
      </c>
      <c r="AB20" s="1307">
        <v>1</v>
      </c>
      <c r="AC20" s="1307">
        <v>1</v>
      </c>
    </row>
    <row r="21" spans="1:29" ht="15">
      <c r="A21" s="482"/>
      <c r="B21" s="2050" t="s">
        <v>1839</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7"/>
      <c r="M21" s="1740"/>
      <c r="N21" s="1740"/>
      <c r="O21" s="1746"/>
      <c r="P21" s="3632"/>
      <c r="Q21" s="1304" t="str">
        <f>B21</f>
        <v>基础设施水平</v>
      </c>
      <c r="R21" s="1305" t="s">
        <v>5</v>
      </c>
      <c r="S21" s="1306">
        <f>F21</f>
        <v>100</v>
      </c>
      <c r="T21" s="1305" t="s">
        <v>5</v>
      </c>
      <c r="U21" s="1306">
        <f>H21</f>
        <v>100</v>
      </c>
      <c r="V21" s="1305" t="s">
        <v>5</v>
      </c>
      <c r="W21" s="1306">
        <f>J21</f>
        <v>100</v>
      </c>
      <c r="X21" s="1300"/>
      <c r="Y21" s="3632"/>
      <c r="Z21" s="1307" t="str">
        <f>Q21</f>
        <v>基础设施水平</v>
      </c>
      <c r="AA21" s="1307">
        <f>D21/F21</f>
        <v>1</v>
      </c>
      <c r="AB21" s="1307">
        <f>D21/H21</f>
        <v>1</v>
      </c>
      <c r="AC21" s="1307">
        <f>D21/J21</f>
        <v>1</v>
      </c>
    </row>
    <row r="22" spans="1:29" ht="15">
      <c r="A22" s="482"/>
      <c r="B22" s="843"/>
      <c r="C22" s="802"/>
      <c r="D22" s="505"/>
      <c r="E22" s="526"/>
      <c r="F22" s="507"/>
      <c r="G22" s="526"/>
      <c r="H22" s="505"/>
      <c r="I22" s="526"/>
      <c r="J22" s="505"/>
      <c r="K22" s="2059"/>
      <c r="L22" s="1747"/>
      <c r="M22" s="1740"/>
      <c r="N22" s="1740"/>
      <c r="O22" s="1746"/>
      <c r="P22" s="3632"/>
      <c r="Q22" s="1304"/>
      <c r="R22" s="1305"/>
      <c r="S22" s="1306"/>
      <c r="T22" s="1305"/>
      <c r="U22" s="1306"/>
      <c r="V22" s="1305"/>
      <c r="W22" s="1306"/>
      <c r="X22" s="1300"/>
      <c r="Y22" s="3632"/>
      <c r="Z22" s="1307"/>
      <c r="AA22" s="1307">
        <v>1</v>
      </c>
      <c r="AB22" s="1307">
        <v>1</v>
      </c>
      <c r="AC22" s="1307">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7"/>
      <c r="M23" s="1740"/>
      <c r="N23" s="1740"/>
      <c r="O23" s="1746"/>
      <c r="P23" s="3632"/>
      <c r="Q23" s="1304" t="str">
        <f>B23</f>
        <v>自然及人文环境</v>
      </c>
      <c r="R23" s="1305" t="s">
        <v>5</v>
      </c>
      <c r="S23" s="1306">
        <f>F23</f>
        <v>100</v>
      </c>
      <c r="T23" s="1305" t="s">
        <v>5</v>
      </c>
      <c r="U23" s="1306">
        <f>H23</f>
        <v>100</v>
      </c>
      <c r="V23" s="1305" t="s">
        <v>5</v>
      </c>
      <c r="W23" s="1306">
        <f>J23</f>
        <v>100</v>
      </c>
      <c r="X23" s="1300"/>
      <c r="Y23" s="3632"/>
      <c r="Z23" s="1307" t="str">
        <f>Q23</f>
        <v>自然及人文环境</v>
      </c>
      <c r="AA23" s="1307">
        <f t="shared" si="3"/>
        <v>1</v>
      </c>
      <c r="AB23" s="1307">
        <f t="shared" si="4"/>
        <v>1</v>
      </c>
      <c r="AC23" s="1307">
        <f t="shared" si="5"/>
        <v>1</v>
      </c>
    </row>
    <row r="24" spans="1:29" ht="15">
      <c r="A24" s="482"/>
      <c r="B24" s="544"/>
      <c r="C24" s="526"/>
      <c r="D24" s="505"/>
      <c r="E24" s="506"/>
      <c r="F24" s="507"/>
      <c r="G24" s="508"/>
      <c r="H24" s="505"/>
      <c r="I24" s="506"/>
      <c r="J24" s="505"/>
      <c r="K24" s="822"/>
      <c r="L24" s="1747"/>
      <c r="M24" s="1740"/>
      <c r="N24" s="1740"/>
      <c r="O24" s="1746"/>
      <c r="P24" s="3632"/>
      <c r="Q24" s="1304"/>
      <c r="R24" s="1305"/>
      <c r="S24" s="1306"/>
      <c r="T24" s="1305"/>
      <c r="U24" s="1306"/>
      <c r="V24" s="1305"/>
      <c r="W24" s="1306"/>
      <c r="X24" s="1300"/>
      <c r="Y24" s="3632"/>
      <c r="Z24" s="1307"/>
      <c r="AA24" s="1307">
        <v>1</v>
      </c>
      <c r="AB24" s="1307">
        <v>1</v>
      </c>
      <c r="AC24" s="1307">
        <v>1</v>
      </c>
    </row>
    <row r="25" spans="1:29" ht="15">
      <c r="A25" s="482"/>
      <c r="B25" s="477" t="s">
        <v>494</v>
      </c>
      <c r="C25" s="532"/>
      <c r="D25" s="490">
        <v>100</v>
      </c>
      <c r="E25" s="532"/>
      <c r="F25" s="525">
        <f>SUMIF(86:86,E25,87:87)-SUMIF(86:86,C25,87:87)+100</f>
        <v>100</v>
      </c>
      <c r="G25" s="532"/>
      <c r="H25" s="490">
        <f>SUMIF(86:86,G25,87:87)-SUMIF(86:86,C25,87:87)+100</f>
        <v>100</v>
      </c>
      <c r="I25" s="532"/>
      <c r="J25" s="490">
        <f>SUMIF(86:86,I25,87:87)-SUMIF(86:86,C25,87:87)+100</f>
        <v>100</v>
      </c>
      <c r="K25" s="533"/>
      <c r="L25" s="1747"/>
      <c r="M25" s="1740"/>
      <c r="N25" s="1740"/>
      <c r="O25" s="1746"/>
      <c r="P25" s="3632"/>
      <c r="Q25" s="1304" t="str">
        <f t="shared" ref="Q25:Q46" si="8">B25</f>
        <v>临街状况</v>
      </c>
      <c r="R25" s="1305" t="s">
        <v>5</v>
      </c>
      <c r="S25" s="1306">
        <f>F25</f>
        <v>100</v>
      </c>
      <c r="T25" s="1305" t="s">
        <v>5</v>
      </c>
      <c r="U25" s="1306">
        <f>H25</f>
        <v>100</v>
      </c>
      <c r="V25" s="1305" t="s">
        <v>5</v>
      </c>
      <c r="W25" s="1306">
        <f>J25</f>
        <v>100</v>
      </c>
      <c r="X25" s="1300"/>
      <c r="Y25" s="3632"/>
      <c r="Z25" s="1307" t="str">
        <f>Q25</f>
        <v>临街状况</v>
      </c>
      <c r="AA25" s="1307">
        <f t="shared" si="3"/>
        <v>1</v>
      </c>
      <c r="AB25" s="1307">
        <f t="shared" si="4"/>
        <v>1</v>
      </c>
      <c r="AC25" s="1307">
        <f t="shared" si="5"/>
        <v>1</v>
      </c>
    </row>
    <row r="26" spans="1:29" ht="15">
      <c r="A26" s="482"/>
      <c r="B26" s="91" t="s">
        <v>696</v>
      </c>
      <c r="C26" s="489"/>
      <c r="D26" s="490">
        <v>100</v>
      </c>
      <c r="E26" s="489"/>
      <c r="F26" s="525">
        <f>SUMIF(88:88,E26,89:89)-SUMIF(88:88,C26,89:89)+100</f>
        <v>100</v>
      </c>
      <c r="G26" s="489"/>
      <c r="H26" s="490">
        <f>SUMIF(88:88,G26,89:89)-SUMIF(88:88,C26,89:89)+100</f>
        <v>100</v>
      </c>
      <c r="I26" s="489"/>
      <c r="J26" s="490">
        <f>SUMIF(88:88,I26,89:89)-SUMIF(88:88,C26,89:89)+100</f>
        <v>100</v>
      </c>
      <c r="K26" s="531"/>
      <c r="L26" s="1747"/>
      <c r="M26" s="1740"/>
      <c r="N26" s="1740"/>
      <c r="O26" s="1746"/>
      <c r="P26" s="3632"/>
      <c r="Q26" s="1304" t="str">
        <f t="shared" si="8"/>
        <v>平面位置/可视性</v>
      </c>
      <c r="R26" s="1305" t="s">
        <v>5</v>
      </c>
      <c r="S26" s="1306">
        <f>F26</f>
        <v>100</v>
      </c>
      <c r="T26" s="1305" t="s">
        <v>5</v>
      </c>
      <c r="U26" s="1306">
        <f>H26</f>
        <v>100</v>
      </c>
      <c r="V26" s="1305" t="s">
        <v>5</v>
      </c>
      <c r="W26" s="1306">
        <f>J26</f>
        <v>100</v>
      </c>
      <c r="X26" s="1300"/>
      <c r="Y26" s="3632"/>
      <c r="Z26" s="1307" t="str">
        <f>Q26</f>
        <v>平面位置/可视性</v>
      </c>
      <c r="AA26" s="1307">
        <f t="shared" si="3"/>
        <v>1</v>
      </c>
      <c r="AB26" s="1307">
        <f t="shared" si="4"/>
        <v>1</v>
      </c>
      <c r="AC26" s="1307">
        <f t="shared" si="5"/>
        <v>1</v>
      </c>
    </row>
    <row r="27" spans="1:29" s="1057" customFormat="1" ht="15">
      <c r="A27" s="486"/>
      <c r="B27" s="677" t="s">
        <v>697</v>
      </c>
      <c r="C27" s="824"/>
      <c r="D27" s="516">
        <v>100</v>
      </c>
      <c r="E27" s="824"/>
      <c r="F27" s="544">
        <f>SUMIF(90:90,E27,91:91)-SUMIF(90:90,C27,91:91)+100</f>
        <v>100</v>
      </c>
      <c r="G27" s="824"/>
      <c r="H27" s="516">
        <f>SUMIF(90:90,G27,91:91)-SUMIF(90:90,C27,91:91)+100</f>
        <v>100</v>
      </c>
      <c r="I27" s="824"/>
      <c r="J27" s="516">
        <f>SUMIF(90:90,I27,91:91)-SUMIF(90:90,C27,91:91)+100</f>
        <v>100</v>
      </c>
      <c r="K27" s="533"/>
      <c r="L27" s="1741"/>
      <c r="M27" s="1638"/>
      <c r="N27" s="1638"/>
      <c r="O27" s="1742"/>
      <c r="P27" s="3632"/>
      <c r="Q27" s="817" t="str">
        <f t="shared" si="8"/>
        <v>人流量</v>
      </c>
      <c r="R27" s="1301" t="s">
        <v>5</v>
      </c>
      <c r="S27" s="1302">
        <f>F27</f>
        <v>100</v>
      </c>
      <c r="T27" s="1301" t="s">
        <v>5</v>
      </c>
      <c r="U27" s="1302">
        <f>H27</f>
        <v>100</v>
      </c>
      <c r="V27" s="1301" t="s">
        <v>5</v>
      </c>
      <c r="W27" s="1302">
        <f>J27</f>
        <v>100</v>
      </c>
      <c r="X27" s="1303"/>
      <c r="Y27" s="3632"/>
      <c r="Z27" s="994" t="str">
        <f>Q27</f>
        <v>人流量</v>
      </c>
      <c r="AA27" s="1307">
        <f>D27/F27</f>
        <v>1</v>
      </c>
      <c r="AB27" s="1307">
        <f>D27/H27</f>
        <v>1</v>
      </c>
      <c r="AC27" s="1307">
        <f>D27/J27</f>
        <v>1</v>
      </c>
    </row>
    <row r="28" spans="1:29" ht="15">
      <c r="A28" s="482"/>
      <c r="B28" s="477" t="s">
        <v>699</v>
      </c>
      <c r="C28" s="532"/>
      <c r="D28" s="490">
        <v>100</v>
      </c>
      <c r="E28" s="532"/>
      <c r="F28" s="525">
        <f>SUMIF(92:92,E28,93:93)-SUMIF(92:92,C28,93:93)+100</f>
        <v>100</v>
      </c>
      <c r="G28" s="532"/>
      <c r="H28" s="490">
        <f>SUMIF(92:92,G28,93:93)-SUMIF(92:92,C28,93:93)+100</f>
        <v>100</v>
      </c>
      <c r="I28" s="532"/>
      <c r="J28" s="490">
        <f>SUMIF(92:92,I28,93:93)-SUMIF(92:92,C28,93:93)+100</f>
        <v>100</v>
      </c>
      <c r="K28" s="531"/>
      <c r="L28" s="1747"/>
      <c r="M28" s="1740"/>
      <c r="N28" s="1740"/>
      <c r="O28" s="1746"/>
      <c r="P28" s="3632"/>
      <c r="Q28" s="1304" t="str">
        <f t="shared" si="8"/>
        <v>楼层</v>
      </c>
      <c r="R28" s="1305" t="s">
        <v>5</v>
      </c>
      <c r="S28" s="1306">
        <f t="shared" ref="S28:S46" si="9">F28</f>
        <v>100</v>
      </c>
      <c r="T28" s="1305" t="s">
        <v>5</v>
      </c>
      <c r="U28" s="1306">
        <f t="shared" ref="U28:U46" si="10">H28</f>
        <v>100</v>
      </c>
      <c r="V28" s="1305" t="s">
        <v>5</v>
      </c>
      <c r="W28" s="1306">
        <f t="shared" ref="W28:W46" si="11">J28</f>
        <v>100</v>
      </c>
      <c r="X28" s="1300"/>
      <c r="Y28" s="3632"/>
      <c r="Z28" s="1307" t="str">
        <f t="shared" ref="Z28:Z46" si="12">Q28</f>
        <v>楼层</v>
      </c>
      <c r="AA28" s="1307">
        <f t="shared" si="3"/>
        <v>1</v>
      </c>
      <c r="AB28" s="1307">
        <f t="shared" si="4"/>
        <v>1</v>
      </c>
      <c r="AC28" s="1307">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7"/>
      <c r="M29" s="1740"/>
      <c r="N29" s="1740"/>
      <c r="O29" s="1746"/>
      <c r="P29" s="3632"/>
      <c r="Q29" s="1304">
        <f t="shared" si="8"/>
        <v>111</v>
      </c>
      <c r="R29" s="1305" t="s">
        <v>5</v>
      </c>
      <c r="S29" s="1306">
        <f t="shared" si="9"/>
        <v>100</v>
      </c>
      <c r="T29" s="1305" t="s">
        <v>5</v>
      </c>
      <c r="U29" s="1306">
        <f t="shared" si="10"/>
        <v>100</v>
      </c>
      <c r="V29" s="1305" t="s">
        <v>5</v>
      </c>
      <c r="W29" s="1306">
        <f t="shared" si="11"/>
        <v>100</v>
      </c>
      <c r="X29" s="1300"/>
      <c r="Y29" s="3632"/>
      <c r="Z29" s="1307">
        <f t="shared" si="12"/>
        <v>111</v>
      </c>
      <c r="AA29" s="1307">
        <f t="shared" si="3"/>
        <v>1</v>
      </c>
      <c r="AB29" s="1307">
        <f t="shared" si="4"/>
        <v>1</v>
      </c>
      <c r="AC29" s="1307">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7"/>
      <c r="M30" s="1740"/>
      <c r="N30" s="1740"/>
      <c r="O30" s="1746"/>
      <c r="P30" s="3632"/>
      <c r="Q30" s="1304">
        <f t="shared" si="8"/>
        <v>111</v>
      </c>
      <c r="R30" s="1305" t="s">
        <v>5</v>
      </c>
      <c r="S30" s="1306">
        <f t="shared" si="9"/>
        <v>100</v>
      </c>
      <c r="T30" s="1305" t="s">
        <v>5</v>
      </c>
      <c r="U30" s="1306">
        <f t="shared" si="10"/>
        <v>100</v>
      </c>
      <c r="V30" s="1305" t="s">
        <v>5</v>
      </c>
      <c r="W30" s="1306">
        <f t="shared" si="11"/>
        <v>100</v>
      </c>
      <c r="X30" s="1300"/>
      <c r="Y30" s="3632"/>
      <c r="Z30" s="1307">
        <f t="shared" si="12"/>
        <v>111</v>
      </c>
      <c r="AA30" s="1307">
        <f t="shared" si="3"/>
        <v>1</v>
      </c>
      <c r="AB30" s="1307">
        <f t="shared" si="4"/>
        <v>1</v>
      </c>
      <c r="AC30" s="1307">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7"/>
      <c r="M31" s="1740"/>
      <c r="N31" s="1740"/>
      <c r="O31" s="1746"/>
      <c r="P31" s="3632"/>
      <c r="Q31" s="1304">
        <f t="shared" si="8"/>
        <v>111</v>
      </c>
      <c r="R31" s="1305" t="s">
        <v>5</v>
      </c>
      <c r="S31" s="1306">
        <f t="shared" si="9"/>
        <v>100</v>
      </c>
      <c r="T31" s="1305" t="s">
        <v>5</v>
      </c>
      <c r="U31" s="1306">
        <f t="shared" si="10"/>
        <v>100</v>
      </c>
      <c r="V31" s="1305" t="s">
        <v>5</v>
      </c>
      <c r="W31" s="1306">
        <f t="shared" si="11"/>
        <v>100</v>
      </c>
      <c r="X31" s="1300"/>
      <c r="Y31" s="3632"/>
      <c r="Z31" s="1307">
        <f t="shared" si="12"/>
        <v>111</v>
      </c>
      <c r="AA31" s="1307">
        <f t="shared" si="3"/>
        <v>1</v>
      </c>
      <c r="AB31" s="1307">
        <f t="shared" si="4"/>
        <v>1</v>
      </c>
      <c r="AC31" s="1307">
        <f t="shared" si="5"/>
        <v>1</v>
      </c>
    </row>
    <row r="32" spans="1:29" ht="15">
      <c r="A32" s="2202" t="s">
        <v>2035</v>
      </c>
      <c r="B32" s="156" t="s">
        <v>700</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7"/>
      <c r="M32" s="1740"/>
      <c r="N32" s="1740"/>
      <c r="O32" s="1746"/>
      <c r="P32" s="3633" t="s">
        <v>497</v>
      </c>
      <c r="Q32" s="1304" t="str">
        <f t="shared" si="8"/>
        <v>商业类型</v>
      </c>
      <c r="R32" s="1305" t="s">
        <v>5</v>
      </c>
      <c r="S32" s="1306">
        <f t="shared" si="9"/>
        <v>100</v>
      </c>
      <c r="T32" s="1305" t="s">
        <v>5</v>
      </c>
      <c r="U32" s="1306">
        <f t="shared" si="10"/>
        <v>100</v>
      </c>
      <c r="V32" s="1305" t="s">
        <v>5</v>
      </c>
      <c r="W32" s="1306">
        <f t="shared" si="11"/>
        <v>100</v>
      </c>
      <c r="X32" s="1300"/>
      <c r="Y32" s="3634" t="s">
        <v>497</v>
      </c>
      <c r="Z32" s="1307" t="str">
        <f t="shared" si="12"/>
        <v>商业类型</v>
      </c>
      <c r="AA32" s="1307">
        <f t="shared" si="3"/>
        <v>1</v>
      </c>
      <c r="AB32" s="1307">
        <f t="shared" si="4"/>
        <v>1</v>
      </c>
      <c r="AC32" s="1307">
        <f t="shared" si="5"/>
        <v>1</v>
      </c>
    </row>
    <row r="33" spans="1:29" s="1131" customFormat="1" ht="15">
      <c r="A33" s="552"/>
      <c r="B33" s="477" t="s">
        <v>671</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5"/>
      <c r="M33" s="1769"/>
      <c r="N33" s="1769"/>
      <c r="O33" s="1748"/>
      <c r="P33" s="3634"/>
      <c r="Q33" s="818" t="str">
        <f t="shared" si="8"/>
        <v>项目建筑规模</v>
      </c>
      <c r="R33" s="1308" t="s">
        <v>5</v>
      </c>
      <c r="S33" s="1309" t="e">
        <f t="shared" si="9"/>
        <v>#N/A</v>
      </c>
      <c r="T33" s="1308" t="s">
        <v>5</v>
      </c>
      <c r="U33" s="1309" t="e">
        <f t="shared" si="10"/>
        <v>#N/A</v>
      </c>
      <c r="V33" s="1308" t="s">
        <v>5</v>
      </c>
      <c r="W33" s="1309" t="e">
        <f t="shared" si="11"/>
        <v>#N/A</v>
      </c>
      <c r="X33" s="1310"/>
      <c r="Y33" s="3634"/>
      <c r="Z33" s="1311" t="str">
        <f t="shared" si="12"/>
        <v>项目建筑规模</v>
      </c>
      <c r="AA33" s="1307" t="e">
        <f t="shared" si="3"/>
        <v>#N/A</v>
      </c>
      <c r="AB33" s="1307" t="e">
        <f t="shared" si="4"/>
        <v>#N/A</v>
      </c>
      <c r="AC33" s="1307" t="e">
        <f t="shared" si="5"/>
        <v>#N/A</v>
      </c>
    </row>
    <row r="34" spans="1:29" ht="15">
      <c r="A34" s="543"/>
      <c r="B34" s="477" t="s">
        <v>672</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7"/>
      <c r="M34" s="1740"/>
      <c r="N34" s="1740"/>
      <c r="O34" s="1746"/>
      <c r="P34" s="3634"/>
      <c r="Q34" s="1304" t="str">
        <f t="shared" si="8"/>
        <v>建筑结构</v>
      </c>
      <c r="R34" s="1305" t="s">
        <v>5</v>
      </c>
      <c r="S34" s="1306">
        <f t="shared" si="9"/>
        <v>100</v>
      </c>
      <c r="T34" s="1305" t="s">
        <v>5</v>
      </c>
      <c r="U34" s="1306">
        <f t="shared" si="10"/>
        <v>100</v>
      </c>
      <c r="V34" s="1305" t="s">
        <v>5</v>
      </c>
      <c r="W34" s="1306">
        <f t="shared" si="11"/>
        <v>100</v>
      </c>
      <c r="X34" s="1300"/>
      <c r="Y34" s="3634"/>
      <c r="Z34" s="1307" t="str">
        <f t="shared" si="12"/>
        <v>建筑结构</v>
      </c>
      <c r="AA34" s="1307">
        <f t="shared" si="3"/>
        <v>1</v>
      </c>
      <c r="AB34" s="1307">
        <f t="shared" si="4"/>
        <v>1</v>
      </c>
      <c r="AC34" s="1307">
        <f t="shared" si="5"/>
        <v>1</v>
      </c>
    </row>
    <row r="35" spans="1:29" ht="15">
      <c r="A35" s="543"/>
      <c r="B35" s="477" t="s">
        <v>701</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7"/>
      <c r="M35" s="1740"/>
      <c r="N35" s="1740"/>
      <c r="O35" s="1746"/>
      <c r="P35" s="3634"/>
      <c r="Q35" s="1304" t="str">
        <f t="shared" si="8"/>
        <v>公共部分装修</v>
      </c>
      <c r="R35" s="1305" t="s">
        <v>5</v>
      </c>
      <c r="S35" s="1306">
        <f t="shared" si="9"/>
        <v>100</v>
      </c>
      <c r="T35" s="1305" t="s">
        <v>5</v>
      </c>
      <c r="U35" s="1306">
        <f t="shared" si="10"/>
        <v>100</v>
      </c>
      <c r="V35" s="1305" t="s">
        <v>5</v>
      </c>
      <c r="W35" s="1306">
        <f t="shared" si="11"/>
        <v>100</v>
      </c>
      <c r="X35" s="1300"/>
      <c r="Y35" s="3634"/>
      <c r="Z35" s="1307" t="str">
        <f t="shared" si="12"/>
        <v>公共部分装修</v>
      </c>
      <c r="AA35" s="1307">
        <f t="shared" si="3"/>
        <v>1</v>
      </c>
      <c r="AB35" s="1307">
        <f t="shared" si="4"/>
        <v>1</v>
      </c>
      <c r="AC35" s="1307">
        <f t="shared" si="5"/>
        <v>1</v>
      </c>
    </row>
    <row r="36" spans="1:29" ht="15">
      <c r="A36" s="543"/>
      <c r="B36" s="477" t="s">
        <v>702</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7"/>
      <c r="M36" s="1740"/>
      <c r="N36" s="1740"/>
      <c r="O36" s="1746"/>
      <c r="P36" s="3634"/>
      <c r="Q36" s="1304" t="str">
        <f t="shared" si="8"/>
        <v>成新度</v>
      </c>
      <c r="R36" s="1305" t="s">
        <v>5</v>
      </c>
      <c r="S36" s="1306" t="e">
        <f t="shared" si="9"/>
        <v>#N/A</v>
      </c>
      <c r="T36" s="1305" t="s">
        <v>5</v>
      </c>
      <c r="U36" s="1306" t="e">
        <f t="shared" si="10"/>
        <v>#N/A</v>
      </c>
      <c r="V36" s="1305" t="s">
        <v>5</v>
      </c>
      <c r="W36" s="1306" t="e">
        <f t="shared" si="11"/>
        <v>#N/A</v>
      </c>
      <c r="X36" s="1300"/>
      <c r="Y36" s="3634"/>
      <c r="Z36" s="1307" t="str">
        <f t="shared" si="12"/>
        <v>成新度</v>
      </c>
      <c r="AA36" s="1307" t="e">
        <f t="shared" si="3"/>
        <v>#N/A</v>
      </c>
      <c r="AB36" s="1307" t="e">
        <f t="shared" si="4"/>
        <v>#N/A</v>
      </c>
      <c r="AC36" s="1307" t="e">
        <f t="shared" si="5"/>
        <v>#N/A</v>
      </c>
    </row>
    <row r="37" spans="1:29" s="1057" customFormat="1" ht="15">
      <c r="A37" s="549"/>
      <c r="B37" s="1552"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1"/>
      <c r="M37" s="1638"/>
      <c r="N37" s="1638"/>
      <c r="O37" s="1742"/>
      <c r="P37" s="3634"/>
      <c r="Q37" s="817" t="str">
        <f t="shared" si="8"/>
        <v>市政基础设施</v>
      </c>
      <c r="R37" s="1301" t="s">
        <v>5</v>
      </c>
      <c r="S37" s="1302">
        <f t="shared" si="9"/>
        <v>100</v>
      </c>
      <c r="T37" s="1301" t="s">
        <v>5</v>
      </c>
      <c r="U37" s="1302">
        <f t="shared" si="10"/>
        <v>100</v>
      </c>
      <c r="V37" s="1301" t="s">
        <v>5</v>
      </c>
      <c r="W37" s="1302">
        <f t="shared" si="11"/>
        <v>100</v>
      </c>
      <c r="X37" s="1303"/>
      <c r="Y37" s="3634"/>
      <c r="Z37" s="994" t="str">
        <f t="shared" si="12"/>
        <v>市政基础设施</v>
      </c>
      <c r="AA37" s="994">
        <f t="shared" si="3"/>
        <v>1</v>
      </c>
      <c r="AB37" s="994">
        <f t="shared" si="4"/>
        <v>1</v>
      </c>
      <c r="AC37" s="994">
        <f t="shared" si="5"/>
        <v>1</v>
      </c>
    </row>
    <row r="38" spans="1:29" ht="15">
      <c r="A38" s="543"/>
      <c r="B38" s="477" t="s">
        <v>703</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7"/>
      <c r="M38" s="1740"/>
      <c r="N38" s="1740"/>
      <c r="O38" s="1746"/>
      <c r="P38" s="3634" t="s">
        <v>704</v>
      </c>
      <c r="Q38" s="1304" t="str">
        <f t="shared" si="8"/>
        <v>业态</v>
      </c>
      <c r="R38" s="1305" t="s">
        <v>5</v>
      </c>
      <c r="S38" s="1306">
        <f t="shared" si="9"/>
        <v>100</v>
      </c>
      <c r="T38" s="1305" t="s">
        <v>5</v>
      </c>
      <c r="U38" s="1306">
        <f t="shared" si="10"/>
        <v>100</v>
      </c>
      <c r="V38" s="1305" t="s">
        <v>5</v>
      </c>
      <c r="W38" s="1306">
        <f t="shared" si="11"/>
        <v>100</v>
      </c>
      <c r="X38" s="1300"/>
      <c r="Y38" s="3634" t="s">
        <v>704</v>
      </c>
      <c r="Z38" s="1307" t="str">
        <f t="shared" si="12"/>
        <v>业态</v>
      </c>
      <c r="AA38" s="1307">
        <f t="shared" si="3"/>
        <v>1</v>
      </c>
      <c r="AB38" s="1307">
        <f t="shared" si="4"/>
        <v>1</v>
      </c>
      <c r="AC38" s="1307">
        <f t="shared" si="5"/>
        <v>1</v>
      </c>
    </row>
    <row r="39" spans="1:29" ht="15">
      <c r="A39" s="543"/>
      <c r="B39" s="477" t="s">
        <v>705</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7"/>
      <c r="M39" s="1740"/>
      <c r="N39" s="1740"/>
      <c r="O39" s="1746"/>
      <c r="P39" s="3634"/>
      <c r="Q39" s="1304" t="str">
        <f t="shared" si="8"/>
        <v>层高</v>
      </c>
      <c r="R39" s="1305" t="s">
        <v>5</v>
      </c>
      <c r="S39" s="1306">
        <f t="shared" si="9"/>
        <v>100</v>
      </c>
      <c r="T39" s="1305" t="s">
        <v>5</v>
      </c>
      <c r="U39" s="1306">
        <f t="shared" si="10"/>
        <v>100</v>
      </c>
      <c r="V39" s="1305" t="s">
        <v>5</v>
      </c>
      <c r="W39" s="1306">
        <f t="shared" si="11"/>
        <v>100</v>
      </c>
      <c r="X39" s="1300"/>
      <c r="Y39" s="3634"/>
      <c r="Z39" s="1307" t="str">
        <f t="shared" si="12"/>
        <v>层高</v>
      </c>
      <c r="AA39" s="1307">
        <f t="shared" si="3"/>
        <v>1</v>
      </c>
      <c r="AB39" s="1307">
        <f t="shared" si="4"/>
        <v>1</v>
      </c>
      <c r="AC39" s="1307">
        <f t="shared" si="5"/>
        <v>1</v>
      </c>
    </row>
    <row r="40" spans="1:29" ht="15">
      <c r="A40" s="543"/>
      <c r="B40" s="477" t="s">
        <v>706</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7"/>
      <c r="M40" s="1740"/>
      <c r="N40" s="1740"/>
      <c r="O40" s="1746"/>
      <c r="P40" s="3634"/>
      <c r="Q40" s="1304" t="str">
        <f t="shared" si="8"/>
        <v>单套建筑面积</v>
      </c>
      <c r="R40" s="1305" t="s">
        <v>5</v>
      </c>
      <c r="S40" s="1306">
        <f t="shared" si="9"/>
        <v>100</v>
      </c>
      <c r="T40" s="1305" t="s">
        <v>5</v>
      </c>
      <c r="U40" s="1306">
        <f t="shared" si="10"/>
        <v>100</v>
      </c>
      <c r="V40" s="1305" t="s">
        <v>5</v>
      </c>
      <c r="W40" s="1306">
        <f t="shared" si="11"/>
        <v>100</v>
      </c>
      <c r="X40" s="1300"/>
      <c r="Y40" s="3634"/>
      <c r="Z40" s="1307" t="str">
        <f t="shared" si="12"/>
        <v>单套建筑面积</v>
      </c>
      <c r="AA40" s="1307">
        <f t="shared" si="3"/>
        <v>1</v>
      </c>
      <c r="AB40" s="1307">
        <f t="shared" si="4"/>
        <v>1</v>
      </c>
      <c r="AC40" s="1307">
        <f t="shared" si="5"/>
        <v>1</v>
      </c>
    </row>
    <row r="41" spans="1:29" s="1131" customFormat="1" ht="15">
      <c r="A41" s="552"/>
      <c r="B41" s="525" t="s">
        <v>707</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5"/>
      <c r="M41" s="1769"/>
      <c r="N41" s="1769"/>
      <c r="O41" s="1748"/>
      <c r="P41" s="3634"/>
      <c r="Q41" s="818" t="str">
        <f t="shared" si="8"/>
        <v>进深比</v>
      </c>
      <c r="R41" s="1308" t="s">
        <v>5</v>
      </c>
      <c r="S41" s="1309">
        <f t="shared" si="9"/>
        <v>100</v>
      </c>
      <c r="T41" s="1308" t="s">
        <v>5</v>
      </c>
      <c r="U41" s="1309">
        <f t="shared" si="10"/>
        <v>100</v>
      </c>
      <c r="V41" s="1308" t="s">
        <v>5</v>
      </c>
      <c r="W41" s="1309">
        <f t="shared" si="11"/>
        <v>100</v>
      </c>
      <c r="X41" s="1310"/>
      <c r="Y41" s="3634"/>
      <c r="Z41" s="1311" t="str">
        <f t="shared" si="12"/>
        <v>进深比</v>
      </c>
      <c r="AA41" s="1307">
        <f t="shared" si="3"/>
        <v>1</v>
      </c>
      <c r="AB41" s="1307">
        <f t="shared" si="4"/>
        <v>1</v>
      </c>
      <c r="AC41" s="1307">
        <f t="shared" si="5"/>
        <v>1</v>
      </c>
    </row>
    <row r="42" spans="1:29" ht="15">
      <c r="A42" s="543"/>
      <c r="B42" s="477" t="s">
        <v>708</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7"/>
      <c r="M42" s="1740"/>
      <c r="N42" s="1740"/>
      <c r="O42" s="1746"/>
      <c r="P42" s="3634"/>
      <c r="Q42" s="1304" t="str">
        <f t="shared" si="8"/>
        <v>内部装修</v>
      </c>
      <c r="R42" s="1305" t="s">
        <v>5</v>
      </c>
      <c r="S42" s="1306">
        <f t="shared" si="9"/>
        <v>100</v>
      </c>
      <c r="T42" s="1305" t="s">
        <v>5</v>
      </c>
      <c r="U42" s="1306">
        <f t="shared" si="10"/>
        <v>100</v>
      </c>
      <c r="V42" s="1305" t="s">
        <v>5</v>
      </c>
      <c r="W42" s="1306">
        <f t="shared" si="11"/>
        <v>100</v>
      </c>
      <c r="X42" s="1300"/>
      <c r="Y42" s="3634"/>
      <c r="Z42" s="1307" t="str">
        <f t="shared" si="12"/>
        <v>内部装修</v>
      </c>
      <c r="AA42" s="1307">
        <f t="shared" si="3"/>
        <v>1</v>
      </c>
      <c r="AB42" s="1307">
        <f t="shared" si="4"/>
        <v>1</v>
      </c>
      <c r="AC42" s="1307">
        <f t="shared" si="5"/>
        <v>1</v>
      </c>
    </row>
    <row r="43" spans="1:29" ht="27">
      <c r="A43" s="543"/>
      <c r="B43" s="477" t="s">
        <v>680</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7"/>
      <c r="M43" s="1740"/>
      <c r="N43" s="1740"/>
      <c r="O43" s="1746"/>
      <c r="P43" s="3634"/>
      <c r="Q43" s="1304" t="str">
        <f t="shared" si="8"/>
        <v>内部装修维护情况</v>
      </c>
      <c r="R43" s="1305" t="s">
        <v>5</v>
      </c>
      <c r="S43" s="1306">
        <f t="shared" si="9"/>
        <v>100</v>
      </c>
      <c r="T43" s="1305" t="s">
        <v>5</v>
      </c>
      <c r="U43" s="1306">
        <f t="shared" si="10"/>
        <v>100</v>
      </c>
      <c r="V43" s="1305" t="s">
        <v>5</v>
      </c>
      <c r="W43" s="1306">
        <f t="shared" si="11"/>
        <v>100</v>
      </c>
      <c r="X43" s="1300"/>
      <c r="Y43" s="3634"/>
      <c r="Z43" s="1307" t="str">
        <f t="shared" si="12"/>
        <v>内部装修维护情况</v>
      </c>
      <c r="AA43" s="1307">
        <f t="shared" si="3"/>
        <v>1</v>
      </c>
      <c r="AB43" s="1307">
        <f t="shared" si="4"/>
        <v>1</v>
      </c>
      <c r="AC43" s="1307">
        <f t="shared" si="5"/>
        <v>1</v>
      </c>
    </row>
    <row r="44" spans="1:29" s="1057"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1"/>
      <c r="M44" s="1638"/>
      <c r="N44" s="1638"/>
      <c r="O44" s="1742"/>
      <c r="P44" s="3634"/>
      <c r="Q44" s="817">
        <f t="shared" si="8"/>
        <v>111</v>
      </c>
      <c r="R44" s="1301" t="s">
        <v>5</v>
      </c>
      <c r="S44" s="1302">
        <f t="shared" si="9"/>
        <v>100</v>
      </c>
      <c r="T44" s="1301" t="s">
        <v>5</v>
      </c>
      <c r="U44" s="1302">
        <f t="shared" si="10"/>
        <v>100</v>
      </c>
      <c r="V44" s="1301" t="s">
        <v>5</v>
      </c>
      <c r="W44" s="1302">
        <f t="shared" si="11"/>
        <v>100</v>
      </c>
      <c r="X44" s="1303"/>
      <c r="Y44" s="3634"/>
      <c r="Z44" s="994">
        <f t="shared" si="12"/>
        <v>111</v>
      </c>
      <c r="AA44" s="994">
        <f t="shared" si="3"/>
        <v>1</v>
      </c>
      <c r="AB44" s="994">
        <f t="shared" si="4"/>
        <v>1</v>
      </c>
      <c r="AC44" s="994">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7"/>
      <c r="M45" s="1740"/>
      <c r="N45" s="1740"/>
      <c r="O45" s="1746"/>
      <c r="P45" s="3634"/>
      <c r="Q45" s="1304">
        <f t="shared" si="8"/>
        <v>111</v>
      </c>
      <c r="R45" s="1305" t="s">
        <v>5</v>
      </c>
      <c r="S45" s="1306">
        <f t="shared" si="9"/>
        <v>100</v>
      </c>
      <c r="T45" s="1305" t="s">
        <v>5</v>
      </c>
      <c r="U45" s="1306">
        <f t="shared" si="10"/>
        <v>100</v>
      </c>
      <c r="V45" s="1305" t="s">
        <v>5</v>
      </c>
      <c r="W45" s="1306">
        <f t="shared" si="11"/>
        <v>100</v>
      </c>
      <c r="X45" s="1300"/>
      <c r="Y45" s="3634"/>
      <c r="Z45" s="1307">
        <f t="shared" si="12"/>
        <v>111</v>
      </c>
      <c r="AA45" s="1307">
        <f t="shared" si="3"/>
        <v>1</v>
      </c>
      <c r="AB45" s="1307">
        <f t="shared" si="4"/>
        <v>1</v>
      </c>
      <c r="AC45" s="1307">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7"/>
      <c r="M46" s="1740"/>
      <c r="N46" s="1740"/>
      <c r="O46" s="1746"/>
      <c r="P46" s="3724"/>
      <c r="Q46" s="1304">
        <f t="shared" si="8"/>
        <v>111</v>
      </c>
      <c r="R46" s="1305" t="s">
        <v>5</v>
      </c>
      <c r="S46" s="1306">
        <f t="shared" si="9"/>
        <v>100</v>
      </c>
      <c r="T46" s="1305" t="s">
        <v>5</v>
      </c>
      <c r="U46" s="1306">
        <f t="shared" si="10"/>
        <v>100</v>
      </c>
      <c r="V46" s="1305" t="s">
        <v>5</v>
      </c>
      <c r="W46" s="1306">
        <f t="shared" si="11"/>
        <v>100</v>
      </c>
      <c r="X46" s="1300"/>
      <c r="Y46" s="3724"/>
      <c r="Z46" s="1307">
        <f t="shared" si="12"/>
        <v>111</v>
      </c>
      <c r="AA46" s="1307">
        <f t="shared" si="3"/>
        <v>1</v>
      </c>
      <c r="AB46" s="1307">
        <f t="shared" si="4"/>
        <v>1</v>
      </c>
      <c r="AC46" s="1307">
        <f t="shared" si="5"/>
        <v>1</v>
      </c>
    </row>
    <row r="47" spans="1:29" ht="15">
      <c r="A47" s="556" t="s">
        <v>681</v>
      </c>
      <c r="B47" s="811"/>
      <c r="C47" s="2079" t="s">
        <v>0</v>
      </c>
      <c r="D47" s="559"/>
      <c r="E47" s="560"/>
      <c r="F47" s="561"/>
      <c r="G47" s="562"/>
      <c r="H47" s="563"/>
      <c r="I47" s="560"/>
      <c r="J47" s="563"/>
      <c r="K47" s="1333"/>
      <c r="L47" s="1749"/>
      <c r="M47" s="1740"/>
      <c r="N47" s="1740"/>
      <c r="O47" s="1740"/>
      <c r="P47" s="3598" t="str">
        <f>A47</f>
        <v>成交单价（元/平方米）</v>
      </c>
      <c r="Q47" s="3598"/>
      <c r="R47" s="3599">
        <f>E47</f>
        <v>0</v>
      </c>
      <c r="S47" s="3599"/>
      <c r="T47" s="3599">
        <f>G47</f>
        <v>0</v>
      </c>
      <c r="U47" s="3599"/>
      <c r="V47" s="3599">
        <f>I47</f>
        <v>0</v>
      </c>
      <c r="W47" s="3599"/>
      <c r="X47" s="799"/>
      <c r="Y47" s="1312"/>
      <c r="Z47" s="799"/>
      <c r="AA47" s="799"/>
      <c r="AB47" s="799"/>
      <c r="AC47" s="799"/>
    </row>
    <row r="48" spans="1:29" ht="15.75" thickBot="1">
      <c r="A48" s="564" t="s">
        <v>2040</v>
      </c>
      <c r="B48" s="812"/>
      <c r="C48" s="2080" t="e">
        <f>R49</f>
        <v>#DIV/0!</v>
      </c>
      <c r="D48" s="2548" t="s">
        <v>2249</v>
      </c>
      <c r="E48" s="2081" t="e">
        <f>R48</f>
        <v>#DIV/0!</v>
      </c>
      <c r="F48" s="2549"/>
      <c r="G48" s="2080" t="e">
        <f>T48</f>
        <v>#DIV/0!</v>
      </c>
      <c r="H48" s="2549"/>
      <c r="I48" s="2081" t="e">
        <f>V48</f>
        <v>#DIV/0!</v>
      </c>
      <c r="J48" s="2549"/>
      <c r="K48" s="2556">
        <f>F48+H48+J48</f>
        <v>0</v>
      </c>
      <c r="L48" s="1749"/>
      <c r="M48" s="1740"/>
      <c r="N48" s="1740"/>
      <c r="O48" s="1740"/>
      <c r="P48" s="3598" t="str">
        <f>A48</f>
        <v>比较价格（元/平方米）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799"/>
      <c r="Y48" s="799"/>
      <c r="Z48" s="799"/>
      <c r="AA48" s="799"/>
      <c r="AB48" s="799"/>
      <c r="AC48" s="799"/>
    </row>
    <row r="49" spans="1:29" ht="15.75" thickBot="1">
      <c r="A49" s="568" t="s">
        <v>2186</v>
      </c>
      <c r="B49" s="569"/>
      <c r="C49" s="469" t="e">
        <f>R49</f>
        <v>#DIV/0!</v>
      </c>
      <c r="D49" s="469"/>
      <c r="E49" s="469"/>
      <c r="F49" s="469"/>
      <c r="G49" s="469"/>
      <c r="H49" s="469"/>
      <c r="I49" s="469"/>
      <c r="J49" s="469"/>
      <c r="K49" s="1334"/>
      <c r="L49" s="1749"/>
      <c r="M49" s="1740"/>
      <c r="N49" s="1740"/>
      <c r="O49" s="1740"/>
      <c r="P49" s="3635" t="str">
        <f>A49</f>
        <v>估价对象XX用房的比较价格（楼面单价，元/平方米）</v>
      </c>
      <c r="Q49" s="3636"/>
      <c r="R49" s="3723" t="e">
        <f>IF(F1="售价",ROUND(IF(D48="简单平均",AVERAGE(R48:V48),R48*F48+T48*H48+V48*J48),0),ROUND(IF(D48="简单平均",AVERAGE(R48:V48),R48*F48+T48*H48+V48*J48),1))</f>
        <v>#DIV/0!</v>
      </c>
      <c r="S49" s="3723"/>
      <c r="T49" s="3723"/>
      <c r="U49" s="3723"/>
      <c r="V49" s="3723"/>
      <c r="W49" s="3723"/>
      <c r="X49" s="799"/>
      <c r="Y49" s="799"/>
      <c r="Z49" s="799"/>
      <c r="AA49" s="799"/>
      <c r="AB49" s="799"/>
      <c r="AC49" s="799"/>
    </row>
    <row r="50" spans="1:29">
      <c r="A50" s="2719"/>
      <c r="B50" s="2719"/>
      <c r="C50" s="2719"/>
      <c r="D50" s="2719"/>
      <c r="E50" s="2719"/>
      <c r="F50" s="2719"/>
      <c r="G50" s="2721"/>
      <c r="H50" s="2719"/>
      <c r="I50" s="2719"/>
      <c r="J50" s="2719"/>
      <c r="K50" s="2722"/>
      <c r="L50" s="1753"/>
      <c r="M50" s="1740"/>
      <c r="N50" s="1740"/>
      <c r="O50" s="1740"/>
      <c r="P50" s="1740"/>
      <c r="Q50" s="1740"/>
      <c r="R50" s="1740"/>
      <c r="S50" s="1740"/>
      <c r="T50" s="1740"/>
      <c r="U50" s="1740"/>
      <c r="V50" s="1740"/>
      <c r="W50" s="1740"/>
      <c r="X50" s="1740"/>
      <c r="Y50" s="1740"/>
      <c r="Z50" s="1740"/>
      <c r="AA50" s="1740"/>
      <c r="AB50" s="1740"/>
      <c r="AC50" s="1740"/>
    </row>
    <row r="51" spans="1:29">
      <c r="A51" s="2719"/>
      <c r="B51" s="2719"/>
      <c r="C51" s="2719"/>
      <c r="D51" s="2719"/>
      <c r="E51" s="2719"/>
      <c r="F51" s="2719"/>
      <c r="G51" s="2719"/>
      <c r="H51" s="2719"/>
      <c r="I51" s="2719"/>
      <c r="J51" s="2719"/>
      <c r="K51" s="2722"/>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9"/>
      <c r="B52" s="2719"/>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2"/>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9"/>
      <c r="B53" s="2719"/>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2"/>
      <c r="L53" s="1753"/>
      <c r="M53" s="1740"/>
      <c r="N53" s="1740"/>
      <c r="O53" s="1740"/>
      <c r="P53" s="1740"/>
      <c r="Q53" s="1740"/>
      <c r="R53" s="1740"/>
      <c r="S53" s="1740"/>
      <c r="T53" s="1740"/>
      <c r="U53" s="1740"/>
      <c r="V53" s="1740"/>
      <c r="W53" s="1740"/>
      <c r="X53" s="1740"/>
      <c r="Y53" s="1740"/>
      <c r="Z53" s="1740"/>
      <c r="AA53" s="1740"/>
      <c r="AB53" s="1740"/>
      <c r="AC53" s="1740"/>
    </row>
    <row r="54" spans="1:29" s="1136" customFormat="1" ht="13.5" customHeight="1">
      <c r="A54" s="2720"/>
      <c r="B54" s="2720"/>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3"/>
      <c r="L54" s="1756"/>
      <c r="M54" s="1750"/>
      <c r="N54" s="1750"/>
      <c r="O54" s="1750"/>
      <c r="P54" s="1750"/>
      <c r="Q54" s="1750"/>
      <c r="R54" s="1750"/>
      <c r="S54" s="1750"/>
      <c r="T54" s="1750"/>
      <c r="U54" s="1750"/>
      <c r="V54" s="1750"/>
      <c r="W54" s="1750"/>
      <c r="X54" s="1750"/>
      <c r="Y54" s="1750"/>
      <c r="Z54" s="1750"/>
      <c r="AA54" s="1750"/>
      <c r="AB54" s="1750"/>
      <c r="AC54" s="1750"/>
    </row>
    <row r="55" spans="1:29" s="1136"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5" t="s">
        <v>520</v>
      </c>
      <c r="B57" s="799"/>
      <c r="C57" s="1314"/>
      <c r="D57" s="1314"/>
      <c r="E57" s="1314"/>
      <c r="F57" s="1316"/>
      <c r="G57" s="1316"/>
      <c r="H57" s="1314"/>
      <c r="I57" s="1314"/>
      <c r="J57" s="1314"/>
      <c r="K57" s="1317"/>
      <c r="L57" s="1313"/>
      <c r="M57" s="1314"/>
      <c r="N57" s="1760"/>
      <c r="O57" s="1760"/>
      <c r="P57" s="1760"/>
      <c r="Q57" s="1761"/>
      <c r="R57" s="1740"/>
      <c r="S57" s="1740"/>
      <c r="T57" s="1740"/>
      <c r="U57" s="1740"/>
      <c r="V57" s="1740"/>
      <c r="W57" s="1740"/>
      <c r="X57" s="1740"/>
      <c r="Y57" s="1740"/>
      <c r="Z57" s="1740"/>
      <c r="AA57" s="1740"/>
      <c r="AB57" s="1740"/>
      <c r="AC57" s="1740"/>
    </row>
    <row r="58" spans="1:29" s="1138" customFormat="1" ht="15">
      <c r="A58" s="592" t="s">
        <v>476</v>
      </c>
      <c r="B58" s="593"/>
      <c r="C58" s="2111" t="str">
        <f>YEAR(C7)&amp;"-"&amp;MONTH(C7)</f>
        <v>2025-6</v>
      </c>
      <c r="D58" s="2113">
        <f>EDATE(C58,-1)</f>
        <v>45778</v>
      </c>
      <c r="E58" s="2113">
        <f t="shared" ref="E58:O58" si="13">EDATE(D58,-1)</f>
        <v>45748</v>
      </c>
      <c r="F58" s="2113">
        <f t="shared" si="13"/>
        <v>45717</v>
      </c>
      <c r="G58" s="2113">
        <f t="shared" si="13"/>
        <v>45689</v>
      </c>
      <c r="H58" s="2113">
        <f t="shared" si="13"/>
        <v>45658</v>
      </c>
      <c r="I58" s="2113">
        <f t="shared" si="13"/>
        <v>45627</v>
      </c>
      <c r="J58" s="2113">
        <f t="shared" si="13"/>
        <v>45597</v>
      </c>
      <c r="K58" s="2113">
        <f t="shared" si="13"/>
        <v>45566</v>
      </c>
      <c r="L58" s="2113">
        <f t="shared" si="13"/>
        <v>45536</v>
      </c>
      <c r="M58" s="2113">
        <f t="shared" si="13"/>
        <v>45505</v>
      </c>
      <c r="N58" s="2113">
        <f t="shared" si="13"/>
        <v>45474</v>
      </c>
      <c r="O58" s="2113">
        <f t="shared" si="13"/>
        <v>45444</v>
      </c>
      <c r="P58" s="1763"/>
      <c r="Q58" s="1763"/>
      <c r="R58" s="1763"/>
      <c r="S58" s="1763"/>
      <c r="T58" s="1763"/>
      <c r="U58" s="1763"/>
      <c r="V58" s="1763"/>
      <c r="W58" s="1763"/>
      <c r="X58" s="1763"/>
      <c r="Y58" s="1763"/>
      <c r="Z58" s="1763"/>
      <c r="AA58" s="1763"/>
      <c r="AB58" s="1763"/>
      <c r="AC58" s="1763"/>
    </row>
    <row r="59" spans="1:29" s="1057" customFormat="1" ht="15">
      <c r="A59" s="527"/>
      <c r="B59" s="594"/>
      <c r="C59" s="595">
        <v>100</v>
      </c>
      <c r="D59" s="596"/>
      <c r="E59" s="596"/>
      <c r="F59" s="596"/>
      <c r="G59" s="596"/>
      <c r="H59" s="596"/>
      <c r="I59" s="596"/>
      <c r="J59" s="596"/>
      <c r="K59" s="596"/>
      <c r="L59" s="596"/>
      <c r="M59" s="487"/>
      <c r="N59" s="596"/>
      <c r="O59" s="597"/>
      <c r="P59" s="1761"/>
      <c r="Q59" s="1638"/>
      <c r="R59" s="1638"/>
      <c r="S59" s="1638"/>
      <c r="T59" s="1638"/>
      <c r="U59" s="1638"/>
      <c r="V59" s="1638"/>
      <c r="W59" s="1638"/>
      <c r="X59" s="1638"/>
      <c r="Y59" s="1638"/>
      <c r="Z59" s="1638"/>
      <c r="AA59" s="1638"/>
      <c r="AB59" s="1638"/>
      <c r="AC59" s="1638"/>
    </row>
    <row r="60" spans="1:29" s="1057" customFormat="1" ht="15.75" thickBot="1">
      <c r="A60" s="262" t="s">
        <v>521</v>
      </c>
      <c r="B60" s="598"/>
      <c r="C60" s="599"/>
      <c r="D60" s="600"/>
      <c r="E60" s="600"/>
      <c r="F60" s="600"/>
      <c r="G60" s="600"/>
      <c r="H60" s="600"/>
      <c r="I60" s="600"/>
      <c r="J60" s="600"/>
      <c r="K60" s="600"/>
      <c r="L60" s="600"/>
      <c r="M60" s="601"/>
      <c r="N60" s="600"/>
      <c r="O60" s="602"/>
      <c r="P60" s="1761"/>
      <c r="Q60" s="1761"/>
      <c r="R60" s="1638"/>
      <c r="S60" s="1638"/>
      <c r="T60" s="1638"/>
      <c r="U60" s="1638"/>
      <c r="V60" s="1638"/>
      <c r="W60" s="1638"/>
      <c r="X60" s="1638"/>
      <c r="Y60" s="1638"/>
      <c r="Z60" s="1638"/>
      <c r="AA60" s="1638"/>
      <c r="AB60" s="1638"/>
      <c r="AC60" s="1638"/>
    </row>
    <row r="61" spans="1:29" s="1057" customFormat="1" ht="15">
      <c r="A61" s="603" t="s">
        <v>478</v>
      </c>
      <c r="B61" s="594"/>
      <c r="C61" s="604" t="s">
        <v>522</v>
      </c>
      <c r="D61" s="80"/>
      <c r="E61" s="80"/>
      <c r="F61" s="80"/>
      <c r="G61" s="80"/>
      <c r="H61" s="80"/>
      <c r="I61" s="80"/>
      <c r="J61" s="80"/>
      <c r="K61" s="80"/>
      <c r="L61" s="605"/>
      <c r="M61" s="606"/>
      <c r="N61" s="1764"/>
      <c r="O61" s="1764"/>
      <c r="P61" s="1645"/>
      <c r="Q61" s="1761"/>
      <c r="R61" s="1638"/>
      <c r="S61" s="1638"/>
      <c r="T61" s="1638"/>
      <c r="U61" s="1638"/>
      <c r="V61" s="1638"/>
      <c r="W61" s="1638"/>
      <c r="X61" s="1638"/>
      <c r="Y61" s="1638"/>
      <c r="Z61" s="1638"/>
      <c r="AA61" s="1638"/>
      <c r="AB61" s="1638"/>
      <c r="AC61" s="1638"/>
    </row>
    <row r="62" spans="1:29" s="1057" customFormat="1" ht="15.75" thickBot="1">
      <c r="A62" s="603"/>
      <c r="B62" s="594"/>
      <c r="C62" s="813">
        <v>100</v>
      </c>
      <c r="D62" s="596"/>
      <c r="E62" s="596"/>
      <c r="F62" s="596"/>
      <c r="G62" s="596"/>
      <c r="H62" s="596"/>
      <c r="I62" s="596"/>
      <c r="J62" s="596"/>
      <c r="K62" s="596"/>
      <c r="L62" s="596"/>
      <c r="M62" s="597"/>
      <c r="N62" s="1764"/>
      <c r="O62" s="1764"/>
      <c r="P62" s="1761"/>
      <c r="Q62" s="1761"/>
      <c r="R62" s="1638"/>
      <c r="S62" s="1638"/>
      <c r="T62" s="1638"/>
      <c r="U62" s="1638"/>
      <c r="V62" s="1638"/>
      <c r="W62" s="1638"/>
      <c r="X62" s="1638"/>
      <c r="Y62" s="1638"/>
      <c r="Z62" s="1638"/>
      <c r="AA62" s="1638"/>
      <c r="AB62" s="1638"/>
      <c r="AC62" s="1043"/>
    </row>
    <row r="63" spans="1:29">
      <c r="A63" s="607" t="s">
        <v>523</v>
      </c>
      <c r="B63" s="608" t="s">
        <v>481</v>
      </c>
      <c r="C63" s="645">
        <f>C9</f>
        <v>0</v>
      </c>
      <c r="D63" s="547"/>
      <c r="E63" s="547"/>
      <c r="F63" s="547"/>
      <c r="G63" s="547"/>
      <c r="H63" s="547"/>
      <c r="I63" s="547"/>
      <c r="J63" s="547"/>
      <c r="K63" s="609"/>
      <c r="L63" s="610"/>
      <c r="M63" s="611"/>
      <c r="N63" s="1765"/>
      <c r="O63" s="1765"/>
      <c r="P63" s="1764"/>
      <c r="Q63" s="1761"/>
      <c r="R63" s="1740"/>
      <c r="S63" s="1740"/>
      <c r="T63" s="1740"/>
      <c r="U63" s="1740"/>
      <c r="V63" s="1740"/>
      <c r="W63" s="1740"/>
      <c r="X63" s="1740"/>
      <c r="Y63" s="1740"/>
      <c r="Z63" s="1740"/>
      <c r="AA63" s="1740"/>
      <c r="AB63" s="1740"/>
      <c r="AC63" s="1740"/>
    </row>
    <row r="64" spans="1:29" ht="15.75" thickBot="1">
      <c r="A64" s="482"/>
      <c r="B64" s="612"/>
      <c r="C64" s="613"/>
      <c r="D64" s="613"/>
      <c r="E64" s="613"/>
      <c r="F64" s="613"/>
      <c r="G64" s="613"/>
      <c r="H64" s="613"/>
      <c r="I64" s="613"/>
      <c r="J64" s="613"/>
      <c r="K64" s="613"/>
      <c r="L64" s="613"/>
      <c r="M64" s="614"/>
      <c r="N64" s="1766"/>
      <c r="O64" s="1766"/>
      <c r="P64" s="1764"/>
      <c r="Q64" s="1761"/>
      <c r="R64" s="1740"/>
      <c r="S64" s="1740"/>
      <c r="T64" s="1740"/>
      <c r="U64" s="1740"/>
      <c r="V64" s="1740"/>
      <c r="W64" s="1740"/>
      <c r="X64" s="1740"/>
      <c r="Y64" s="1740"/>
      <c r="Z64" s="1740"/>
      <c r="AA64" s="1740"/>
      <c r="AB64" s="1740"/>
      <c r="AC64" s="1740"/>
    </row>
    <row r="65" spans="1:29" ht="27.75" thickTop="1">
      <c r="A65" s="482"/>
      <c r="B65" s="615" t="s">
        <v>484</v>
      </c>
      <c r="C65" s="658"/>
      <c r="D65" s="658"/>
      <c r="E65" s="658"/>
      <c r="F65" s="658"/>
      <c r="G65" s="658"/>
      <c r="H65" s="658"/>
      <c r="I65" s="658"/>
      <c r="J65" s="658"/>
      <c r="K65" s="659"/>
      <c r="L65" s="660"/>
      <c r="M65" s="661"/>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13"/>
      <c r="D66" s="613"/>
      <c r="E66" s="613"/>
      <c r="F66" s="613"/>
      <c r="G66" s="613"/>
      <c r="H66" s="613"/>
      <c r="I66" s="613"/>
      <c r="J66" s="613"/>
      <c r="K66" s="613"/>
      <c r="L66" s="613"/>
      <c r="M66" s="614"/>
      <c r="N66" s="1766"/>
      <c r="O66" s="1766"/>
      <c r="P66" s="1764"/>
      <c r="Q66" s="1761"/>
      <c r="R66" s="1740"/>
      <c r="S66" s="1740"/>
      <c r="T66" s="1740"/>
      <c r="U66" s="1740"/>
      <c r="V66" s="1740"/>
      <c r="W66" s="1740"/>
      <c r="X66" s="1740"/>
      <c r="Y66" s="1740"/>
      <c r="Z66" s="1740"/>
      <c r="AA66" s="1740"/>
      <c r="AB66" s="1740"/>
      <c r="AC66" s="1740"/>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2"/>
      <c r="B68" s="625"/>
      <c r="C68" s="491"/>
      <c r="D68" s="491"/>
      <c r="E68" s="491"/>
      <c r="F68" s="491"/>
      <c r="G68" s="491"/>
      <c r="H68" s="491"/>
      <c r="I68" s="491"/>
      <c r="J68" s="491"/>
      <c r="K68" s="626"/>
      <c r="L68" s="627"/>
      <c r="M68" s="628"/>
      <c r="N68" s="1765"/>
      <c r="O68" s="1765"/>
      <c r="P68" s="1764"/>
      <c r="Q68" s="1761"/>
      <c r="R68" s="1740"/>
      <c r="S68" s="1740"/>
      <c r="T68" s="1740"/>
      <c r="U68" s="1740"/>
      <c r="V68" s="1740"/>
      <c r="W68" s="1740"/>
      <c r="X68" s="1740"/>
      <c r="Y68" s="1740"/>
      <c r="Z68" s="1740"/>
      <c r="AA68" s="1740"/>
      <c r="AB68" s="1740"/>
      <c r="AC68" s="1740"/>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6"/>
      <c r="O69" s="1766"/>
      <c r="P69" s="1764"/>
      <c r="Q69" s="1761"/>
      <c r="R69" s="1740"/>
      <c r="S69" s="1740"/>
      <c r="T69" s="1740"/>
      <c r="U69" s="1740"/>
      <c r="V69" s="1740"/>
      <c r="W69" s="1740"/>
      <c r="X69" s="1740"/>
      <c r="Y69" s="1740"/>
      <c r="Z69" s="1740"/>
      <c r="AA69" s="1740"/>
      <c r="AB69" s="1740"/>
      <c r="AC69" s="1740"/>
    </row>
    <row r="70" spans="1:29" s="1131" customFormat="1" ht="15.75" thickTop="1">
      <c r="A70" s="629"/>
      <c r="B70" s="615">
        <f>B12</f>
        <v>111</v>
      </c>
      <c r="C70" s="630"/>
      <c r="D70" s="630"/>
      <c r="E70" s="630"/>
      <c r="F70" s="630"/>
      <c r="G70" s="630"/>
      <c r="H70" s="631"/>
      <c r="I70" s="631"/>
      <c r="J70" s="631"/>
      <c r="K70" s="631"/>
      <c r="L70" s="632"/>
      <c r="M70" s="633"/>
      <c r="N70" s="1767"/>
      <c r="O70" s="1767"/>
      <c r="P70" s="1767"/>
      <c r="Q70" s="1768"/>
      <c r="R70" s="1769"/>
      <c r="S70" s="1769"/>
      <c r="T70" s="1769"/>
      <c r="U70" s="1769"/>
      <c r="V70" s="1769"/>
      <c r="W70" s="1769"/>
      <c r="X70" s="1769"/>
      <c r="Y70" s="1769"/>
      <c r="Z70" s="1769"/>
      <c r="AA70" s="1769"/>
      <c r="AB70" s="1769"/>
      <c r="AC70" s="1769"/>
    </row>
    <row r="71" spans="1:29" s="1131" customFormat="1" ht="15.75" thickBot="1">
      <c r="A71" s="629"/>
      <c r="B71" s="620"/>
      <c r="C71" s="634"/>
      <c r="D71" s="613"/>
      <c r="E71" s="613"/>
      <c r="F71" s="613"/>
      <c r="G71" s="613"/>
      <c r="H71" s="613"/>
      <c r="I71" s="613"/>
      <c r="J71" s="613"/>
      <c r="K71" s="613"/>
      <c r="L71" s="613"/>
      <c r="M71" s="614"/>
      <c r="N71" s="1766"/>
      <c r="O71" s="1766"/>
      <c r="P71" s="1767"/>
      <c r="Q71" s="1768"/>
      <c r="R71" s="1769"/>
      <c r="S71" s="1769"/>
      <c r="T71" s="1769"/>
      <c r="U71" s="1769"/>
      <c r="V71" s="1769"/>
      <c r="W71" s="1769"/>
      <c r="X71" s="1769"/>
      <c r="Y71" s="1769"/>
      <c r="Z71" s="1769"/>
      <c r="AA71" s="1769"/>
      <c r="AB71" s="1769"/>
      <c r="AC71" s="1769"/>
    </row>
    <row r="72" spans="1:29" s="1131" customFormat="1" ht="15.75" thickTop="1">
      <c r="A72" s="629"/>
      <c r="B72" s="615">
        <f>B13</f>
        <v>111</v>
      </c>
      <c r="C72" s="630"/>
      <c r="D72" s="630"/>
      <c r="E72" s="630"/>
      <c r="F72" s="630"/>
      <c r="G72" s="630"/>
      <c r="H72" s="631"/>
      <c r="I72" s="631"/>
      <c r="J72" s="631"/>
      <c r="K72" s="631"/>
      <c r="L72" s="632"/>
      <c r="M72" s="633"/>
      <c r="N72" s="1767"/>
      <c r="O72" s="1767"/>
      <c r="P72" s="1769"/>
      <c r="Q72" s="1770"/>
      <c r="R72" s="1769"/>
      <c r="S72" s="1769"/>
      <c r="T72" s="1769"/>
      <c r="U72" s="1769"/>
      <c r="V72" s="1769"/>
      <c r="W72" s="1769"/>
      <c r="X72" s="1769"/>
      <c r="Y72" s="1769"/>
      <c r="Z72" s="1769"/>
      <c r="AA72" s="1769"/>
      <c r="AB72" s="1769"/>
      <c r="AC72" s="1769"/>
    </row>
    <row r="73" spans="1:29" s="1131" customFormat="1" ht="15.75" thickBot="1">
      <c r="A73" s="629"/>
      <c r="B73" s="620"/>
      <c r="C73" s="634"/>
      <c r="D73" s="613"/>
      <c r="E73" s="613"/>
      <c r="F73" s="613"/>
      <c r="G73" s="634"/>
      <c r="H73" s="635"/>
      <c r="I73" s="635"/>
      <c r="J73" s="635"/>
      <c r="K73" s="635"/>
      <c r="L73" s="635"/>
      <c r="M73" s="636"/>
      <c r="N73" s="1767"/>
      <c r="O73" s="1767"/>
      <c r="P73" s="1767"/>
      <c r="Q73" s="1768"/>
      <c r="R73" s="1769"/>
      <c r="S73" s="1769"/>
      <c r="T73" s="1769"/>
      <c r="U73" s="1769"/>
      <c r="V73" s="1769"/>
      <c r="W73" s="1769"/>
      <c r="X73" s="1769"/>
      <c r="Y73" s="1769"/>
      <c r="Z73" s="1769"/>
      <c r="AA73" s="1769"/>
      <c r="AB73" s="1769"/>
      <c r="AC73" s="1769"/>
    </row>
    <row r="74" spans="1:29" s="1131" customFormat="1" ht="15.75" thickTop="1">
      <c r="A74" s="629"/>
      <c r="B74" s="623">
        <f>B14</f>
        <v>111</v>
      </c>
      <c r="C74" s="630"/>
      <c r="D74" s="630"/>
      <c r="E74" s="630"/>
      <c r="F74" s="630"/>
      <c r="G74" s="80"/>
      <c r="H74" s="637"/>
      <c r="I74" s="637"/>
      <c r="J74" s="637"/>
      <c r="K74" s="637"/>
      <c r="L74" s="638"/>
      <c r="M74" s="639"/>
      <c r="N74" s="1767"/>
      <c r="O74" s="1767"/>
      <c r="P74" s="1771"/>
      <c r="Q74" s="1768"/>
      <c r="R74" s="1769"/>
      <c r="S74" s="1769"/>
      <c r="T74" s="1769"/>
      <c r="U74" s="1769"/>
      <c r="V74" s="1769"/>
      <c r="W74" s="1769"/>
      <c r="X74" s="1769"/>
      <c r="Y74" s="1769"/>
      <c r="Z74" s="1769"/>
      <c r="AA74" s="1769"/>
      <c r="AB74" s="1769"/>
      <c r="AC74" s="1769"/>
    </row>
    <row r="75" spans="1:29" s="1131" customFormat="1" ht="15.75" thickBot="1">
      <c r="A75" s="640"/>
      <c r="B75" s="641"/>
      <c r="C75" s="642"/>
      <c r="D75" s="642"/>
      <c r="E75" s="642"/>
      <c r="F75" s="642"/>
      <c r="G75" s="642"/>
      <c r="H75" s="643"/>
      <c r="I75" s="643"/>
      <c r="J75" s="643"/>
      <c r="K75" s="643"/>
      <c r="L75" s="643"/>
      <c r="M75" s="644"/>
      <c r="N75" s="1767"/>
      <c r="O75" s="1767"/>
      <c r="P75" s="1767"/>
      <c r="Q75" s="1768"/>
      <c r="R75" s="1769"/>
      <c r="S75" s="1769"/>
      <c r="T75" s="1769"/>
      <c r="U75" s="1769"/>
      <c r="V75" s="1769"/>
      <c r="W75" s="1769"/>
      <c r="X75" s="1769"/>
      <c r="Y75" s="1769"/>
      <c r="Z75" s="1769"/>
      <c r="AA75" s="1769"/>
      <c r="AB75" s="1769"/>
      <c r="AC75" s="1769"/>
    </row>
    <row r="76" spans="1:29">
      <c r="A76" s="607" t="s">
        <v>486</v>
      </c>
      <c r="B76" s="608" t="s">
        <v>524</v>
      </c>
      <c r="C76" s="143" t="s">
        <v>525</v>
      </c>
      <c r="D76" s="143" t="s">
        <v>526</v>
      </c>
      <c r="E76" s="143" t="s">
        <v>527</v>
      </c>
      <c r="F76" s="143" t="s">
        <v>528</v>
      </c>
      <c r="G76" s="143" t="s">
        <v>529</v>
      </c>
      <c r="H76" s="645"/>
      <c r="I76" s="645"/>
      <c r="J76" s="645"/>
      <c r="K76" s="646"/>
      <c r="L76" s="647"/>
      <c r="M76" s="648"/>
      <c r="N76" s="1765"/>
      <c r="O76" s="1765"/>
      <c r="P76" s="1772"/>
      <c r="Q76" s="1761"/>
      <c r="R76" s="1740"/>
      <c r="S76" s="1740"/>
      <c r="T76" s="1740"/>
      <c r="U76" s="1740"/>
      <c r="V76" s="1740"/>
      <c r="W76" s="1740"/>
      <c r="X76" s="1740"/>
      <c r="Y76" s="1740"/>
      <c r="Z76" s="1740"/>
      <c r="AA76" s="1740"/>
      <c r="AB76" s="1740"/>
      <c r="AC76" s="1740"/>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532</v>
      </c>
      <c r="C78" s="649" t="s">
        <v>525</v>
      </c>
      <c r="D78" s="649" t="s">
        <v>526</v>
      </c>
      <c r="E78" s="649" t="s">
        <v>527</v>
      </c>
      <c r="F78" s="649" t="s">
        <v>528</v>
      </c>
      <c r="G78" s="649" t="s">
        <v>529</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ht="15.75" thickTop="1">
      <c r="A80" s="482"/>
      <c r="B80" s="1553" t="s">
        <v>1838</v>
      </c>
      <c r="C80" s="649" t="s">
        <v>525</v>
      </c>
      <c r="D80" s="649" t="s">
        <v>526</v>
      </c>
      <c r="E80" s="649" t="s">
        <v>527</v>
      </c>
      <c r="F80" s="649" t="s">
        <v>528</v>
      </c>
      <c r="G80" s="649" t="s">
        <v>529</v>
      </c>
      <c r="H80" s="616"/>
      <c r="I80" s="616"/>
      <c r="J80" s="616"/>
      <c r="K80" s="617"/>
      <c r="L80" s="618"/>
      <c r="M80" s="619"/>
      <c r="N80" s="1765"/>
      <c r="O80" s="1765"/>
      <c r="P80" s="1764"/>
      <c r="Q80" s="1761"/>
      <c r="R80" s="1740"/>
      <c r="S80" s="1740"/>
      <c r="T80" s="1740"/>
      <c r="U80" s="1740"/>
      <c r="V80" s="1740"/>
      <c r="W80" s="1740"/>
      <c r="X80" s="1740"/>
      <c r="Y80" s="1740"/>
      <c r="Z80" s="1740"/>
      <c r="AA80" s="1740"/>
      <c r="AB80" s="1740"/>
      <c r="AC80" s="1740"/>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6"/>
      <c r="O81" s="1766"/>
      <c r="P81" s="1764"/>
      <c r="Q81" s="1761"/>
      <c r="R81" s="1740"/>
      <c r="S81" s="1740"/>
      <c r="T81" s="1740"/>
      <c r="U81" s="1740"/>
      <c r="V81" s="1740"/>
      <c r="W81" s="1740"/>
      <c r="X81" s="1740"/>
      <c r="Y81" s="1740"/>
      <c r="Z81" s="1740"/>
      <c r="AA81" s="1740"/>
      <c r="AB81" s="1740"/>
      <c r="AC81" s="1740"/>
    </row>
    <row r="82" spans="1:29" ht="15.75" thickTop="1">
      <c r="A82" s="482"/>
      <c r="B82" s="2054" t="s">
        <v>1839</v>
      </c>
      <c r="C82" s="2055" t="s">
        <v>1840</v>
      </c>
      <c r="D82" s="2055" t="s">
        <v>1841</v>
      </c>
      <c r="E82" s="2055" t="s">
        <v>1842</v>
      </c>
      <c r="F82" s="2055" t="s">
        <v>1843</v>
      </c>
      <c r="G82" s="2055" t="s">
        <v>1844</v>
      </c>
      <c r="H82" s="616"/>
      <c r="I82" s="616"/>
      <c r="J82" s="616"/>
      <c r="K82" s="616"/>
      <c r="L82" s="616"/>
      <c r="M82" s="2058"/>
      <c r="N82" s="1766"/>
      <c r="O82" s="1766"/>
      <c r="P82" s="1764"/>
      <c r="Q82" s="1761"/>
      <c r="R82" s="1740"/>
      <c r="S82" s="1740"/>
      <c r="T82" s="1740"/>
      <c r="U82" s="1740"/>
      <c r="V82" s="1740"/>
      <c r="W82" s="1740"/>
      <c r="X82" s="1740"/>
      <c r="Y82" s="1740"/>
      <c r="Z82" s="1740"/>
      <c r="AA82" s="1740"/>
      <c r="AB82" s="1740"/>
      <c r="AC82" s="1740"/>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6"/>
      <c r="O83" s="1766"/>
      <c r="P83" s="1764"/>
      <c r="Q83" s="1761"/>
      <c r="R83" s="1740"/>
      <c r="S83" s="1740"/>
      <c r="T83" s="1740"/>
      <c r="U83" s="1740"/>
      <c r="V83" s="1740"/>
      <c r="W83" s="1740"/>
      <c r="X83" s="1740"/>
      <c r="Y83" s="1740"/>
      <c r="Z83" s="1740"/>
      <c r="AA83" s="1740"/>
      <c r="AB83" s="1740"/>
      <c r="AC83" s="1740"/>
    </row>
    <row r="84" spans="1:29" ht="15.75" thickTop="1">
      <c r="A84" s="482"/>
      <c r="B84" s="615" t="s">
        <v>682</v>
      </c>
      <c r="C84" s="649" t="s">
        <v>525</v>
      </c>
      <c r="D84" s="649" t="s">
        <v>526</v>
      </c>
      <c r="E84" s="649" t="s">
        <v>527</v>
      </c>
      <c r="F84" s="649" t="s">
        <v>528</v>
      </c>
      <c r="G84" s="649" t="s">
        <v>529</v>
      </c>
      <c r="H84" s="616"/>
      <c r="I84" s="616"/>
      <c r="J84" s="616"/>
      <c r="K84" s="617"/>
      <c r="L84" s="618"/>
      <c r="M84" s="619"/>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6"/>
      <c r="O85" s="1766"/>
      <c r="P85" s="1764"/>
      <c r="Q85" s="1761"/>
      <c r="R85" s="1740"/>
      <c r="S85" s="1740"/>
      <c r="T85" s="1740"/>
      <c r="U85" s="1740"/>
      <c r="V85" s="1740"/>
      <c r="W85" s="1740"/>
      <c r="X85" s="1740"/>
      <c r="Y85" s="1740"/>
      <c r="Z85" s="1740"/>
      <c r="AA85" s="1740"/>
      <c r="AB85" s="1740"/>
      <c r="AC85" s="1740"/>
    </row>
    <row r="86" spans="1:29" s="1057" customFormat="1" ht="15.75" thickTop="1">
      <c r="A86" s="486"/>
      <c r="B86" s="615" t="s">
        <v>709</v>
      </c>
      <c r="C86" s="630"/>
      <c r="D86" s="630"/>
      <c r="E86" s="630"/>
      <c r="F86" s="630"/>
      <c r="G86" s="630"/>
      <c r="H86" s="630"/>
      <c r="I86" s="630"/>
      <c r="J86" s="630"/>
      <c r="K86" s="630"/>
      <c r="L86" s="814"/>
      <c r="M86" s="815"/>
      <c r="N86" s="1764"/>
      <c r="O86" s="1764"/>
      <c r="P86" s="1764"/>
      <c r="Q86" s="1761"/>
      <c r="R86" s="1638"/>
      <c r="S86" s="1638"/>
      <c r="T86" s="1638"/>
      <c r="U86" s="1638"/>
      <c r="V86" s="1638"/>
      <c r="W86" s="1638"/>
      <c r="X86" s="1638"/>
      <c r="Y86" s="1638"/>
      <c r="Z86" s="1638"/>
      <c r="AA86" s="1638"/>
      <c r="AB86" s="1638"/>
      <c r="AC86" s="1638"/>
    </row>
    <row r="87" spans="1:29" s="1057"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638"/>
      <c r="S87" s="1638"/>
      <c r="T87" s="1638"/>
      <c r="U87" s="1638"/>
      <c r="V87" s="1638"/>
      <c r="W87" s="1638"/>
      <c r="X87" s="1638"/>
      <c r="Y87" s="1638"/>
      <c r="Z87" s="1638"/>
      <c r="AA87" s="1638"/>
      <c r="AB87" s="1638"/>
      <c r="AC87" s="1638"/>
    </row>
    <row r="88" spans="1:29" s="1057" customFormat="1" ht="15.75" thickTop="1">
      <c r="A88" s="486"/>
      <c r="B88" s="615" t="str">
        <f>B26</f>
        <v>平面位置/可视性</v>
      </c>
      <c r="C88" s="630"/>
      <c r="D88" s="630"/>
      <c r="E88" s="630"/>
      <c r="F88" s="816"/>
      <c r="G88" s="630"/>
      <c r="H88" s="630"/>
      <c r="I88" s="630"/>
      <c r="J88" s="630"/>
      <c r="K88" s="630"/>
      <c r="L88" s="630"/>
      <c r="M88" s="815"/>
      <c r="N88" s="1764"/>
      <c r="O88" s="1764"/>
      <c r="P88" s="1764"/>
      <c r="Q88" s="1761"/>
      <c r="R88" s="1638"/>
      <c r="S88" s="1638"/>
      <c r="T88" s="1638"/>
      <c r="U88" s="1638"/>
      <c r="V88" s="1638"/>
      <c r="W88" s="1638"/>
      <c r="X88" s="1638"/>
      <c r="Y88" s="1638"/>
      <c r="Z88" s="1638"/>
      <c r="AA88" s="1638"/>
      <c r="AB88" s="1638"/>
      <c r="AC88" s="1638"/>
    </row>
    <row r="89" spans="1:29" s="1057" customFormat="1" ht="15.75" thickBot="1">
      <c r="A89" s="486"/>
      <c r="B89" s="620"/>
      <c r="C89" s="634"/>
      <c r="D89" s="613"/>
      <c r="E89" s="613"/>
      <c r="F89" s="613"/>
      <c r="G89" s="613"/>
      <c r="H89" s="613"/>
      <c r="I89" s="613"/>
      <c r="J89" s="613"/>
      <c r="K89" s="613"/>
      <c r="L89" s="613"/>
      <c r="M89" s="613"/>
      <c r="N89" s="1766"/>
      <c r="O89" s="1766"/>
      <c r="P89" s="1764"/>
      <c r="Q89" s="1761"/>
      <c r="R89" s="1638"/>
      <c r="S89" s="1638"/>
      <c r="T89" s="1638"/>
      <c r="U89" s="1638"/>
      <c r="V89" s="1638"/>
      <c r="W89" s="1638"/>
      <c r="X89" s="1638"/>
      <c r="Y89" s="1638"/>
      <c r="Z89" s="1638"/>
      <c r="AA89" s="1638"/>
      <c r="AB89" s="1638"/>
      <c r="AC89" s="1638"/>
    </row>
    <row r="90" spans="1:29" s="1131" customFormat="1" ht="15.75" thickTop="1">
      <c r="A90" s="629"/>
      <c r="B90" s="615" t="str">
        <f>B27</f>
        <v>人流量</v>
      </c>
      <c r="C90" s="630"/>
      <c r="D90" s="630"/>
      <c r="E90" s="630"/>
      <c r="F90" s="630"/>
      <c r="G90" s="630"/>
      <c r="H90" s="631"/>
      <c r="I90" s="631"/>
      <c r="J90" s="631"/>
      <c r="K90" s="631"/>
      <c r="L90" s="632"/>
      <c r="M90" s="633"/>
      <c r="N90" s="1767"/>
      <c r="O90" s="1767"/>
      <c r="P90" s="1767"/>
      <c r="Q90" s="1768"/>
      <c r="R90" s="1769"/>
      <c r="S90" s="1769"/>
      <c r="T90" s="1769"/>
      <c r="U90" s="1769"/>
      <c r="V90" s="1769"/>
      <c r="W90" s="1769"/>
      <c r="X90" s="1769"/>
      <c r="Y90" s="1769"/>
      <c r="Z90" s="1769"/>
      <c r="AA90" s="1769"/>
      <c r="AB90" s="1769"/>
      <c r="AC90" s="1769"/>
    </row>
    <row r="91" spans="1:29" s="1131"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2"/>
      <c r="B92" s="615" t="str">
        <f>B28</f>
        <v>楼层</v>
      </c>
      <c r="C92" s="630"/>
      <c r="D92" s="630"/>
      <c r="E92" s="630"/>
      <c r="F92" s="630"/>
      <c r="G92" s="630"/>
      <c r="H92" s="630"/>
      <c r="I92" s="630"/>
      <c r="J92" s="630"/>
      <c r="K92" s="630"/>
      <c r="L92" s="814"/>
      <c r="M92" s="815"/>
      <c r="N92" s="1765"/>
      <c r="O92" s="1765"/>
      <c r="P92" s="1764"/>
      <c r="Q92" s="1761"/>
      <c r="R92" s="1740"/>
      <c r="S92" s="1740"/>
      <c r="T92" s="1740"/>
      <c r="U92" s="1740"/>
      <c r="V92" s="1740"/>
      <c r="W92" s="1740"/>
      <c r="X92" s="1740"/>
      <c r="Y92" s="1740"/>
      <c r="Z92" s="1740"/>
      <c r="AA92" s="1740"/>
      <c r="AB92" s="1740"/>
      <c r="AC92" s="1740"/>
    </row>
    <row r="93" spans="1:29" ht="15.75" thickBot="1">
      <c r="A93" s="482"/>
      <c r="B93" s="620"/>
      <c r="C93" s="613"/>
      <c r="D93" s="613"/>
      <c r="E93" s="613"/>
      <c r="F93" s="613"/>
      <c r="G93" s="613"/>
      <c r="H93" s="613"/>
      <c r="I93" s="613"/>
      <c r="J93" s="613"/>
      <c r="K93" s="613"/>
      <c r="L93" s="613"/>
      <c r="M93" s="614"/>
      <c r="N93" s="1766"/>
      <c r="O93" s="1766"/>
      <c r="P93" s="1764"/>
      <c r="Q93" s="1761"/>
      <c r="R93" s="1740"/>
      <c r="S93" s="1740"/>
      <c r="T93" s="1740"/>
      <c r="U93" s="1740"/>
      <c r="V93" s="1740"/>
      <c r="W93" s="1740"/>
      <c r="X93" s="1740"/>
      <c r="Y93" s="1740"/>
      <c r="Z93" s="1740"/>
      <c r="AA93" s="1740"/>
      <c r="AB93" s="1740"/>
      <c r="AC93" s="1740"/>
    </row>
    <row r="94" spans="1:29" ht="15.75" thickTop="1">
      <c r="A94" s="482"/>
      <c r="B94" s="615">
        <f>B29</f>
        <v>111</v>
      </c>
      <c r="C94" s="630"/>
      <c r="D94" s="630"/>
      <c r="E94" s="630"/>
      <c r="F94" s="630"/>
      <c r="G94" s="658"/>
      <c r="H94" s="658"/>
      <c r="I94" s="658"/>
      <c r="J94" s="658"/>
      <c r="K94" s="659"/>
      <c r="L94" s="660"/>
      <c r="M94" s="661"/>
      <c r="N94" s="1765"/>
      <c r="O94" s="1765"/>
      <c r="P94" s="1764"/>
      <c r="Q94" s="1761"/>
      <c r="R94" s="1740"/>
      <c r="S94" s="1740"/>
      <c r="T94" s="1740"/>
      <c r="U94" s="1740"/>
      <c r="V94" s="1740"/>
      <c r="W94" s="1740"/>
      <c r="X94" s="1740"/>
      <c r="Y94" s="1740"/>
      <c r="Z94" s="1740"/>
      <c r="AA94" s="1740"/>
      <c r="AB94" s="1740"/>
      <c r="AC94" s="1740"/>
    </row>
    <row r="95" spans="1:29" ht="15.75" thickBot="1">
      <c r="A95" s="482"/>
      <c r="B95" s="620"/>
      <c r="C95" s="634"/>
      <c r="D95" s="613"/>
      <c r="E95" s="613"/>
      <c r="F95" s="613"/>
      <c r="G95" s="613"/>
      <c r="H95" s="613"/>
      <c r="I95" s="613"/>
      <c r="J95" s="613"/>
      <c r="K95" s="613"/>
      <c r="L95" s="613"/>
      <c r="M95" s="614"/>
      <c r="N95" s="1766"/>
      <c r="O95" s="1766"/>
      <c r="P95" s="1764"/>
      <c r="Q95" s="1761"/>
      <c r="R95" s="1740"/>
      <c r="S95" s="1740"/>
      <c r="T95" s="1740"/>
      <c r="U95" s="1740"/>
      <c r="V95" s="1740"/>
      <c r="W95" s="1740"/>
      <c r="X95" s="1740"/>
      <c r="Y95" s="1740"/>
      <c r="Z95" s="1740"/>
      <c r="AA95" s="1740"/>
      <c r="AB95" s="1740"/>
      <c r="AC95" s="1740"/>
    </row>
    <row r="96" spans="1:29" ht="15.75" thickTop="1">
      <c r="A96" s="482"/>
      <c r="B96" s="615">
        <f>B30</f>
        <v>111</v>
      </c>
      <c r="C96" s="630"/>
      <c r="D96" s="630"/>
      <c r="E96" s="630"/>
      <c r="F96" s="630"/>
      <c r="G96" s="658"/>
      <c r="H96" s="658"/>
      <c r="I96" s="658"/>
      <c r="J96" s="658"/>
      <c r="K96" s="659"/>
      <c r="L96" s="660"/>
      <c r="M96" s="661"/>
      <c r="N96" s="1765"/>
      <c r="O96" s="1765"/>
      <c r="P96" s="1764"/>
      <c r="Q96" s="1761"/>
      <c r="R96" s="1740"/>
      <c r="S96" s="1740"/>
      <c r="T96" s="1740"/>
      <c r="U96" s="1740"/>
      <c r="V96" s="1740"/>
      <c r="W96" s="1740"/>
      <c r="X96" s="1740"/>
      <c r="Y96" s="1740"/>
      <c r="Z96" s="1740"/>
      <c r="AA96" s="1740"/>
      <c r="AB96" s="1740"/>
      <c r="AC96" s="1740"/>
    </row>
    <row r="97" spans="1:29" ht="15.75" thickBot="1">
      <c r="A97" s="482"/>
      <c r="B97" s="620"/>
      <c r="C97" s="634"/>
      <c r="D97" s="613"/>
      <c r="E97" s="613"/>
      <c r="F97" s="613"/>
      <c r="G97" s="613"/>
      <c r="H97" s="613"/>
      <c r="I97" s="613"/>
      <c r="J97" s="613"/>
      <c r="K97" s="613"/>
      <c r="L97" s="613"/>
      <c r="M97" s="614"/>
      <c r="N97" s="1766"/>
      <c r="O97" s="1766"/>
      <c r="P97" s="1764"/>
      <c r="Q97" s="1761"/>
      <c r="R97" s="1740"/>
      <c r="S97" s="1740"/>
      <c r="T97" s="1740"/>
      <c r="U97" s="1740"/>
      <c r="V97" s="1740"/>
      <c r="W97" s="1740"/>
      <c r="X97" s="1740"/>
      <c r="Y97" s="1740"/>
      <c r="Z97" s="1740"/>
      <c r="AA97" s="1740"/>
      <c r="AB97" s="1740"/>
      <c r="AC97" s="1740"/>
    </row>
    <row r="98" spans="1:29" ht="15.75" thickTop="1">
      <c r="A98" s="482"/>
      <c r="B98" s="623">
        <f>B31</f>
        <v>111</v>
      </c>
      <c r="C98" s="630"/>
      <c r="D98" s="630"/>
      <c r="E98" s="630"/>
      <c r="F98" s="630"/>
      <c r="G98" s="662"/>
      <c r="H98" s="662"/>
      <c r="I98" s="662"/>
      <c r="J98" s="662"/>
      <c r="K98" s="663"/>
      <c r="L98" s="664"/>
      <c r="M98" s="665"/>
      <c r="N98" s="1765"/>
      <c r="O98" s="1765"/>
      <c r="P98" s="1764"/>
      <c r="Q98" s="1761"/>
      <c r="R98" s="1740"/>
      <c r="S98" s="1740"/>
      <c r="T98" s="1740"/>
      <c r="U98" s="1740"/>
      <c r="V98" s="1740"/>
      <c r="W98" s="1740"/>
      <c r="X98" s="1740"/>
      <c r="Y98" s="1740"/>
      <c r="Z98" s="1740"/>
      <c r="AA98" s="1740"/>
      <c r="AB98" s="1740"/>
      <c r="AC98" s="1740"/>
    </row>
    <row r="99" spans="1:29" ht="15.75" thickBot="1">
      <c r="A99" s="493"/>
      <c r="B99" s="641"/>
      <c r="C99" s="642"/>
      <c r="D99" s="642"/>
      <c r="E99" s="642"/>
      <c r="F99" s="642"/>
      <c r="G99" s="666"/>
      <c r="H99" s="666"/>
      <c r="I99" s="666"/>
      <c r="J99" s="666"/>
      <c r="K99" s="666"/>
      <c r="L99" s="666"/>
      <c r="M99" s="667"/>
      <c r="N99" s="1766"/>
      <c r="O99" s="1766"/>
      <c r="P99" s="1764"/>
      <c r="Q99" s="1761"/>
      <c r="R99" s="1740"/>
      <c r="S99" s="1740"/>
      <c r="T99" s="1740"/>
      <c r="U99" s="1740"/>
      <c r="V99" s="1740"/>
      <c r="W99" s="1740"/>
      <c r="X99" s="1740"/>
      <c r="Y99" s="1740"/>
      <c r="Z99" s="1740"/>
      <c r="AA99" s="1740"/>
      <c r="AB99" s="1740"/>
      <c r="AC99" s="1740"/>
    </row>
    <row r="100" spans="1:29">
      <c r="A100" s="607" t="s">
        <v>498</v>
      </c>
      <c r="B100" s="608" t="s">
        <v>710</v>
      </c>
      <c r="C100" s="547"/>
      <c r="D100" s="547"/>
      <c r="E100" s="547"/>
      <c r="F100" s="547"/>
      <c r="G100" s="547"/>
      <c r="H100" s="547"/>
      <c r="I100" s="547"/>
      <c r="J100" s="547"/>
      <c r="K100" s="609"/>
      <c r="L100" s="610"/>
      <c r="M100" s="611"/>
      <c r="N100" s="1765"/>
      <c r="O100" s="1765"/>
      <c r="P100" s="1764"/>
      <c r="Q100" s="1761"/>
      <c r="R100" s="1740"/>
      <c r="S100" s="1740"/>
      <c r="T100" s="1740"/>
      <c r="U100" s="1740"/>
      <c r="V100" s="1740"/>
      <c r="W100" s="1740"/>
      <c r="X100" s="1740"/>
      <c r="Y100" s="1740"/>
      <c r="Z100" s="1740"/>
      <c r="AA100" s="1740"/>
      <c r="AB100" s="1740"/>
      <c r="AC100" s="1740"/>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1" customFormat="1">
      <c r="A103" s="552"/>
      <c r="B103" s="668"/>
      <c r="C103" s="79"/>
      <c r="D103" s="79"/>
      <c r="E103" s="79"/>
      <c r="F103" s="79"/>
      <c r="G103" s="79"/>
      <c r="H103" s="79"/>
      <c r="I103" s="79"/>
      <c r="J103" s="669"/>
      <c r="K103" s="669"/>
      <c r="L103" s="670"/>
      <c r="M103" s="671"/>
      <c r="N103" s="1767"/>
      <c r="O103" s="1767"/>
      <c r="P103" s="1767"/>
      <c r="Q103" s="1768"/>
      <c r="R103" s="1769"/>
      <c r="S103" s="1769"/>
      <c r="T103" s="1769"/>
      <c r="U103" s="1769"/>
      <c r="V103" s="1769"/>
      <c r="W103" s="1769"/>
      <c r="X103" s="1769"/>
      <c r="Y103" s="1769"/>
      <c r="Z103" s="1769"/>
      <c r="AA103" s="1769"/>
      <c r="AB103" s="1769"/>
      <c r="AC103" s="1769"/>
    </row>
    <row r="104" spans="1:29" s="1131" customFormat="1" ht="15.75" thickBot="1">
      <c r="A104" s="629"/>
      <c r="B104" s="620"/>
      <c r="C104" s="634"/>
      <c r="D104" s="613"/>
      <c r="E104" s="613"/>
      <c r="F104" s="613"/>
      <c r="G104" s="613"/>
      <c r="H104" s="613"/>
      <c r="I104" s="613"/>
      <c r="J104" s="613"/>
      <c r="K104" s="613"/>
      <c r="L104" s="613"/>
      <c r="M104" s="614"/>
      <c r="N104" s="1766"/>
      <c r="O104" s="1766"/>
      <c r="P104" s="1767"/>
      <c r="Q104" s="1768"/>
      <c r="R104" s="1769"/>
      <c r="S104" s="1769"/>
      <c r="T104" s="1769"/>
      <c r="U104" s="1769"/>
      <c r="V104" s="1769"/>
      <c r="W104" s="1769"/>
      <c r="X104" s="1769"/>
      <c r="Y104" s="1769"/>
      <c r="Z104" s="1769"/>
      <c r="AA104" s="1769"/>
      <c r="AB104" s="1769"/>
      <c r="AC104" s="1769"/>
    </row>
    <row r="105" spans="1:29" ht="15" thickTop="1">
      <c r="A105" s="543"/>
      <c r="B105" s="615" t="s">
        <v>687</v>
      </c>
      <c r="C105" s="630"/>
      <c r="D105" s="630"/>
      <c r="E105" s="658"/>
      <c r="F105" s="658"/>
      <c r="G105" s="658"/>
      <c r="H105" s="658"/>
      <c r="I105" s="658"/>
      <c r="J105" s="658"/>
      <c r="K105" s="659"/>
      <c r="L105" s="660"/>
      <c r="M105" s="661"/>
      <c r="N105" s="1765"/>
      <c r="O105" s="1765"/>
      <c r="P105" s="1764"/>
      <c r="Q105" s="1761"/>
      <c r="R105" s="1740"/>
      <c r="S105" s="1740"/>
      <c r="T105" s="1740"/>
      <c r="U105" s="1740"/>
      <c r="V105" s="1740"/>
      <c r="W105" s="1740"/>
      <c r="X105" s="1740"/>
      <c r="Y105" s="1740"/>
      <c r="Z105" s="1740"/>
      <c r="AA105" s="1740"/>
      <c r="AB105" s="1740"/>
      <c r="AC105" s="1740"/>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3"/>
      <c r="B107" s="615" t="s">
        <v>689</v>
      </c>
      <c r="C107" s="630"/>
      <c r="D107" s="630"/>
      <c r="E107" s="630"/>
      <c r="F107" s="658"/>
      <c r="G107" s="658"/>
      <c r="H107" s="658"/>
      <c r="I107" s="658"/>
      <c r="J107" s="658"/>
      <c r="K107" s="659"/>
      <c r="L107" s="660"/>
      <c r="M107" s="661"/>
      <c r="N107" s="1765"/>
      <c r="O107" s="1765"/>
      <c r="P107" s="1764"/>
      <c r="Q107" s="1761"/>
      <c r="R107" s="1740"/>
      <c r="S107" s="1740"/>
      <c r="T107" s="1740"/>
      <c r="U107" s="1740"/>
      <c r="V107" s="1740"/>
      <c r="W107" s="1740"/>
      <c r="X107" s="1740"/>
      <c r="Y107" s="1740"/>
      <c r="Z107" s="1740"/>
      <c r="AA107" s="1740"/>
      <c r="AB107" s="1740"/>
      <c r="AC107" s="1740"/>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3"/>
      <c r="B109" s="615" t="s">
        <v>690</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5"/>
      <c r="O109" s="1765"/>
      <c r="P109" s="1764"/>
      <c r="Q109" s="1761"/>
      <c r="R109" s="1740"/>
      <c r="S109" s="1740"/>
      <c r="T109" s="1740"/>
      <c r="U109" s="1740"/>
      <c r="V109" s="1740"/>
      <c r="W109" s="1740"/>
      <c r="X109" s="1740"/>
      <c r="Y109" s="1740"/>
      <c r="Z109" s="1740"/>
      <c r="AA109" s="1740"/>
      <c r="AB109" s="1740"/>
      <c r="AC109" s="1740"/>
    </row>
    <row r="110" spans="1:29">
      <c r="A110" s="543"/>
      <c r="B110" s="623"/>
      <c r="C110" s="817">
        <v>0.5</v>
      </c>
      <c r="D110" s="817">
        <v>0.6</v>
      </c>
      <c r="E110" s="817">
        <v>0.7</v>
      </c>
      <c r="F110" s="817">
        <v>0.8</v>
      </c>
      <c r="G110" s="817">
        <v>0.9</v>
      </c>
      <c r="H110" s="817">
        <v>1.0001</v>
      </c>
      <c r="I110" s="827"/>
      <c r="J110" s="827"/>
      <c r="K110" s="828"/>
      <c r="L110" s="829"/>
      <c r="M110" s="830"/>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6"/>
      <c r="O111" s="1766"/>
      <c r="P111" s="1764"/>
      <c r="Q111" s="1761"/>
      <c r="R111" s="1740"/>
      <c r="S111" s="1740"/>
      <c r="T111" s="1740"/>
      <c r="U111" s="1740"/>
      <c r="V111" s="1740"/>
      <c r="W111" s="1740"/>
      <c r="X111" s="1740"/>
      <c r="Y111" s="1740"/>
      <c r="Z111" s="1740"/>
      <c r="AA111" s="1740"/>
      <c r="AB111" s="1740"/>
      <c r="AC111" s="1740"/>
    </row>
    <row r="112" spans="1:29" s="1131" customFormat="1" ht="15" thickTop="1">
      <c r="A112" s="552"/>
      <c r="B112" s="1553" t="s">
        <v>1837</v>
      </c>
      <c r="C112" s="630"/>
      <c r="D112" s="630"/>
      <c r="E112" s="630"/>
      <c r="F112" s="630"/>
      <c r="G112" s="630"/>
      <c r="H112" s="658"/>
      <c r="I112" s="658"/>
      <c r="J112" s="658"/>
      <c r="K112" s="659"/>
      <c r="L112" s="660"/>
      <c r="M112" s="661"/>
      <c r="N112" s="1767"/>
      <c r="O112" s="1767"/>
      <c r="P112" s="1767"/>
      <c r="Q112" s="1768"/>
      <c r="R112" s="1769"/>
      <c r="S112" s="1769"/>
      <c r="T112" s="1769"/>
      <c r="U112" s="1769"/>
      <c r="V112" s="1769"/>
      <c r="W112" s="1769"/>
      <c r="X112" s="1769"/>
      <c r="Y112" s="1769"/>
      <c r="Z112" s="1769"/>
      <c r="AA112" s="1769"/>
      <c r="AB112" s="1769"/>
      <c r="AC112" s="1769"/>
    </row>
    <row r="113" spans="1:29" s="1131"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3"/>
      <c r="B114" s="615" t="s">
        <v>711</v>
      </c>
      <c r="C114" s="630"/>
      <c r="D114" s="630"/>
      <c r="E114" s="658"/>
      <c r="F114" s="658"/>
      <c r="G114" s="658"/>
      <c r="H114" s="658"/>
      <c r="I114" s="658"/>
      <c r="J114" s="658"/>
      <c r="K114" s="659"/>
      <c r="L114" s="660"/>
      <c r="M114" s="661"/>
      <c r="N114" s="1765"/>
      <c r="O114" s="1765"/>
      <c r="P114" s="1764"/>
      <c r="Q114" s="1761"/>
      <c r="R114" s="1740"/>
      <c r="S114" s="1740"/>
      <c r="T114" s="1740"/>
      <c r="U114" s="1740"/>
      <c r="V114" s="1740"/>
      <c r="W114" s="1740"/>
      <c r="X114" s="1740"/>
      <c r="Y114" s="1740"/>
      <c r="Z114" s="1740"/>
      <c r="AA114" s="1740"/>
      <c r="AB114" s="1740"/>
      <c r="AC114" s="1740"/>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3"/>
      <c r="B116" s="615" t="s">
        <v>712</v>
      </c>
      <c r="C116" s="630"/>
      <c r="D116" s="630"/>
      <c r="E116" s="630"/>
      <c r="F116" s="630"/>
      <c r="G116" s="630"/>
      <c r="H116" s="658"/>
      <c r="I116" s="658"/>
      <c r="J116" s="658"/>
      <c r="K116" s="659"/>
      <c r="L116" s="660"/>
      <c r="M116" s="661"/>
      <c r="N116" s="1765"/>
      <c r="O116" s="1765"/>
      <c r="P116" s="1764"/>
      <c r="Q116" s="1761"/>
      <c r="R116" s="1740"/>
      <c r="S116" s="1740"/>
      <c r="T116" s="1740"/>
      <c r="U116" s="1740"/>
      <c r="V116" s="1740"/>
      <c r="W116" s="1740"/>
      <c r="X116" s="1740"/>
      <c r="Y116" s="1740"/>
      <c r="Z116" s="1740"/>
      <c r="AA116" s="1740"/>
      <c r="AB116" s="1740"/>
      <c r="AC116" s="1740"/>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6"/>
      <c r="O117" s="1766"/>
      <c r="P117" s="1764"/>
      <c r="Q117" s="1761"/>
      <c r="R117" s="1740"/>
      <c r="S117" s="1740"/>
      <c r="T117" s="1740"/>
      <c r="U117" s="1740"/>
      <c r="V117" s="1740"/>
      <c r="W117" s="1740"/>
      <c r="X117" s="1740"/>
      <c r="Y117" s="1740"/>
      <c r="Z117" s="1740"/>
      <c r="AA117" s="1740"/>
      <c r="AB117" s="1740"/>
      <c r="AC117" s="1740"/>
    </row>
    <row r="118" spans="1:29" ht="15" thickTop="1">
      <c r="A118" s="543"/>
      <c r="B118" s="615" t="s">
        <v>713</v>
      </c>
      <c r="C118" s="831"/>
      <c r="D118" s="831"/>
      <c r="E118" s="831"/>
      <c r="F118" s="831"/>
      <c r="G118" s="831"/>
      <c r="H118" s="631"/>
      <c r="I118" s="631"/>
      <c r="J118" s="631"/>
      <c r="K118" s="631"/>
      <c r="L118" s="632"/>
      <c r="M118" s="633"/>
      <c r="N118" s="1765"/>
      <c r="O118" s="1765"/>
      <c r="P118" s="1764"/>
      <c r="Q118" s="1761"/>
      <c r="R118" s="1740"/>
      <c r="S118" s="1740"/>
      <c r="T118" s="1740"/>
      <c r="U118" s="1740"/>
      <c r="V118" s="1740"/>
      <c r="W118" s="1740"/>
      <c r="X118" s="1740"/>
      <c r="Y118" s="1740"/>
      <c r="Z118" s="1740"/>
      <c r="AA118" s="1740"/>
      <c r="AB118" s="1740"/>
      <c r="AC118" s="1740"/>
    </row>
    <row r="119" spans="1:29" ht="15.75" thickBot="1">
      <c r="A119" s="482"/>
      <c r="B119" s="620"/>
      <c r="C119" s="634"/>
      <c r="D119" s="613"/>
      <c r="E119" s="613"/>
      <c r="F119" s="613"/>
      <c r="G119" s="613"/>
      <c r="H119" s="613"/>
      <c r="I119" s="613"/>
      <c r="J119" s="613"/>
      <c r="K119" s="613"/>
      <c r="L119" s="613"/>
      <c r="M119" s="614"/>
      <c r="N119" s="1766"/>
      <c r="O119" s="1766"/>
      <c r="P119" s="1764"/>
      <c r="Q119" s="1761"/>
      <c r="R119" s="1740"/>
      <c r="S119" s="1740"/>
      <c r="T119" s="1740"/>
      <c r="U119" s="1740"/>
      <c r="V119" s="1740"/>
      <c r="W119" s="1740"/>
      <c r="X119" s="1740"/>
      <c r="Y119" s="1740"/>
      <c r="Z119" s="1740"/>
      <c r="AA119" s="1740"/>
      <c r="AB119" s="1740"/>
      <c r="AC119" s="1740"/>
    </row>
    <row r="120" spans="1:29" s="1131" customFormat="1" ht="15" thickTop="1">
      <c r="A120" s="552"/>
      <c r="B120" s="615" t="s">
        <v>714</v>
      </c>
      <c r="C120" s="658"/>
      <c r="D120" s="658"/>
      <c r="E120" s="658"/>
      <c r="F120" s="658"/>
      <c r="G120" s="631"/>
      <c r="H120" s="631"/>
      <c r="I120" s="631"/>
      <c r="J120" s="631"/>
      <c r="K120" s="631"/>
      <c r="L120" s="632"/>
      <c r="M120" s="633"/>
      <c r="N120" s="1767"/>
      <c r="O120" s="1767"/>
      <c r="P120" s="1767"/>
      <c r="Q120" s="1768"/>
      <c r="R120" s="1769"/>
      <c r="S120" s="1769"/>
      <c r="T120" s="1769"/>
      <c r="U120" s="1769"/>
      <c r="V120" s="1769"/>
      <c r="W120" s="1769"/>
      <c r="X120" s="1769"/>
      <c r="Y120" s="1769"/>
      <c r="Z120" s="1769"/>
      <c r="AA120" s="1769"/>
      <c r="AB120" s="1769"/>
      <c r="AC120" s="1769"/>
    </row>
    <row r="121" spans="1:29" s="1131"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3"/>
      <c r="B122" s="615" t="s">
        <v>693</v>
      </c>
      <c r="C122" s="630"/>
      <c r="D122" s="630"/>
      <c r="E122" s="630"/>
      <c r="F122" s="658"/>
      <c r="G122" s="658"/>
      <c r="H122" s="658"/>
      <c r="I122" s="658"/>
      <c r="J122" s="658"/>
      <c r="K122" s="659"/>
      <c r="L122" s="660"/>
      <c r="M122" s="661"/>
      <c r="N122" s="1765"/>
      <c r="O122" s="1765"/>
      <c r="P122" s="1764"/>
      <c r="Q122" s="1761"/>
      <c r="R122" s="1740"/>
      <c r="S122" s="1740"/>
      <c r="T122" s="1740"/>
      <c r="U122" s="1740"/>
      <c r="V122" s="1740"/>
      <c r="W122" s="1740"/>
      <c r="X122" s="1740"/>
      <c r="Y122" s="1740"/>
      <c r="Z122" s="1740"/>
      <c r="AA122" s="1740"/>
      <c r="AB122" s="1740"/>
      <c r="AC122" s="1740"/>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5"/>
      <c r="O124" s="1765"/>
      <c r="P124" s="1767"/>
      <c r="Q124" s="1761"/>
      <c r="R124" s="1740"/>
      <c r="S124" s="1740"/>
      <c r="T124" s="1740"/>
      <c r="U124" s="1740"/>
      <c r="V124" s="1740"/>
      <c r="W124" s="1740"/>
      <c r="X124" s="1740"/>
      <c r="Y124" s="1740"/>
      <c r="Z124" s="1740"/>
      <c r="AA124" s="1740"/>
      <c r="AB124" s="1740"/>
      <c r="AC124" s="1740"/>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6"/>
      <c r="O125" s="1766"/>
      <c r="P125" s="1764"/>
      <c r="Q125" s="1761"/>
      <c r="R125" s="1740"/>
      <c r="S125" s="1740"/>
      <c r="T125" s="1740"/>
      <c r="U125" s="1740"/>
      <c r="V125" s="1740"/>
      <c r="W125" s="1740"/>
      <c r="X125" s="1740"/>
      <c r="Y125" s="1740"/>
      <c r="Z125" s="1740"/>
      <c r="AA125" s="1740"/>
      <c r="AB125" s="1740"/>
      <c r="AC125" s="1740"/>
    </row>
    <row r="126" spans="1:29" s="1131" customFormat="1" ht="15" thickTop="1">
      <c r="A126" s="552"/>
      <c r="B126" s="615">
        <f>B44</f>
        <v>111</v>
      </c>
      <c r="C126" s="630"/>
      <c r="D126" s="630"/>
      <c r="E126" s="630"/>
      <c r="F126" s="630"/>
      <c r="G126" s="630"/>
      <c r="H126" s="631"/>
      <c r="I126" s="631"/>
      <c r="J126" s="631"/>
      <c r="K126" s="631"/>
      <c r="L126" s="632"/>
      <c r="M126" s="633"/>
      <c r="N126" s="1767"/>
      <c r="O126" s="1767"/>
      <c r="P126" s="1767"/>
      <c r="Q126" s="1768"/>
      <c r="R126" s="1769"/>
      <c r="S126" s="1769"/>
      <c r="T126" s="1769"/>
      <c r="U126" s="1769"/>
      <c r="V126" s="1769"/>
      <c r="W126" s="1769"/>
      <c r="X126" s="1769"/>
      <c r="Y126" s="1769"/>
      <c r="Z126" s="1769"/>
      <c r="AA126" s="1769"/>
      <c r="AB126" s="1769"/>
      <c r="AC126" s="1769"/>
    </row>
    <row r="127" spans="1:29" s="1131" customFormat="1" ht="15.75" thickBot="1">
      <c r="A127" s="629"/>
      <c r="B127" s="620"/>
      <c r="C127" s="634"/>
      <c r="D127" s="613"/>
      <c r="E127" s="613"/>
      <c r="F127" s="613"/>
      <c r="G127" s="634"/>
      <c r="H127" s="635"/>
      <c r="I127" s="635"/>
      <c r="J127" s="635"/>
      <c r="K127" s="635"/>
      <c r="L127" s="635"/>
      <c r="M127" s="636"/>
      <c r="N127" s="1767"/>
      <c r="O127" s="1767"/>
      <c r="P127" s="1767"/>
      <c r="Q127" s="1768"/>
      <c r="R127" s="1769"/>
      <c r="S127" s="1769"/>
      <c r="T127" s="1769"/>
      <c r="U127" s="1769"/>
      <c r="V127" s="1769"/>
      <c r="W127" s="1769"/>
      <c r="X127" s="1769"/>
      <c r="Y127" s="1769"/>
      <c r="Z127" s="1769"/>
      <c r="AA127" s="1769"/>
      <c r="AB127" s="1769"/>
      <c r="AC127" s="1769"/>
    </row>
    <row r="128" spans="1:29" ht="15" thickTop="1">
      <c r="A128" s="543"/>
      <c r="B128" s="615">
        <f>B45</f>
        <v>111</v>
      </c>
      <c r="C128" s="630"/>
      <c r="D128" s="630"/>
      <c r="E128" s="630"/>
      <c r="F128" s="630"/>
      <c r="G128" s="658"/>
      <c r="H128" s="658"/>
      <c r="I128" s="658"/>
      <c r="J128" s="658"/>
      <c r="K128" s="659"/>
      <c r="L128" s="660"/>
      <c r="M128" s="661"/>
      <c r="N128" s="1765"/>
      <c r="O128" s="1765"/>
      <c r="P128" s="1764"/>
      <c r="Q128" s="1761"/>
      <c r="R128" s="1740"/>
      <c r="S128" s="1740"/>
      <c r="T128" s="1740"/>
      <c r="U128" s="1740"/>
      <c r="V128" s="1740"/>
      <c r="W128" s="1740"/>
      <c r="X128" s="1740"/>
      <c r="Y128" s="1740"/>
      <c r="Z128" s="1740"/>
      <c r="AA128" s="1740"/>
      <c r="AB128" s="1740"/>
      <c r="AC128" s="1740"/>
    </row>
    <row r="129" spans="1:29" ht="15.75" thickBot="1">
      <c r="A129" s="482"/>
      <c r="B129" s="620"/>
      <c r="C129" s="634"/>
      <c r="D129" s="613"/>
      <c r="E129" s="613"/>
      <c r="F129" s="613"/>
      <c r="G129" s="613"/>
      <c r="H129" s="613"/>
      <c r="I129" s="613"/>
      <c r="J129" s="613"/>
      <c r="K129" s="613"/>
      <c r="L129" s="613"/>
      <c r="M129" s="614"/>
      <c r="N129" s="1766"/>
      <c r="O129" s="1766"/>
      <c r="P129" s="1764"/>
      <c r="Q129" s="1761"/>
      <c r="R129" s="1740"/>
      <c r="S129" s="1740"/>
      <c r="T129" s="1740"/>
      <c r="U129" s="1740"/>
      <c r="V129" s="1740"/>
      <c r="W129" s="1740"/>
      <c r="X129" s="1740"/>
      <c r="Y129" s="1740"/>
      <c r="Z129" s="1740"/>
      <c r="AA129" s="1740"/>
      <c r="AB129" s="1740"/>
      <c r="AC129" s="1740"/>
    </row>
    <row r="130" spans="1:29" ht="15" thickTop="1">
      <c r="A130" s="543"/>
      <c r="B130" s="623">
        <f>B46</f>
        <v>111</v>
      </c>
      <c r="C130" s="630"/>
      <c r="D130" s="630"/>
      <c r="E130" s="630"/>
      <c r="F130" s="630"/>
      <c r="G130" s="662"/>
      <c r="H130" s="662"/>
      <c r="I130" s="662"/>
      <c r="J130" s="662"/>
      <c r="K130" s="80"/>
      <c r="L130" s="605"/>
      <c r="M130" s="665"/>
      <c r="N130" s="1765"/>
      <c r="O130" s="1765"/>
      <c r="P130" s="1764"/>
      <c r="Q130" s="1761"/>
      <c r="R130" s="1740"/>
      <c r="S130" s="1740"/>
      <c r="T130" s="1740"/>
      <c r="U130" s="1740"/>
      <c r="V130" s="1740"/>
      <c r="W130" s="1740"/>
      <c r="X130" s="1740"/>
      <c r="Y130" s="1740"/>
      <c r="Z130" s="1740"/>
      <c r="AA130" s="1740"/>
      <c r="AB130" s="1740"/>
      <c r="AC130" s="1740"/>
    </row>
    <row r="131" spans="1:29" ht="15.75" thickBot="1">
      <c r="A131" s="493"/>
      <c r="B131" s="641"/>
      <c r="C131" s="642"/>
      <c r="D131" s="642"/>
      <c r="E131" s="642"/>
      <c r="F131" s="642"/>
      <c r="G131" s="666"/>
      <c r="H131" s="666"/>
      <c r="I131" s="666"/>
      <c r="J131" s="666"/>
      <c r="K131" s="666"/>
      <c r="L131" s="666"/>
      <c r="M131" s="667"/>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815"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663</v>
      </c>
      <c r="B1" s="454" t="s">
        <v>715</v>
      </c>
      <c r="C1" s="455" t="s">
        <v>665</v>
      </c>
      <c r="D1" s="783"/>
      <c r="E1" s="457"/>
      <c r="F1" s="2116"/>
      <c r="G1" s="1326" t="s">
        <v>666</v>
      </c>
      <c r="H1" s="457"/>
      <c r="I1" s="457"/>
      <c r="J1" s="457"/>
      <c r="K1" s="458"/>
      <c r="L1" s="2716"/>
      <c r="M1" s="2717"/>
      <c r="N1" s="2717"/>
      <c r="O1" s="2717"/>
      <c r="P1" s="2772"/>
      <c r="Q1" s="1738"/>
      <c r="R1" s="1738"/>
      <c r="S1" s="1738"/>
      <c r="T1" s="1738"/>
      <c r="U1" s="1738"/>
      <c r="V1" s="1738"/>
      <c r="W1" s="1738"/>
      <c r="X1" s="1738"/>
      <c r="Y1" s="1738"/>
      <c r="Z1" s="1738"/>
      <c r="AA1" s="1738"/>
      <c r="AB1" s="1738"/>
      <c r="AC1" s="1672"/>
    </row>
    <row r="2" spans="1:29" s="1128" customFormat="1" ht="28.5" customHeight="1">
      <c r="A2" s="393" t="s">
        <v>425</v>
      </c>
      <c r="B2" s="784" t="e">
        <f>ROUND(B3*D3/10000,0)</f>
        <v>#DIV/0!</v>
      </c>
      <c r="C2" s="1733"/>
      <c r="D2" s="1733"/>
      <c r="E2" s="1672"/>
      <c r="F2" s="1735"/>
      <c r="G2" s="1734"/>
      <c r="H2" s="1734"/>
      <c r="I2" s="1734"/>
      <c r="J2" s="1734"/>
      <c r="K2" s="1734"/>
      <c r="L2" s="1737"/>
      <c r="M2" s="1738"/>
      <c r="N2" s="1738"/>
      <c r="O2" s="1738"/>
      <c r="P2" s="2772"/>
      <c r="Q2" s="1738"/>
      <c r="R2" s="1738"/>
      <c r="S2" s="1738"/>
      <c r="T2" s="1738"/>
      <c r="U2" s="1738"/>
      <c r="V2" s="1738"/>
      <c r="W2" s="1738"/>
      <c r="X2" s="1738"/>
      <c r="Y2" s="1738"/>
      <c r="Z2" s="1738"/>
      <c r="AA2" s="1738"/>
      <c r="AB2" s="1738"/>
      <c r="AC2" s="1672"/>
    </row>
    <row r="3" spans="1:29" s="1128" customFormat="1" ht="28.5" customHeight="1" thickBot="1">
      <c r="A3" s="460" t="s">
        <v>466</v>
      </c>
      <c r="B3" s="461" t="e">
        <f>C50</f>
        <v>#DIV/0!</v>
      </c>
      <c r="C3" s="786" t="s">
        <v>667</v>
      </c>
      <c r="D3" s="785">
        <f>SUMIF('数据-汇总表'!$C19:$C33,D1,'数据-汇总表'!$E19:$E33)</f>
        <v>0</v>
      </c>
      <c r="E3" s="1672"/>
      <c r="F3" s="1735"/>
      <c r="G3" s="1734"/>
      <c r="H3" s="1734"/>
      <c r="I3" s="1734"/>
      <c r="J3" s="1734"/>
      <c r="K3" s="1736"/>
      <c r="L3" s="1737"/>
      <c r="M3" s="1738"/>
      <c r="N3" s="1738"/>
      <c r="O3" s="1738"/>
      <c r="P3" s="2772"/>
      <c r="Q3" s="1738"/>
      <c r="R3" s="1738"/>
      <c r="S3" s="1738"/>
      <c r="T3" s="1738"/>
      <c r="U3" s="1738"/>
      <c r="V3" s="1738"/>
      <c r="W3" s="1738"/>
      <c r="X3" s="1738"/>
      <c r="Y3" s="1738"/>
      <c r="Z3" s="1738"/>
      <c r="AA3" s="1738"/>
      <c r="AB3" s="1738"/>
      <c r="AC3" s="1672"/>
    </row>
    <row r="4" spans="1:29" ht="15">
      <c r="A4" s="463" t="s">
        <v>468</v>
      </c>
      <c r="B4" s="464"/>
      <c r="C4" s="3604" t="s">
        <v>469</v>
      </c>
      <c r="D4" s="3605"/>
      <c r="E4" s="3639" t="s">
        <v>470</v>
      </c>
      <c r="F4" s="3640"/>
      <c r="G4" s="3604" t="s">
        <v>471</v>
      </c>
      <c r="H4" s="3605"/>
      <c r="I4" s="3604" t="s">
        <v>472</v>
      </c>
      <c r="J4" s="3605"/>
      <c r="K4" s="465" t="s">
        <v>473</v>
      </c>
      <c r="L4" s="1739"/>
      <c r="M4" s="1740"/>
      <c r="N4" s="1740"/>
      <c r="O4" s="1740"/>
      <c r="P4" s="3731" t="s">
        <v>474</v>
      </c>
      <c r="Q4" s="3607"/>
      <c r="R4" s="3612" t="s">
        <v>470</v>
      </c>
      <c r="S4" s="3613"/>
      <c r="T4" s="3612" t="s">
        <v>471</v>
      </c>
      <c r="U4" s="3613"/>
      <c r="V4" s="3599" t="s">
        <v>472</v>
      </c>
      <c r="W4" s="3599"/>
      <c r="X4" s="1300"/>
      <c r="Y4" s="3612" t="s">
        <v>474</v>
      </c>
      <c r="Z4" s="3613"/>
      <c r="AA4" s="3601" t="s">
        <v>470</v>
      </c>
      <c r="AB4" s="3601" t="s">
        <v>471</v>
      </c>
      <c r="AC4" s="3601" t="s">
        <v>472</v>
      </c>
    </row>
    <row r="5" spans="1:29" ht="15">
      <c r="A5" s="466"/>
      <c r="B5" s="467"/>
      <c r="C5" s="3620" t="s">
        <v>2180</v>
      </c>
      <c r="D5" s="3621"/>
      <c r="E5" s="3641" t="s">
        <v>2181</v>
      </c>
      <c r="F5" s="3642"/>
      <c r="G5" s="3620" t="s">
        <v>2182</v>
      </c>
      <c r="H5" s="3621"/>
      <c r="I5" s="3620" t="s">
        <v>2183</v>
      </c>
      <c r="J5" s="3621"/>
      <c r="K5" s="465"/>
      <c r="L5" s="1739"/>
      <c r="M5" s="1740"/>
      <c r="N5" s="1740"/>
      <c r="O5" s="1740"/>
      <c r="P5" s="3732"/>
      <c r="Q5" s="3609"/>
      <c r="R5" s="3614"/>
      <c r="S5" s="3615"/>
      <c r="T5" s="3614"/>
      <c r="U5" s="3615"/>
      <c r="V5" s="3599"/>
      <c r="W5" s="3599"/>
      <c r="X5" s="1300"/>
      <c r="Y5" s="3614"/>
      <c r="Z5" s="3615"/>
      <c r="AA5" s="3602"/>
      <c r="AB5" s="3602"/>
      <c r="AC5" s="3602"/>
    </row>
    <row r="6" spans="1:29" ht="15.75" thickBot="1">
      <c r="A6" s="468"/>
      <c r="B6" s="469"/>
      <c r="C6" s="3618" t="s">
        <v>2184</v>
      </c>
      <c r="D6" s="3619"/>
      <c r="E6" s="3637" t="s">
        <v>2184</v>
      </c>
      <c r="F6" s="3638"/>
      <c r="G6" s="3618" t="s">
        <v>2184</v>
      </c>
      <c r="H6" s="3619"/>
      <c r="I6" s="3618" t="s">
        <v>2184</v>
      </c>
      <c r="J6" s="3619"/>
      <c r="K6" s="465" t="s">
        <v>475</v>
      </c>
      <c r="L6" s="1739"/>
      <c r="M6" s="1740"/>
      <c r="N6" s="1740"/>
      <c r="O6" s="1740"/>
      <c r="P6" s="3733"/>
      <c r="Q6" s="3611"/>
      <c r="R6" s="3614"/>
      <c r="S6" s="3615"/>
      <c r="T6" s="3616"/>
      <c r="U6" s="3617"/>
      <c r="V6" s="3599"/>
      <c r="W6" s="3599"/>
      <c r="X6" s="1300"/>
      <c r="Y6" s="3616"/>
      <c r="Z6" s="3617"/>
      <c r="AA6" s="3603"/>
      <c r="AB6" s="3603"/>
      <c r="AC6" s="3603"/>
    </row>
    <row r="7" spans="1:29" s="1057" customFormat="1" ht="15.75" thickBot="1">
      <c r="A7" s="2207"/>
      <c r="B7" s="2214" t="s">
        <v>476</v>
      </c>
      <c r="C7" s="470">
        <f>'数据-取费表'!B2</f>
        <v>45817</v>
      </c>
      <c r="D7" s="471">
        <v>100</v>
      </c>
      <c r="E7" s="472"/>
      <c r="F7" s="473">
        <f>SUMIF(59:59,YEAR(E7)&amp;"-"&amp;MONTH(E7),60:60)</f>
        <v>0</v>
      </c>
      <c r="G7" s="472"/>
      <c r="H7" s="471">
        <f>SUMIF(59:59,YEAR(G7)&amp;"-"&amp;MONTH(G7),60:60)</f>
        <v>0</v>
      </c>
      <c r="I7" s="472"/>
      <c r="J7" s="471">
        <f>SUMIF(59:59,YEAR(I7)&amp;"-"&amp;MONTH(I7),60:60)</f>
        <v>0</v>
      </c>
      <c r="K7" s="88"/>
      <c r="L7" s="1741"/>
      <c r="M7" s="1638"/>
      <c r="N7" s="1638"/>
      <c r="O7" s="1638"/>
      <c r="P7" s="3630" t="s">
        <v>477</v>
      </c>
      <c r="Q7" s="3630"/>
      <c r="R7" s="1301" t="s">
        <v>5</v>
      </c>
      <c r="S7" s="1302">
        <f t="shared" ref="S7:S15" si="0">F7</f>
        <v>0</v>
      </c>
      <c r="T7" s="1301" t="s">
        <v>5</v>
      </c>
      <c r="U7" s="1302">
        <f t="shared" ref="U7:U15" si="1">H7</f>
        <v>0</v>
      </c>
      <c r="V7" s="1301" t="s">
        <v>5</v>
      </c>
      <c r="W7" s="1302">
        <f t="shared" ref="W7:W15" si="2">J7</f>
        <v>0</v>
      </c>
      <c r="X7" s="1303"/>
      <c r="Y7" s="3628" t="s">
        <v>477</v>
      </c>
      <c r="Z7" s="3629"/>
      <c r="AA7" s="994" t="e">
        <f>D7/F7</f>
        <v>#DIV/0!</v>
      </c>
      <c r="AB7" s="994" t="e">
        <f>D7/H7</f>
        <v>#DIV/0!</v>
      </c>
      <c r="AC7" s="994" t="e">
        <f>D7/J7</f>
        <v>#DIV/0!</v>
      </c>
    </row>
    <row r="8" spans="1:29" s="1057" customFormat="1" ht="15.75" thickBot="1">
      <c r="A8" s="2208"/>
      <c r="B8" s="2215" t="s">
        <v>478</v>
      </c>
      <c r="C8" s="475" t="s">
        <v>522</v>
      </c>
      <c r="D8" s="471">
        <v>100</v>
      </c>
      <c r="E8" s="475"/>
      <c r="F8" s="473">
        <f>SUMIF(62:62,E8,63:63)-SUMIF(62:62,C8,63:63)+100</f>
        <v>0</v>
      </c>
      <c r="G8" s="475"/>
      <c r="H8" s="471">
        <f>SUMIF(62:62,G8,63:63)-SUMIF(62:62,C8,63:63)+100</f>
        <v>0</v>
      </c>
      <c r="I8" s="475"/>
      <c r="J8" s="471">
        <f>SUMIF(62:62,I8,63:63)-SUMIF(62:62,C8,63:63)+100</f>
        <v>0</v>
      </c>
      <c r="K8" s="88"/>
      <c r="L8" s="1741"/>
      <c r="M8" s="1638"/>
      <c r="N8" s="1638"/>
      <c r="O8" s="1638"/>
      <c r="P8" s="3630" t="s">
        <v>480</v>
      </c>
      <c r="Q8" s="3629"/>
      <c r="R8" s="1301" t="s">
        <v>5</v>
      </c>
      <c r="S8" s="1302">
        <f t="shared" si="0"/>
        <v>0</v>
      </c>
      <c r="T8" s="1301" t="s">
        <v>5</v>
      </c>
      <c r="U8" s="1302">
        <f t="shared" si="1"/>
        <v>0</v>
      </c>
      <c r="V8" s="1301" t="s">
        <v>5</v>
      </c>
      <c r="W8" s="1302">
        <f t="shared" si="2"/>
        <v>0</v>
      </c>
      <c r="X8" s="1303"/>
      <c r="Y8" s="3628" t="s">
        <v>480</v>
      </c>
      <c r="Z8" s="3629"/>
      <c r="AA8" s="994" t="e">
        <f t="shared" ref="AA8:AA47" si="3">D8/F8</f>
        <v>#DIV/0!</v>
      </c>
      <c r="AB8" s="994" t="e">
        <f t="shared" ref="AB8:AB47" si="4">D8/H8</f>
        <v>#DIV/0!</v>
      </c>
      <c r="AC8" s="994" t="e">
        <f t="shared" ref="AC8:AC47" si="5">D8/J8</f>
        <v>#DIV/0!</v>
      </c>
    </row>
    <row r="9" spans="1:29" s="1057" customFormat="1" ht="15">
      <c r="A9" s="2209"/>
      <c r="B9" s="2216" t="s">
        <v>2036</v>
      </c>
      <c r="C9" s="791"/>
      <c r="D9" s="154">
        <v>100</v>
      </c>
      <c r="E9" s="793"/>
      <c r="F9" s="154">
        <f>SUMIF(64:64,E9,65:65)-SUMIF(64:64,C9,65:65)+100</f>
        <v>100</v>
      </c>
      <c r="G9" s="792"/>
      <c r="H9" s="154">
        <f>SUMIF(64:64,G9,65:65)-SUMIF(64:64,C9,65:65)+100</f>
        <v>100</v>
      </c>
      <c r="I9" s="792"/>
      <c r="J9" s="154">
        <f>SUMIF(64:64,I9,65:65)-SUMIF(64:64,C9,65:65)+100</f>
        <v>100</v>
      </c>
      <c r="K9" s="88"/>
      <c r="L9" s="1741"/>
      <c r="M9" s="1638"/>
      <c r="N9" s="1638"/>
      <c r="O9" s="1638"/>
      <c r="P9" s="3598" t="s">
        <v>482</v>
      </c>
      <c r="Q9" s="817" t="str">
        <f t="shared" ref="Q9:Q15" si="6">B9</f>
        <v>用途</v>
      </c>
      <c r="R9" s="1301" t="s">
        <v>5</v>
      </c>
      <c r="S9" s="1302">
        <f t="shared" si="0"/>
        <v>100</v>
      </c>
      <c r="T9" s="1301" t="s">
        <v>5</v>
      </c>
      <c r="U9" s="1302">
        <f t="shared" si="1"/>
        <v>100</v>
      </c>
      <c r="V9" s="1301" t="s">
        <v>5</v>
      </c>
      <c r="W9" s="1302">
        <f t="shared" si="2"/>
        <v>100</v>
      </c>
      <c r="X9" s="1303"/>
      <c r="Y9" s="3540" t="s">
        <v>483</v>
      </c>
      <c r="Z9" s="994" t="str">
        <f t="shared" ref="Z9:Z15" si="7">Q9</f>
        <v>用途</v>
      </c>
      <c r="AA9" s="994">
        <f t="shared" si="3"/>
        <v>1</v>
      </c>
      <c r="AB9" s="994">
        <f t="shared" si="4"/>
        <v>1</v>
      </c>
      <c r="AC9" s="994">
        <f t="shared" si="5"/>
        <v>1</v>
      </c>
    </row>
    <row r="10" spans="1:29" s="1130" customFormat="1" ht="27">
      <c r="A10" s="2210"/>
      <c r="B10" s="2215" t="s">
        <v>2037</v>
      </c>
      <c r="C10" s="3385"/>
      <c r="D10" s="235">
        <v>100</v>
      </c>
      <c r="E10" s="3385"/>
      <c r="F10" s="235">
        <f>SUMIF(66:66,E10,67:67)-SUMIF(66:66,C10,67:67)+100</f>
        <v>100</v>
      </c>
      <c r="G10" s="3386"/>
      <c r="H10" s="235">
        <f>SUMIF(66:66,G10,67:67)-SUMIF(66:66,C10,67:67)+100</f>
        <v>100</v>
      </c>
      <c r="I10" s="3385"/>
      <c r="J10" s="235">
        <f>SUMIF(66:66,I10,67:67)-SUMIF(66:66,C10,67:67)+100</f>
        <v>100</v>
      </c>
      <c r="K10" s="88"/>
      <c r="L10" s="1743"/>
      <c r="M10" s="1776"/>
      <c r="N10" s="1776"/>
      <c r="O10" s="1776"/>
      <c r="P10" s="3598"/>
      <c r="Q10" s="817"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1"/>
      <c r="B11" s="2215"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5"/>
      <c r="M11" s="1740"/>
      <c r="N11" s="1740"/>
      <c r="O11" s="1740"/>
      <c r="P11" s="3598"/>
      <c r="Q11" s="817" t="str">
        <f t="shared" si="6"/>
        <v>容积率</v>
      </c>
      <c r="R11" s="1301" t="s">
        <v>5</v>
      </c>
      <c r="S11" s="1302" t="e">
        <f t="shared" si="0"/>
        <v>#N/A</v>
      </c>
      <c r="T11" s="1301" t="s">
        <v>5</v>
      </c>
      <c r="U11" s="1302" t="e">
        <f t="shared" si="1"/>
        <v>#N/A</v>
      </c>
      <c r="V11" s="1301" t="s">
        <v>5</v>
      </c>
      <c r="W11" s="1302" t="e">
        <f t="shared" si="2"/>
        <v>#N/A</v>
      </c>
      <c r="X11" s="1303"/>
      <c r="Y11" s="3540"/>
      <c r="Z11" s="994" t="str">
        <f t="shared" si="7"/>
        <v>容积率</v>
      </c>
      <c r="AA11" s="994" t="e">
        <f t="shared" si="3"/>
        <v>#N/A</v>
      </c>
      <c r="AB11" s="994" t="e">
        <f t="shared" si="4"/>
        <v>#N/A</v>
      </c>
      <c r="AC11" s="994" t="e">
        <f t="shared" si="5"/>
        <v>#N/A</v>
      </c>
    </row>
    <row r="12" spans="1:29" s="1057" customFormat="1" ht="15">
      <c r="A12" s="2212"/>
      <c r="B12" s="2218">
        <v>111</v>
      </c>
      <c r="C12" s="478"/>
      <c r="D12" s="488">
        <v>100</v>
      </c>
      <c r="E12" s="478"/>
      <c r="F12" s="235">
        <f>SUMIF(71:71,E12,72:72)-SUMIF(71:71,C12,72:72)+100</f>
        <v>100</v>
      </c>
      <c r="G12" s="832"/>
      <c r="H12" s="235">
        <f>SUMIF(71:71,G12,72:72)-SUMIF(71:71,C12,72:72)+100</f>
        <v>100</v>
      </c>
      <c r="I12" s="478"/>
      <c r="J12" s="235">
        <f>SUMIF(71:71,I12,72:72)-SUMIF(71:71,C12,72:72)+100</f>
        <v>100</v>
      </c>
      <c r="K12" s="531"/>
      <c r="L12" s="1741"/>
      <c r="M12" s="1638"/>
      <c r="N12" s="1638"/>
      <c r="O12" s="1638"/>
      <c r="P12" s="3598"/>
      <c r="Q12" s="817">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
      <c r="A13" s="2212"/>
      <c r="B13" s="2218">
        <v>111</v>
      </c>
      <c r="C13" s="489"/>
      <c r="D13" s="490">
        <v>100</v>
      </c>
      <c r="E13" s="478"/>
      <c r="F13" s="235">
        <f>SUMIF(73:73,E13,74:74)-SUMIF(73:73,C13,74:74)+100</f>
        <v>100</v>
      </c>
      <c r="G13" s="832"/>
      <c r="H13" s="490">
        <f>SUMIF(73:73,G13,74:74)-SUMIF(73:73,C13,74:74)+100</f>
        <v>100</v>
      </c>
      <c r="I13" s="478"/>
      <c r="J13" s="490">
        <f>SUMIF(73:73,I13,74:74)-SUMIF(73:73,C13,74:74)+100</f>
        <v>100</v>
      </c>
      <c r="K13" s="531"/>
      <c r="L13" s="1747"/>
      <c r="M13" s="1740"/>
      <c r="N13" s="1740"/>
      <c r="O13" s="1740"/>
      <c r="P13" s="3598"/>
      <c r="Q13" s="817">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75" thickBot="1">
      <c r="A14" s="2213"/>
      <c r="B14" s="2219">
        <v>111</v>
      </c>
      <c r="C14" s="495"/>
      <c r="D14" s="496">
        <v>100</v>
      </c>
      <c r="E14" s="833"/>
      <c r="F14" s="496">
        <f>SUMIF(75:75,E14,76:76)-SUMIF(75:75,C14,76:76)+100</f>
        <v>100</v>
      </c>
      <c r="G14" s="832"/>
      <c r="H14" s="496">
        <f>SUMIF(75:75,G14,76:76)-SUMIF(75:75,C14,76:76)+100</f>
        <v>100</v>
      </c>
      <c r="I14" s="478"/>
      <c r="J14" s="496">
        <f>SUMIF(75:75,I14,76:76)-SUMIF(75:75,C14,76:76)+100</f>
        <v>100</v>
      </c>
      <c r="K14" s="531"/>
      <c r="L14" s="1747"/>
      <c r="M14" s="1740"/>
      <c r="N14" s="1740"/>
      <c r="O14" s="1740"/>
      <c r="P14" s="3598"/>
      <c r="Q14" s="817">
        <f t="shared" si="6"/>
        <v>111</v>
      </c>
      <c r="R14" s="1301" t="s">
        <v>5</v>
      </c>
      <c r="S14" s="1302">
        <f t="shared" si="0"/>
        <v>100</v>
      </c>
      <c r="T14" s="1301" t="s">
        <v>5</v>
      </c>
      <c r="U14" s="1302">
        <f t="shared" si="1"/>
        <v>100</v>
      </c>
      <c r="V14" s="1301" t="s">
        <v>5</v>
      </c>
      <c r="W14" s="1302">
        <f t="shared" si="2"/>
        <v>100</v>
      </c>
      <c r="X14" s="1303"/>
      <c r="Y14" s="3540"/>
      <c r="Z14" s="994">
        <f t="shared" si="7"/>
        <v>111</v>
      </c>
      <c r="AA14" s="994">
        <f t="shared" si="3"/>
        <v>1</v>
      </c>
      <c r="AB14" s="994">
        <f t="shared" si="4"/>
        <v>1</v>
      </c>
      <c r="AC14" s="994">
        <f t="shared" si="5"/>
        <v>1</v>
      </c>
    </row>
    <row r="15" spans="1:29" ht="15">
      <c r="A15" s="2205" t="s">
        <v>2034</v>
      </c>
      <c r="B15" s="497" t="s">
        <v>489</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7"/>
      <c r="M15" s="1740"/>
      <c r="N15" s="1740"/>
      <c r="O15" s="1740"/>
      <c r="P15" s="3631" t="s">
        <v>487</v>
      </c>
      <c r="Q15" s="1304" t="str">
        <f t="shared" si="6"/>
        <v>办公集聚程度</v>
      </c>
      <c r="R15" s="1305" t="s">
        <v>5</v>
      </c>
      <c r="S15" s="1306">
        <f t="shared" si="0"/>
        <v>100</v>
      </c>
      <c r="T15" s="1305" t="s">
        <v>5</v>
      </c>
      <c r="U15" s="1306">
        <f t="shared" si="1"/>
        <v>100</v>
      </c>
      <c r="V15" s="1305" t="s">
        <v>5</v>
      </c>
      <c r="W15" s="1306">
        <f t="shared" si="2"/>
        <v>100</v>
      </c>
      <c r="X15" s="1300"/>
      <c r="Y15" s="3631" t="s">
        <v>487</v>
      </c>
      <c r="Z15" s="1307" t="str">
        <f t="shared" si="7"/>
        <v>办公集聚程度</v>
      </c>
      <c r="AA15" s="1307">
        <f t="shared" si="3"/>
        <v>1</v>
      </c>
      <c r="AB15" s="1307">
        <f t="shared" si="4"/>
        <v>1</v>
      </c>
      <c r="AC15" s="1307">
        <f t="shared" si="5"/>
        <v>1</v>
      </c>
    </row>
    <row r="16" spans="1:29" ht="15">
      <c r="A16" s="482"/>
      <c r="B16" s="503"/>
      <c r="C16" s="504"/>
      <c r="D16" s="505"/>
      <c r="E16" s="526"/>
      <c r="F16" s="505"/>
      <c r="G16" s="504"/>
      <c r="H16" s="509"/>
      <c r="I16" s="526"/>
      <c r="J16" s="505"/>
      <c r="K16" s="822"/>
      <c r="L16" s="1747"/>
      <c r="M16" s="1740"/>
      <c r="N16" s="1740"/>
      <c r="O16" s="1740"/>
      <c r="P16" s="3632"/>
      <c r="Q16" s="1304"/>
      <c r="R16" s="1305"/>
      <c r="S16" s="1306"/>
      <c r="T16" s="1305"/>
      <c r="U16" s="1306"/>
      <c r="V16" s="1305"/>
      <c r="W16" s="1306"/>
      <c r="X16" s="1300"/>
      <c r="Y16" s="3632"/>
      <c r="Z16" s="1307"/>
      <c r="AA16" s="1307">
        <v>1</v>
      </c>
      <c r="AB16" s="1307">
        <v>1</v>
      </c>
      <c r="AC16" s="1307">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7"/>
      <c r="M17" s="1740"/>
      <c r="N17" s="1740"/>
      <c r="O17" s="1740"/>
      <c r="P17" s="3632"/>
      <c r="Q17" s="1304" t="str">
        <f>B17</f>
        <v>交通便捷度</v>
      </c>
      <c r="R17" s="1305" t="s">
        <v>5</v>
      </c>
      <c r="S17" s="1306">
        <f>F17</f>
        <v>100</v>
      </c>
      <c r="T17" s="1305" t="s">
        <v>5</v>
      </c>
      <c r="U17" s="1306">
        <f>H17</f>
        <v>100</v>
      </c>
      <c r="V17" s="1305" t="s">
        <v>5</v>
      </c>
      <c r="W17" s="1306">
        <f>J17</f>
        <v>100</v>
      </c>
      <c r="X17" s="1300"/>
      <c r="Y17" s="3632"/>
      <c r="Z17" s="1307" t="str">
        <f>Q17</f>
        <v>交通便捷度</v>
      </c>
      <c r="AA17" s="1307">
        <f t="shared" si="3"/>
        <v>1</v>
      </c>
      <c r="AB17" s="1307">
        <f t="shared" si="4"/>
        <v>1</v>
      </c>
      <c r="AC17" s="1307">
        <f t="shared" si="5"/>
        <v>1</v>
      </c>
    </row>
    <row r="18" spans="1:29" ht="15">
      <c r="A18" s="482"/>
      <c r="B18" s="516"/>
      <c r="C18" s="517"/>
      <c r="D18" s="509"/>
      <c r="E18" s="519"/>
      <c r="F18" s="509"/>
      <c r="G18" s="518"/>
      <c r="H18" s="505"/>
      <c r="I18" s="518"/>
      <c r="J18" s="505"/>
      <c r="K18" s="822"/>
      <c r="L18" s="1747"/>
      <c r="M18" s="1740"/>
      <c r="N18" s="1740"/>
      <c r="O18" s="1740"/>
      <c r="P18" s="3632"/>
      <c r="Q18" s="1304"/>
      <c r="R18" s="1305"/>
      <c r="S18" s="1306"/>
      <c r="T18" s="1305"/>
      <c r="U18" s="1306"/>
      <c r="V18" s="1305"/>
      <c r="W18" s="1306"/>
      <c r="X18" s="1300"/>
      <c r="Y18" s="3632"/>
      <c r="Z18" s="1307"/>
      <c r="AA18" s="1307">
        <v>1</v>
      </c>
      <c r="AB18" s="1307">
        <v>1</v>
      </c>
      <c r="AC18" s="1307">
        <v>1</v>
      </c>
    </row>
    <row r="19" spans="1:29" ht="15">
      <c r="A19" s="482"/>
      <c r="B19" s="2060" t="s">
        <v>1827</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7"/>
      <c r="M19" s="1740"/>
      <c r="N19" s="1740"/>
      <c r="O19" s="1740"/>
      <c r="P19" s="3632"/>
      <c r="Q19" s="1304" t="str">
        <f>B19</f>
        <v>公共配套设施</v>
      </c>
      <c r="R19" s="1305" t="s">
        <v>5</v>
      </c>
      <c r="S19" s="1306">
        <f>F19</f>
        <v>100</v>
      </c>
      <c r="T19" s="1305" t="s">
        <v>5</v>
      </c>
      <c r="U19" s="1306">
        <f>H19</f>
        <v>100</v>
      </c>
      <c r="V19" s="1305" t="s">
        <v>5</v>
      </c>
      <c r="W19" s="1306">
        <f>J19</f>
        <v>100</v>
      </c>
      <c r="X19" s="1300"/>
      <c r="Y19" s="3632"/>
      <c r="Z19" s="1307" t="str">
        <f>Q19</f>
        <v>公共配套设施</v>
      </c>
      <c r="AA19" s="1307">
        <f t="shared" si="3"/>
        <v>1</v>
      </c>
      <c r="AB19" s="1307">
        <f t="shared" si="4"/>
        <v>1</v>
      </c>
      <c r="AC19" s="1307">
        <f t="shared" si="5"/>
        <v>1</v>
      </c>
    </row>
    <row r="20" spans="1:29" ht="15">
      <c r="A20" s="482"/>
      <c r="B20" s="516"/>
      <c r="C20" s="504"/>
      <c r="D20" s="505"/>
      <c r="E20" s="508"/>
      <c r="F20" s="505"/>
      <c r="G20" s="506"/>
      <c r="H20" s="505"/>
      <c r="I20" s="506"/>
      <c r="J20" s="505"/>
      <c r="K20" s="822"/>
      <c r="L20" s="1747"/>
      <c r="M20" s="1740"/>
      <c r="N20" s="1740"/>
      <c r="O20" s="1740"/>
      <c r="P20" s="3632"/>
      <c r="Q20" s="1304"/>
      <c r="R20" s="1305"/>
      <c r="S20" s="1306"/>
      <c r="T20" s="1305"/>
      <c r="U20" s="1306"/>
      <c r="V20" s="1305"/>
      <c r="W20" s="1306"/>
      <c r="X20" s="1300"/>
      <c r="Y20" s="3632"/>
      <c r="Z20" s="1307"/>
      <c r="AA20" s="1307">
        <v>1</v>
      </c>
      <c r="AB20" s="1307">
        <v>1</v>
      </c>
      <c r="AC20" s="1307">
        <v>1</v>
      </c>
    </row>
    <row r="21" spans="1:29" ht="15">
      <c r="A21" s="482"/>
      <c r="B21" s="2048" t="s">
        <v>1839</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7"/>
      <c r="M21" s="1740"/>
      <c r="N21" s="1740"/>
      <c r="O21" s="1740"/>
      <c r="P21" s="3632"/>
      <c r="Q21" s="1304" t="str">
        <f>B21</f>
        <v>基础设施水平</v>
      </c>
      <c r="R21" s="1305" t="s">
        <v>5</v>
      </c>
      <c r="S21" s="1306">
        <f>F21</f>
        <v>100</v>
      </c>
      <c r="T21" s="1305" t="s">
        <v>5</v>
      </c>
      <c r="U21" s="1306">
        <f>H21</f>
        <v>100</v>
      </c>
      <c r="V21" s="1305" t="s">
        <v>5</v>
      </c>
      <c r="W21" s="1306">
        <f>J21</f>
        <v>100</v>
      </c>
      <c r="X21" s="1300"/>
      <c r="Y21" s="3632"/>
      <c r="Z21" s="1307" t="str">
        <f>Q21</f>
        <v>基础设施水平</v>
      </c>
      <c r="AA21" s="1307">
        <f>D21/F21</f>
        <v>1</v>
      </c>
      <c r="AB21" s="1307">
        <f>D21/H21</f>
        <v>1</v>
      </c>
      <c r="AC21" s="1307">
        <f>D21/J21</f>
        <v>1</v>
      </c>
    </row>
    <row r="22" spans="1:29" ht="15">
      <c r="A22" s="482"/>
      <c r="B22" s="528"/>
      <c r="C22" s="517"/>
      <c r="D22" s="505"/>
      <c r="E22" s="526"/>
      <c r="F22" s="505"/>
      <c r="G22" s="504"/>
      <c r="H22" s="505"/>
      <c r="I22" s="504"/>
      <c r="J22" s="505"/>
      <c r="K22" s="2059"/>
      <c r="L22" s="1747"/>
      <c r="M22" s="1740"/>
      <c r="N22" s="1740"/>
      <c r="O22" s="1740"/>
      <c r="P22" s="3632"/>
      <c r="Q22" s="1304"/>
      <c r="R22" s="1305"/>
      <c r="S22" s="1306"/>
      <c r="T22" s="1305"/>
      <c r="U22" s="1306"/>
      <c r="V22" s="1305"/>
      <c r="W22" s="1306"/>
      <c r="X22" s="1300"/>
      <c r="Y22" s="3632"/>
      <c r="Z22" s="1307"/>
      <c r="AA22" s="1307">
        <v>1</v>
      </c>
      <c r="AB22" s="1307">
        <v>1</v>
      </c>
      <c r="AC22" s="1307">
        <v>1</v>
      </c>
    </row>
    <row r="23" spans="1:29" ht="15">
      <c r="A23" s="482"/>
      <c r="B23" s="510" t="s">
        <v>716</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7"/>
      <c r="M23" s="1740"/>
      <c r="N23" s="1740"/>
      <c r="O23" s="1740"/>
      <c r="P23" s="3632"/>
      <c r="Q23" s="1304" t="str">
        <f>B23</f>
        <v>环境质量</v>
      </c>
      <c r="R23" s="1305" t="s">
        <v>5</v>
      </c>
      <c r="S23" s="1306">
        <f>F23</f>
        <v>100</v>
      </c>
      <c r="T23" s="1305" t="s">
        <v>5</v>
      </c>
      <c r="U23" s="1306">
        <f>H23</f>
        <v>100</v>
      </c>
      <c r="V23" s="1305" t="s">
        <v>5</v>
      </c>
      <c r="W23" s="1306">
        <f>J23</f>
        <v>100</v>
      </c>
      <c r="X23" s="1300"/>
      <c r="Y23" s="3632"/>
      <c r="Z23" s="1307" t="str">
        <f>Q23</f>
        <v>环境质量</v>
      </c>
      <c r="AA23" s="1307">
        <f t="shared" si="3"/>
        <v>1</v>
      </c>
      <c r="AB23" s="1307">
        <f t="shared" si="4"/>
        <v>1</v>
      </c>
      <c r="AC23" s="1307">
        <f t="shared" si="5"/>
        <v>1</v>
      </c>
    </row>
    <row r="24" spans="1:29" ht="15">
      <c r="A24" s="482"/>
      <c r="B24" s="528"/>
      <c r="C24" s="504"/>
      <c r="D24" s="505"/>
      <c r="E24" s="508"/>
      <c r="F24" s="505"/>
      <c r="G24" s="506"/>
      <c r="H24" s="505"/>
      <c r="I24" s="506"/>
      <c r="J24" s="505"/>
      <c r="K24" s="822"/>
      <c r="L24" s="1747"/>
      <c r="M24" s="1740"/>
      <c r="N24" s="1740"/>
      <c r="O24" s="1740"/>
      <c r="P24" s="3632"/>
      <c r="Q24" s="1304"/>
      <c r="R24" s="1305"/>
      <c r="S24" s="1306"/>
      <c r="T24" s="1305"/>
      <c r="U24" s="1306"/>
      <c r="V24" s="1305"/>
      <c r="W24" s="1306"/>
      <c r="X24" s="1300"/>
      <c r="Y24" s="3632"/>
      <c r="Z24" s="1307"/>
      <c r="AA24" s="1307">
        <v>1</v>
      </c>
      <c r="AB24" s="1307">
        <v>1</v>
      </c>
      <c r="AC24" s="1307">
        <v>1</v>
      </c>
    </row>
    <row r="25" spans="1:29" ht="27">
      <c r="A25" s="466"/>
      <c r="B25" s="510" t="s">
        <v>495</v>
      </c>
      <c r="C25" s="834"/>
      <c r="D25" s="490">
        <v>100</v>
      </c>
      <c r="E25" s="489"/>
      <c r="F25" s="490">
        <f>SUMIF(87:87,E26,88:88)-SUMIF(87:87,C26,88:88)+100</f>
        <v>100</v>
      </c>
      <c r="G25" s="834"/>
      <c r="H25" s="490">
        <f>SUMIF(87:87,G26,88:88)-SUMIF(87:87,C26,88:88)+100</f>
        <v>100</v>
      </c>
      <c r="I25" s="489"/>
      <c r="J25" s="490">
        <f>SUMIF(87:87,I26,88:88)-SUMIF(87:87,C26,88:88)+100</f>
        <v>100</v>
      </c>
      <c r="K25" s="821"/>
      <c r="L25" s="1747"/>
      <c r="M25" s="1740"/>
      <c r="N25" s="1740"/>
      <c r="O25" s="1740"/>
      <c r="P25" s="3632"/>
      <c r="Q25" s="1304" t="str">
        <f>B25</f>
        <v>毗邻道路的类型与等级</v>
      </c>
      <c r="R25" s="1305" t="s">
        <v>5</v>
      </c>
      <c r="S25" s="1306">
        <f>F25</f>
        <v>100</v>
      </c>
      <c r="T25" s="1305" t="s">
        <v>5</v>
      </c>
      <c r="U25" s="1306">
        <f>H25</f>
        <v>100</v>
      </c>
      <c r="V25" s="1305" t="s">
        <v>5</v>
      </c>
      <c r="W25" s="1306">
        <f>J25</f>
        <v>100</v>
      </c>
      <c r="X25" s="1300"/>
      <c r="Y25" s="3632"/>
      <c r="Z25" s="1307" t="str">
        <f>Q25</f>
        <v>毗邻道路的类型与等级</v>
      </c>
      <c r="AA25" s="1307">
        <f t="shared" si="3"/>
        <v>1</v>
      </c>
      <c r="AB25" s="1307">
        <f t="shared" si="4"/>
        <v>1</v>
      </c>
      <c r="AC25" s="1307">
        <f t="shared" si="5"/>
        <v>1</v>
      </c>
    </row>
    <row r="26" spans="1:29" ht="15">
      <c r="A26" s="466"/>
      <c r="B26" s="516"/>
      <c r="C26" s="530"/>
      <c r="D26" s="490"/>
      <c r="E26" s="532"/>
      <c r="F26" s="490"/>
      <c r="G26" s="530"/>
      <c r="H26" s="490"/>
      <c r="I26" s="532"/>
      <c r="J26" s="490"/>
      <c r="K26" s="822"/>
      <c r="L26" s="1747"/>
      <c r="M26" s="1740"/>
      <c r="N26" s="1740"/>
      <c r="O26" s="1740"/>
      <c r="P26" s="3632"/>
      <c r="Q26" s="1304"/>
      <c r="R26" s="1305"/>
      <c r="S26" s="1306"/>
      <c r="T26" s="1305"/>
      <c r="U26" s="1306"/>
      <c r="V26" s="1305"/>
      <c r="W26" s="1306"/>
      <c r="X26" s="1300"/>
      <c r="Y26" s="3632"/>
      <c r="Z26" s="1307"/>
      <c r="AA26" s="1307">
        <v>1</v>
      </c>
      <c r="AB26" s="1307">
        <v>1</v>
      </c>
      <c r="AC26" s="1307">
        <v>1</v>
      </c>
    </row>
    <row r="27" spans="1:29" ht="15">
      <c r="A27" s="482"/>
      <c r="B27" s="516" t="s">
        <v>699</v>
      </c>
      <c r="C27" s="530"/>
      <c r="D27" s="490">
        <v>100</v>
      </c>
      <c r="E27" s="532"/>
      <c r="F27" s="490">
        <f>SUMIF(89:89,E27,90:90)-SUMIF(89:89,C27,90:90)+100</f>
        <v>100</v>
      </c>
      <c r="G27" s="530"/>
      <c r="H27" s="490">
        <f>SUMIF(89:89,G27,90:90)-SUMIF(89:89,C27,90:90)+100</f>
        <v>100</v>
      </c>
      <c r="I27" s="532"/>
      <c r="J27" s="490">
        <f>SUMIF(89:89,I27,90:90)-SUMIF(89:89,C27,90:90)+100</f>
        <v>100</v>
      </c>
      <c r="K27" s="533"/>
      <c r="L27" s="1747"/>
      <c r="M27" s="1740"/>
      <c r="N27" s="1740"/>
      <c r="O27" s="1740"/>
      <c r="P27" s="3632"/>
      <c r="Q27" s="1304" t="str">
        <f t="shared" ref="Q27:Q47" si="8">B27</f>
        <v>楼层</v>
      </c>
      <c r="R27" s="1305" t="s">
        <v>5</v>
      </c>
      <c r="S27" s="1306">
        <f>F27</f>
        <v>100</v>
      </c>
      <c r="T27" s="1305" t="s">
        <v>5</v>
      </c>
      <c r="U27" s="1306">
        <f>H27</f>
        <v>100</v>
      </c>
      <c r="V27" s="1305" t="s">
        <v>5</v>
      </c>
      <c r="W27" s="1306">
        <f>J27</f>
        <v>100</v>
      </c>
      <c r="X27" s="1300"/>
      <c r="Y27" s="3632"/>
      <c r="Z27" s="1307" t="str">
        <f>Q27</f>
        <v>楼层</v>
      </c>
      <c r="AA27" s="1307">
        <f t="shared" si="3"/>
        <v>1</v>
      </c>
      <c r="AB27" s="1307">
        <f t="shared" si="4"/>
        <v>1</v>
      </c>
      <c r="AC27" s="1307">
        <f t="shared" si="5"/>
        <v>1</v>
      </c>
    </row>
    <row r="28" spans="1:29" s="1057" customFormat="1" ht="15">
      <c r="A28" s="486"/>
      <c r="B28" s="510" t="s">
        <v>717</v>
      </c>
      <c r="C28" s="835"/>
      <c r="D28" s="516">
        <v>100</v>
      </c>
      <c r="E28" s="824"/>
      <c r="F28" s="516">
        <f>SUMIF(91:91,E28,92:92)-SUMIF(91:91,C28,92:92)+100</f>
        <v>100</v>
      </c>
      <c r="G28" s="835"/>
      <c r="H28" s="516">
        <f>SUMIF(91:91,G28,92:92)-SUMIF(91:91,C28,92:92)+100</f>
        <v>100</v>
      </c>
      <c r="I28" s="824"/>
      <c r="J28" s="516">
        <f>SUMIF(91:91,I28,92:92)-SUMIF(91:91,C28,92:92)+100</f>
        <v>100</v>
      </c>
      <c r="K28" s="533"/>
      <c r="L28" s="1741"/>
      <c r="M28" s="1638"/>
      <c r="N28" s="1638"/>
      <c r="O28" s="1638"/>
      <c r="P28" s="3632"/>
      <c r="Q28" s="817" t="str">
        <f t="shared" si="8"/>
        <v>朝向</v>
      </c>
      <c r="R28" s="1301" t="s">
        <v>5</v>
      </c>
      <c r="S28" s="1302">
        <f>F28</f>
        <v>100</v>
      </c>
      <c r="T28" s="1301" t="s">
        <v>5</v>
      </c>
      <c r="U28" s="1302">
        <f>H28</f>
        <v>100</v>
      </c>
      <c r="V28" s="1301" t="s">
        <v>5</v>
      </c>
      <c r="W28" s="1302">
        <f>J28</f>
        <v>100</v>
      </c>
      <c r="X28" s="1303"/>
      <c r="Y28" s="3632"/>
      <c r="Z28" s="994" t="str">
        <f>Q28</f>
        <v>朝向</v>
      </c>
      <c r="AA28" s="1307">
        <f>D28/F28</f>
        <v>1</v>
      </c>
      <c r="AB28" s="1307">
        <f>D28/H28</f>
        <v>1</v>
      </c>
      <c r="AC28" s="1307">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7"/>
      <c r="M29" s="1740"/>
      <c r="N29" s="1740"/>
      <c r="O29" s="1740"/>
      <c r="P29" s="3632"/>
      <c r="Q29" s="1304">
        <f t="shared" si="8"/>
        <v>111</v>
      </c>
      <c r="R29" s="1305" t="s">
        <v>5</v>
      </c>
      <c r="S29" s="1306">
        <f t="shared" ref="S29:S47" si="9">F29</f>
        <v>100</v>
      </c>
      <c r="T29" s="1305" t="s">
        <v>5</v>
      </c>
      <c r="U29" s="1306">
        <f t="shared" ref="U29:U47" si="10">H29</f>
        <v>100</v>
      </c>
      <c r="V29" s="1305" t="s">
        <v>5</v>
      </c>
      <c r="W29" s="1306">
        <f t="shared" ref="W29:W47" si="11">J29</f>
        <v>100</v>
      </c>
      <c r="X29" s="1300"/>
      <c r="Y29" s="3632"/>
      <c r="Z29" s="1307">
        <f t="shared" ref="Z29:Z47" si="12">Q29</f>
        <v>111</v>
      </c>
      <c r="AA29" s="1307">
        <f t="shared" si="3"/>
        <v>1</v>
      </c>
      <c r="AB29" s="1307">
        <f t="shared" si="4"/>
        <v>1</v>
      </c>
      <c r="AC29" s="1307">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7"/>
      <c r="M30" s="1740"/>
      <c r="N30" s="1740"/>
      <c r="O30" s="1740"/>
      <c r="P30" s="3632"/>
      <c r="Q30" s="1304">
        <f t="shared" si="8"/>
        <v>111</v>
      </c>
      <c r="R30" s="1305" t="s">
        <v>5</v>
      </c>
      <c r="S30" s="1306">
        <f t="shared" si="9"/>
        <v>100</v>
      </c>
      <c r="T30" s="1305" t="s">
        <v>5</v>
      </c>
      <c r="U30" s="1306">
        <f t="shared" si="10"/>
        <v>100</v>
      </c>
      <c r="V30" s="1305" t="s">
        <v>5</v>
      </c>
      <c r="W30" s="1306">
        <f t="shared" si="11"/>
        <v>100</v>
      </c>
      <c r="X30" s="1300"/>
      <c r="Y30" s="3632"/>
      <c r="Z30" s="1307">
        <f t="shared" si="12"/>
        <v>111</v>
      </c>
      <c r="AA30" s="1307">
        <f t="shared" si="3"/>
        <v>1</v>
      </c>
      <c r="AB30" s="1307">
        <f t="shared" si="4"/>
        <v>1</v>
      </c>
      <c r="AC30" s="1307">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7"/>
      <c r="M31" s="1740"/>
      <c r="N31" s="1740"/>
      <c r="O31" s="1740"/>
      <c r="P31" s="3632"/>
      <c r="Q31" s="1304">
        <f t="shared" si="8"/>
        <v>111</v>
      </c>
      <c r="R31" s="1305" t="s">
        <v>5</v>
      </c>
      <c r="S31" s="1306">
        <f t="shared" si="9"/>
        <v>100</v>
      </c>
      <c r="T31" s="1305" t="s">
        <v>5</v>
      </c>
      <c r="U31" s="1306">
        <f t="shared" si="10"/>
        <v>100</v>
      </c>
      <c r="V31" s="1305" t="s">
        <v>5</v>
      </c>
      <c r="W31" s="1306">
        <f t="shared" si="11"/>
        <v>100</v>
      </c>
      <c r="X31" s="1300"/>
      <c r="Y31" s="3632"/>
      <c r="Z31" s="1307">
        <f t="shared" si="12"/>
        <v>111</v>
      </c>
      <c r="AA31" s="1307">
        <f t="shared" si="3"/>
        <v>1</v>
      </c>
      <c r="AB31" s="1307">
        <f t="shared" si="4"/>
        <v>1</v>
      </c>
      <c r="AC31" s="1307">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7"/>
      <c r="M32" s="1740"/>
      <c r="N32" s="1740"/>
      <c r="O32" s="1740"/>
      <c r="P32" s="3632"/>
      <c r="Q32" s="1304">
        <f t="shared" si="8"/>
        <v>111</v>
      </c>
      <c r="R32" s="1305" t="s">
        <v>5</v>
      </c>
      <c r="S32" s="1306">
        <f t="shared" si="9"/>
        <v>100</v>
      </c>
      <c r="T32" s="1305" t="s">
        <v>5</v>
      </c>
      <c r="U32" s="1306">
        <f t="shared" si="10"/>
        <v>100</v>
      </c>
      <c r="V32" s="1305" t="s">
        <v>5</v>
      </c>
      <c r="W32" s="1306">
        <f t="shared" si="11"/>
        <v>100</v>
      </c>
      <c r="X32" s="1300"/>
      <c r="Y32" s="3632"/>
      <c r="Z32" s="1307">
        <f t="shared" si="12"/>
        <v>111</v>
      </c>
      <c r="AA32" s="1307">
        <f t="shared" si="3"/>
        <v>1</v>
      </c>
      <c r="AB32" s="1307">
        <f t="shared" si="4"/>
        <v>1</v>
      </c>
      <c r="AC32" s="1307">
        <f t="shared" si="5"/>
        <v>1</v>
      </c>
    </row>
    <row r="33" spans="1:29" ht="15">
      <c r="A33" s="2202" t="s">
        <v>2035</v>
      </c>
      <c r="B33" s="156" t="s">
        <v>718</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7"/>
      <c r="M33" s="1740"/>
      <c r="N33" s="1740"/>
      <c r="O33" s="1740"/>
      <c r="P33" s="3633" t="s">
        <v>497</v>
      </c>
      <c r="Q33" s="1304" t="str">
        <f t="shared" si="8"/>
        <v>建筑类型</v>
      </c>
      <c r="R33" s="1305" t="s">
        <v>5</v>
      </c>
      <c r="S33" s="1306">
        <f t="shared" si="9"/>
        <v>100</v>
      </c>
      <c r="T33" s="1305" t="s">
        <v>5</v>
      </c>
      <c r="U33" s="1306">
        <f t="shared" si="10"/>
        <v>100</v>
      </c>
      <c r="V33" s="1305" t="s">
        <v>5</v>
      </c>
      <c r="W33" s="1306">
        <f t="shared" si="11"/>
        <v>100</v>
      </c>
      <c r="X33" s="1300"/>
      <c r="Y33" s="3634" t="s">
        <v>497</v>
      </c>
      <c r="Z33" s="1307" t="str">
        <f t="shared" si="12"/>
        <v>建筑类型</v>
      </c>
      <c r="AA33" s="1307">
        <f t="shared" si="3"/>
        <v>1</v>
      </c>
      <c r="AB33" s="1307">
        <f t="shared" si="4"/>
        <v>1</v>
      </c>
      <c r="AC33" s="1307">
        <f t="shared" si="5"/>
        <v>1</v>
      </c>
    </row>
    <row r="34" spans="1:29" s="1131" customFormat="1" ht="15">
      <c r="A34" s="552"/>
      <c r="B34" s="477" t="s">
        <v>671</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5"/>
      <c r="M34" s="1769"/>
      <c r="N34" s="1769"/>
      <c r="O34" s="1769"/>
      <c r="P34" s="3634"/>
      <c r="Q34" s="818" t="str">
        <f t="shared" si="8"/>
        <v>项目建筑规模</v>
      </c>
      <c r="R34" s="1308" t="s">
        <v>5</v>
      </c>
      <c r="S34" s="1309" t="e">
        <f t="shared" si="9"/>
        <v>#N/A</v>
      </c>
      <c r="T34" s="1308" t="s">
        <v>5</v>
      </c>
      <c r="U34" s="1309" t="e">
        <f t="shared" si="10"/>
        <v>#N/A</v>
      </c>
      <c r="V34" s="1308" t="s">
        <v>5</v>
      </c>
      <c r="W34" s="1309" t="e">
        <f t="shared" si="11"/>
        <v>#N/A</v>
      </c>
      <c r="X34" s="1310"/>
      <c r="Y34" s="3634"/>
      <c r="Z34" s="1311" t="str">
        <f t="shared" si="12"/>
        <v>项目建筑规模</v>
      </c>
      <c r="AA34" s="1307" t="e">
        <f t="shared" si="3"/>
        <v>#N/A</v>
      </c>
      <c r="AB34" s="1307" t="e">
        <f t="shared" si="4"/>
        <v>#N/A</v>
      </c>
      <c r="AC34" s="1307" t="e">
        <f t="shared" si="5"/>
        <v>#N/A</v>
      </c>
    </row>
    <row r="35" spans="1:29" ht="15">
      <c r="A35" s="543"/>
      <c r="B35" s="477" t="s">
        <v>672</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7"/>
      <c r="M35" s="1740"/>
      <c r="N35" s="1740"/>
      <c r="O35" s="1740"/>
      <c r="P35" s="3634"/>
      <c r="Q35" s="1304" t="str">
        <f t="shared" si="8"/>
        <v>建筑结构</v>
      </c>
      <c r="R35" s="1305" t="s">
        <v>5</v>
      </c>
      <c r="S35" s="1306">
        <f t="shared" si="9"/>
        <v>100</v>
      </c>
      <c r="T35" s="1305" t="s">
        <v>5</v>
      </c>
      <c r="U35" s="1306">
        <f t="shared" si="10"/>
        <v>100</v>
      </c>
      <c r="V35" s="1305" t="s">
        <v>5</v>
      </c>
      <c r="W35" s="1306">
        <f t="shared" si="11"/>
        <v>100</v>
      </c>
      <c r="X35" s="1300"/>
      <c r="Y35" s="3634"/>
      <c r="Z35" s="1307" t="str">
        <f t="shared" si="12"/>
        <v>建筑结构</v>
      </c>
      <c r="AA35" s="1307">
        <f t="shared" si="3"/>
        <v>1</v>
      </c>
      <c r="AB35" s="1307">
        <f t="shared" si="4"/>
        <v>1</v>
      </c>
      <c r="AC35" s="1307">
        <f t="shared" si="5"/>
        <v>1</v>
      </c>
    </row>
    <row r="36" spans="1:29" ht="15">
      <c r="A36" s="543"/>
      <c r="B36" s="477" t="s">
        <v>701</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7"/>
      <c r="M36" s="1740"/>
      <c r="N36" s="1740"/>
      <c r="O36" s="1740"/>
      <c r="P36" s="3634"/>
      <c r="Q36" s="1304" t="str">
        <f t="shared" si="8"/>
        <v>公共部分装修</v>
      </c>
      <c r="R36" s="1305" t="s">
        <v>5</v>
      </c>
      <c r="S36" s="1306">
        <f t="shared" si="9"/>
        <v>100</v>
      </c>
      <c r="T36" s="1305" t="s">
        <v>5</v>
      </c>
      <c r="U36" s="1306">
        <f t="shared" si="10"/>
        <v>100</v>
      </c>
      <c r="V36" s="1305" t="s">
        <v>5</v>
      </c>
      <c r="W36" s="1306">
        <f t="shared" si="11"/>
        <v>100</v>
      </c>
      <c r="X36" s="1300"/>
      <c r="Y36" s="3634"/>
      <c r="Z36" s="1307" t="str">
        <f t="shared" si="12"/>
        <v>公共部分装修</v>
      </c>
      <c r="AA36" s="1307">
        <f t="shared" si="3"/>
        <v>1</v>
      </c>
      <c r="AB36" s="1307">
        <f t="shared" si="4"/>
        <v>1</v>
      </c>
      <c r="AC36" s="1307">
        <f t="shared" si="5"/>
        <v>1</v>
      </c>
    </row>
    <row r="37" spans="1:29" ht="15">
      <c r="A37" s="543"/>
      <c r="B37" s="477" t="s">
        <v>702</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7"/>
      <c r="M37" s="1740"/>
      <c r="N37" s="1740"/>
      <c r="O37" s="1740"/>
      <c r="P37" s="3634"/>
      <c r="Q37" s="1304" t="str">
        <f t="shared" si="8"/>
        <v>成新度</v>
      </c>
      <c r="R37" s="1305" t="s">
        <v>5</v>
      </c>
      <c r="S37" s="1306" t="e">
        <f t="shared" si="9"/>
        <v>#N/A</v>
      </c>
      <c r="T37" s="1305" t="s">
        <v>5</v>
      </c>
      <c r="U37" s="1306" t="e">
        <f t="shared" si="10"/>
        <v>#N/A</v>
      </c>
      <c r="V37" s="1305" t="s">
        <v>5</v>
      </c>
      <c r="W37" s="1306" t="e">
        <f t="shared" si="11"/>
        <v>#N/A</v>
      </c>
      <c r="X37" s="1300"/>
      <c r="Y37" s="3634"/>
      <c r="Z37" s="1307" t="str">
        <f t="shared" si="12"/>
        <v>成新度</v>
      </c>
      <c r="AA37" s="1307" t="e">
        <f t="shared" si="3"/>
        <v>#N/A</v>
      </c>
      <c r="AB37" s="1307" t="e">
        <f t="shared" si="4"/>
        <v>#N/A</v>
      </c>
      <c r="AC37" s="1307" t="e">
        <f t="shared" si="5"/>
        <v>#N/A</v>
      </c>
    </row>
    <row r="38" spans="1:29" s="1057" customFormat="1" ht="15">
      <c r="A38" s="549"/>
      <c r="B38" s="477" t="s">
        <v>719</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1"/>
      <c r="M38" s="1638"/>
      <c r="N38" s="1638"/>
      <c r="O38" s="1638"/>
      <c r="P38" s="3634"/>
      <c r="Q38" s="817" t="str">
        <f t="shared" si="8"/>
        <v>写字楼等级</v>
      </c>
      <c r="R38" s="1301" t="s">
        <v>5</v>
      </c>
      <c r="S38" s="1302">
        <f t="shared" si="9"/>
        <v>100</v>
      </c>
      <c r="T38" s="1301" t="s">
        <v>5</v>
      </c>
      <c r="U38" s="1302">
        <f t="shared" si="10"/>
        <v>100</v>
      </c>
      <c r="V38" s="1301" t="s">
        <v>5</v>
      </c>
      <c r="W38" s="1302">
        <f t="shared" si="11"/>
        <v>100</v>
      </c>
      <c r="X38" s="1303"/>
      <c r="Y38" s="3634"/>
      <c r="Z38" s="994" t="str">
        <f t="shared" si="12"/>
        <v>写字楼等级</v>
      </c>
      <c r="AA38" s="994">
        <f t="shared" si="3"/>
        <v>1</v>
      </c>
      <c r="AB38" s="994">
        <f t="shared" si="4"/>
        <v>1</v>
      </c>
      <c r="AC38" s="994">
        <f t="shared" si="5"/>
        <v>1</v>
      </c>
    </row>
    <row r="39" spans="1:29" ht="15">
      <c r="A39" s="543"/>
      <c r="B39" s="477" t="s">
        <v>720</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7"/>
      <c r="M39" s="1740"/>
      <c r="N39" s="1740"/>
      <c r="O39" s="1740"/>
      <c r="P39" s="3634" t="s">
        <v>497</v>
      </c>
      <c r="Q39" s="1304" t="str">
        <f t="shared" si="8"/>
        <v>物业管理</v>
      </c>
      <c r="R39" s="1305" t="s">
        <v>5</v>
      </c>
      <c r="S39" s="1306">
        <f t="shared" si="9"/>
        <v>100</v>
      </c>
      <c r="T39" s="1305" t="s">
        <v>5</v>
      </c>
      <c r="U39" s="1306">
        <f t="shared" si="10"/>
        <v>100</v>
      </c>
      <c r="V39" s="1305" t="s">
        <v>5</v>
      </c>
      <c r="W39" s="1306">
        <f t="shared" si="11"/>
        <v>100</v>
      </c>
      <c r="X39" s="1300"/>
      <c r="Y39" s="3634" t="s">
        <v>497</v>
      </c>
      <c r="Z39" s="1307" t="str">
        <f t="shared" si="12"/>
        <v>物业管理</v>
      </c>
      <c r="AA39" s="1307">
        <f t="shared" si="3"/>
        <v>1</v>
      </c>
      <c r="AB39" s="1307">
        <f t="shared" si="4"/>
        <v>1</v>
      </c>
      <c r="AC39" s="1307">
        <f t="shared" si="5"/>
        <v>1</v>
      </c>
    </row>
    <row r="40" spans="1:29" ht="15">
      <c r="A40" s="543"/>
      <c r="B40" s="1552"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7"/>
      <c r="M40" s="1740"/>
      <c r="N40" s="1740"/>
      <c r="O40" s="1740"/>
      <c r="P40" s="3634"/>
      <c r="Q40" s="1304" t="str">
        <f t="shared" si="8"/>
        <v>市政基础设施</v>
      </c>
      <c r="R40" s="1305" t="s">
        <v>5</v>
      </c>
      <c r="S40" s="1306">
        <f t="shared" si="9"/>
        <v>100</v>
      </c>
      <c r="T40" s="1305" t="s">
        <v>5</v>
      </c>
      <c r="U40" s="1306">
        <f t="shared" si="10"/>
        <v>100</v>
      </c>
      <c r="V40" s="1305" t="s">
        <v>5</v>
      </c>
      <c r="W40" s="1306">
        <f t="shared" si="11"/>
        <v>100</v>
      </c>
      <c r="X40" s="1300"/>
      <c r="Y40" s="3634"/>
      <c r="Z40" s="1307" t="str">
        <f t="shared" si="12"/>
        <v>市政基础设施</v>
      </c>
      <c r="AA40" s="1307">
        <f t="shared" si="3"/>
        <v>1</v>
      </c>
      <c r="AB40" s="1307">
        <f t="shared" si="4"/>
        <v>1</v>
      </c>
      <c r="AC40" s="1307">
        <f t="shared" si="5"/>
        <v>1</v>
      </c>
    </row>
    <row r="41" spans="1:29" ht="15">
      <c r="A41" s="543"/>
      <c r="B41" s="477" t="s">
        <v>705</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7"/>
      <c r="M41" s="1740"/>
      <c r="N41" s="1740"/>
      <c r="O41" s="1740"/>
      <c r="P41" s="3634"/>
      <c r="Q41" s="1304" t="str">
        <f t="shared" si="8"/>
        <v>层高</v>
      </c>
      <c r="R41" s="1305" t="s">
        <v>5</v>
      </c>
      <c r="S41" s="1306">
        <f t="shared" si="9"/>
        <v>100</v>
      </c>
      <c r="T41" s="1305" t="s">
        <v>5</v>
      </c>
      <c r="U41" s="1306">
        <f t="shared" si="10"/>
        <v>100</v>
      </c>
      <c r="V41" s="1305" t="s">
        <v>5</v>
      </c>
      <c r="W41" s="1306">
        <f t="shared" si="11"/>
        <v>100</v>
      </c>
      <c r="X41" s="1300"/>
      <c r="Y41" s="3634"/>
      <c r="Z41" s="1307" t="str">
        <f t="shared" si="12"/>
        <v>层高</v>
      </c>
      <c r="AA41" s="1307">
        <f t="shared" si="3"/>
        <v>1</v>
      </c>
      <c r="AB41" s="1307">
        <f t="shared" si="4"/>
        <v>1</v>
      </c>
      <c r="AC41" s="1307">
        <f t="shared" si="5"/>
        <v>1</v>
      </c>
    </row>
    <row r="42" spans="1:29" s="1131" customFormat="1" ht="15">
      <c r="A42" s="552"/>
      <c r="B42" s="525" t="s">
        <v>721</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5"/>
      <c r="M42" s="1769"/>
      <c r="N42" s="1769"/>
      <c r="O42" s="1769"/>
      <c r="P42" s="3634"/>
      <c r="Q42" s="818" t="str">
        <f t="shared" si="8"/>
        <v>单套建筑面积</v>
      </c>
      <c r="R42" s="1308" t="s">
        <v>5</v>
      </c>
      <c r="S42" s="1309">
        <f t="shared" si="9"/>
        <v>100</v>
      </c>
      <c r="T42" s="1308" t="s">
        <v>5</v>
      </c>
      <c r="U42" s="1309">
        <f t="shared" si="10"/>
        <v>100</v>
      </c>
      <c r="V42" s="1308" t="s">
        <v>5</v>
      </c>
      <c r="W42" s="1309">
        <f t="shared" si="11"/>
        <v>100</v>
      </c>
      <c r="X42" s="1310"/>
      <c r="Y42" s="3634"/>
      <c r="Z42" s="1311" t="str">
        <f t="shared" si="12"/>
        <v>单套建筑面积</v>
      </c>
      <c r="AA42" s="1307">
        <f t="shared" si="3"/>
        <v>1</v>
      </c>
      <c r="AB42" s="1307">
        <f t="shared" si="4"/>
        <v>1</v>
      </c>
      <c r="AC42" s="1307">
        <f t="shared" si="5"/>
        <v>1</v>
      </c>
    </row>
    <row r="43" spans="1:29" ht="15">
      <c r="A43" s="543"/>
      <c r="B43" s="477" t="s">
        <v>708</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7"/>
      <c r="M43" s="1740"/>
      <c r="N43" s="1740"/>
      <c r="O43" s="1740"/>
      <c r="P43" s="3634"/>
      <c r="Q43" s="1304" t="str">
        <f t="shared" si="8"/>
        <v>内部装修</v>
      </c>
      <c r="R43" s="1305" t="s">
        <v>5</v>
      </c>
      <c r="S43" s="1306">
        <f t="shared" si="9"/>
        <v>100</v>
      </c>
      <c r="T43" s="1305" t="s">
        <v>5</v>
      </c>
      <c r="U43" s="1306">
        <f t="shared" si="10"/>
        <v>100</v>
      </c>
      <c r="V43" s="1305" t="s">
        <v>5</v>
      </c>
      <c r="W43" s="1306">
        <f t="shared" si="11"/>
        <v>100</v>
      </c>
      <c r="X43" s="1300"/>
      <c r="Y43" s="3634"/>
      <c r="Z43" s="1307" t="str">
        <f t="shared" si="12"/>
        <v>内部装修</v>
      </c>
      <c r="AA43" s="1307">
        <f t="shared" si="3"/>
        <v>1</v>
      </c>
      <c r="AB43" s="1307">
        <f t="shared" si="4"/>
        <v>1</v>
      </c>
      <c r="AC43" s="1307">
        <f t="shared" si="5"/>
        <v>1</v>
      </c>
    </row>
    <row r="44" spans="1:29" ht="27">
      <c r="A44" s="543"/>
      <c r="B44" s="477" t="s">
        <v>680</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7"/>
      <c r="M44" s="1740"/>
      <c r="N44" s="1740"/>
      <c r="O44" s="1740"/>
      <c r="P44" s="3634"/>
      <c r="Q44" s="1304" t="str">
        <f t="shared" si="8"/>
        <v>内部装修维护情况</v>
      </c>
      <c r="R44" s="1305" t="s">
        <v>5</v>
      </c>
      <c r="S44" s="1306">
        <f t="shared" si="9"/>
        <v>100</v>
      </c>
      <c r="T44" s="1305" t="s">
        <v>5</v>
      </c>
      <c r="U44" s="1306">
        <f t="shared" si="10"/>
        <v>100</v>
      </c>
      <c r="V44" s="1305" t="s">
        <v>5</v>
      </c>
      <c r="W44" s="1306">
        <f t="shared" si="11"/>
        <v>100</v>
      </c>
      <c r="X44" s="1300"/>
      <c r="Y44" s="3634"/>
      <c r="Z44" s="1307" t="str">
        <f t="shared" si="12"/>
        <v>内部装修维护情况</v>
      </c>
      <c r="AA44" s="1307">
        <f t="shared" si="3"/>
        <v>1</v>
      </c>
      <c r="AB44" s="1307">
        <f t="shared" si="4"/>
        <v>1</v>
      </c>
      <c r="AC44" s="1307">
        <f t="shared" si="5"/>
        <v>1</v>
      </c>
    </row>
    <row r="45" spans="1:29" s="1057"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1"/>
      <c r="M45" s="1638"/>
      <c r="N45" s="1638"/>
      <c r="O45" s="1638"/>
      <c r="P45" s="3634"/>
      <c r="Q45" s="817">
        <f t="shared" si="8"/>
        <v>111</v>
      </c>
      <c r="R45" s="1301" t="s">
        <v>5</v>
      </c>
      <c r="S45" s="1302">
        <f t="shared" si="9"/>
        <v>100</v>
      </c>
      <c r="T45" s="1301" t="s">
        <v>5</v>
      </c>
      <c r="U45" s="1302">
        <f t="shared" si="10"/>
        <v>100</v>
      </c>
      <c r="V45" s="1301" t="s">
        <v>5</v>
      </c>
      <c r="W45" s="1302">
        <f t="shared" si="11"/>
        <v>100</v>
      </c>
      <c r="X45" s="1303"/>
      <c r="Y45" s="3634"/>
      <c r="Z45" s="994">
        <f t="shared" si="12"/>
        <v>111</v>
      </c>
      <c r="AA45" s="994">
        <f t="shared" si="3"/>
        <v>1</v>
      </c>
      <c r="AB45" s="994">
        <f t="shared" si="4"/>
        <v>1</v>
      </c>
      <c r="AC45" s="994">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7"/>
      <c r="M46" s="1740"/>
      <c r="N46" s="1740"/>
      <c r="O46" s="1740"/>
      <c r="P46" s="3634"/>
      <c r="Q46" s="1304">
        <f t="shared" si="8"/>
        <v>111</v>
      </c>
      <c r="R46" s="1305" t="s">
        <v>5</v>
      </c>
      <c r="S46" s="1306">
        <f t="shared" si="9"/>
        <v>100</v>
      </c>
      <c r="T46" s="1305" t="s">
        <v>5</v>
      </c>
      <c r="U46" s="1306">
        <f t="shared" si="10"/>
        <v>100</v>
      </c>
      <c r="V46" s="1305" t="s">
        <v>5</v>
      </c>
      <c r="W46" s="1306">
        <f t="shared" si="11"/>
        <v>100</v>
      </c>
      <c r="X46" s="1300"/>
      <c r="Y46" s="3634"/>
      <c r="Z46" s="1307">
        <f t="shared" si="12"/>
        <v>111</v>
      </c>
      <c r="AA46" s="1307">
        <f t="shared" si="3"/>
        <v>1</v>
      </c>
      <c r="AB46" s="1307">
        <f t="shared" si="4"/>
        <v>1</v>
      </c>
      <c r="AC46" s="1307">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7"/>
      <c r="M47" s="1740"/>
      <c r="N47" s="1740"/>
      <c r="O47" s="1740"/>
      <c r="P47" s="3724"/>
      <c r="Q47" s="1304">
        <f t="shared" si="8"/>
        <v>111</v>
      </c>
      <c r="R47" s="1305" t="s">
        <v>5</v>
      </c>
      <c r="S47" s="1306">
        <f t="shared" si="9"/>
        <v>100</v>
      </c>
      <c r="T47" s="1305" t="s">
        <v>5</v>
      </c>
      <c r="U47" s="1306">
        <f t="shared" si="10"/>
        <v>100</v>
      </c>
      <c r="V47" s="1305" t="s">
        <v>5</v>
      </c>
      <c r="W47" s="1306">
        <f t="shared" si="11"/>
        <v>100</v>
      </c>
      <c r="X47" s="1300"/>
      <c r="Y47" s="3724"/>
      <c r="Z47" s="1307">
        <f t="shared" si="12"/>
        <v>111</v>
      </c>
      <c r="AA47" s="1307">
        <f t="shared" si="3"/>
        <v>1</v>
      </c>
      <c r="AB47" s="1307">
        <f t="shared" si="4"/>
        <v>1</v>
      </c>
      <c r="AC47" s="1307">
        <f t="shared" si="5"/>
        <v>1</v>
      </c>
    </row>
    <row r="48" spans="1:29" ht="15">
      <c r="A48" s="556" t="s">
        <v>681</v>
      </c>
      <c r="B48" s="811"/>
      <c r="C48" s="2079" t="s">
        <v>0</v>
      </c>
      <c r="D48" s="559"/>
      <c r="E48" s="560"/>
      <c r="F48" s="561"/>
      <c r="G48" s="562"/>
      <c r="H48" s="563"/>
      <c r="I48" s="560"/>
      <c r="J48" s="563"/>
      <c r="K48" s="1333"/>
      <c r="L48" s="1749"/>
      <c r="M48" s="1740"/>
      <c r="N48" s="1740"/>
      <c r="O48" s="1740"/>
      <c r="P48" s="3636" t="str">
        <f>A48</f>
        <v>成交单价（元/平方米）</v>
      </c>
      <c r="Q48" s="3598"/>
      <c r="R48" s="3599">
        <f>E48</f>
        <v>0</v>
      </c>
      <c r="S48" s="3599"/>
      <c r="T48" s="3599">
        <f>G48</f>
        <v>0</v>
      </c>
      <c r="U48" s="3599"/>
      <c r="V48" s="3599">
        <f>I48</f>
        <v>0</v>
      </c>
      <c r="W48" s="3599"/>
      <c r="X48" s="799"/>
      <c r="Y48" s="1312"/>
      <c r="Z48" s="799"/>
      <c r="AA48" s="799"/>
      <c r="AB48" s="799"/>
      <c r="AC48" s="799"/>
    </row>
    <row r="49" spans="1:29" ht="15.75" thickBot="1">
      <c r="A49" s="564" t="s">
        <v>2040</v>
      </c>
      <c r="B49" s="812"/>
      <c r="C49" s="2080" t="e">
        <f>R50</f>
        <v>#DIV/0!</v>
      </c>
      <c r="D49" s="2548" t="s">
        <v>2249</v>
      </c>
      <c r="E49" s="2081" t="e">
        <f>R49</f>
        <v>#DIV/0!</v>
      </c>
      <c r="F49" s="2549"/>
      <c r="G49" s="2080" t="e">
        <f>T49</f>
        <v>#DIV/0!</v>
      </c>
      <c r="H49" s="2549"/>
      <c r="I49" s="2081" t="e">
        <f>V49</f>
        <v>#DIV/0!</v>
      </c>
      <c r="J49" s="2549"/>
      <c r="K49" s="2556">
        <f>F49+H49+J49</f>
        <v>0</v>
      </c>
      <c r="L49" s="1749"/>
      <c r="M49" s="1740"/>
      <c r="N49" s="1740"/>
      <c r="O49" s="1740"/>
      <c r="P49" s="3636" t="str">
        <f>A49</f>
        <v>比较价格（元/平方米）</v>
      </c>
      <c r="Q49" s="3598"/>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799"/>
      <c r="Y49" s="799"/>
      <c r="Z49" s="799"/>
      <c r="AA49" s="799"/>
      <c r="AB49" s="799"/>
      <c r="AC49" s="799"/>
    </row>
    <row r="50" spans="1:29" ht="15.75" thickBot="1">
      <c r="A50" s="568" t="s">
        <v>2186</v>
      </c>
      <c r="B50" s="569"/>
      <c r="C50" s="469" t="e">
        <f>R50</f>
        <v>#DIV/0!</v>
      </c>
      <c r="D50" s="469"/>
      <c r="E50" s="469"/>
      <c r="F50" s="469"/>
      <c r="G50" s="469"/>
      <c r="H50" s="469"/>
      <c r="I50" s="469"/>
      <c r="J50" s="469"/>
      <c r="K50" s="1334"/>
      <c r="L50" s="1749"/>
      <c r="M50" s="1740"/>
      <c r="N50" s="1740"/>
      <c r="O50" s="1740"/>
      <c r="P50" s="3730" t="str">
        <f>A50</f>
        <v>估价对象XX用房的比较价格（楼面单价，元/平方米）</v>
      </c>
      <c r="Q50" s="3636"/>
      <c r="R50" s="3723" t="e">
        <f>IF(F1="售价",ROUND(IF(D49="简单平均",AVERAGE(R49:V49),R49*F49+T49*H49+V49*J49),0),ROUND(IF(D49="简单平均",AVERAGE(R49:V49),R49*F49+T49*H49+V49*J49),1))</f>
        <v>#DIV/0!</v>
      </c>
      <c r="S50" s="3723"/>
      <c r="T50" s="3723"/>
      <c r="U50" s="3723"/>
      <c r="V50" s="3723"/>
      <c r="W50" s="3723"/>
      <c r="X50" s="799"/>
      <c r="Y50" s="799"/>
      <c r="Z50" s="799"/>
      <c r="AA50" s="799"/>
      <c r="AB50" s="799"/>
      <c r="AC50" s="799"/>
    </row>
    <row r="51" spans="1:29">
      <c r="A51" s="2719"/>
      <c r="B51" s="2719"/>
      <c r="C51" s="2719"/>
      <c r="D51" s="2719"/>
      <c r="E51" s="2719"/>
      <c r="F51" s="2719"/>
      <c r="G51" s="2721"/>
      <c r="H51" s="2719"/>
      <c r="I51" s="2719"/>
      <c r="J51" s="2719"/>
      <c r="K51" s="2722"/>
      <c r="L51" s="1753"/>
      <c r="M51" s="1740"/>
      <c r="N51" s="1740"/>
      <c r="O51" s="1740"/>
      <c r="P51" s="1802"/>
      <c r="Q51" s="1740"/>
      <c r="R51" s="1740"/>
      <c r="S51" s="1740"/>
      <c r="T51" s="1740"/>
      <c r="U51" s="1740"/>
      <c r="V51" s="1740"/>
      <c r="W51" s="1740"/>
      <c r="X51" s="1740"/>
      <c r="Y51" s="1740"/>
      <c r="Z51" s="1740"/>
      <c r="AA51" s="1740"/>
      <c r="AB51" s="1740"/>
      <c r="AC51" s="1740"/>
    </row>
    <row r="52" spans="1:29">
      <c r="A52" s="2719"/>
      <c r="B52" s="2719"/>
      <c r="C52" s="2719"/>
      <c r="D52" s="2719"/>
      <c r="E52" s="2719"/>
      <c r="F52" s="2719"/>
      <c r="G52" s="2719"/>
      <c r="H52" s="2719"/>
      <c r="I52" s="2719"/>
      <c r="J52" s="2719"/>
      <c r="K52" s="2722"/>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9"/>
      <c r="B53" s="2719"/>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2"/>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9"/>
      <c r="B54" s="2719"/>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2"/>
      <c r="L54" s="1753"/>
      <c r="M54" s="1740"/>
      <c r="N54" s="1740"/>
      <c r="O54" s="1740"/>
      <c r="P54" s="1802"/>
      <c r="Q54" s="1740"/>
      <c r="R54" s="1740"/>
      <c r="S54" s="1740"/>
      <c r="T54" s="1740"/>
      <c r="U54" s="1740"/>
      <c r="V54" s="1740"/>
      <c r="W54" s="1740"/>
      <c r="X54" s="1740"/>
      <c r="Y54" s="1740"/>
      <c r="Z54" s="1740"/>
      <c r="AA54" s="1740"/>
      <c r="AB54" s="1740"/>
      <c r="AC54" s="1740"/>
    </row>
    <row r="55" spans="1:29" s="1136" customFormat="1" ht="13.5" customHeight="1">
      <c r="A55" s="2720"/>
      <c r="B55" s="2720"/>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3"/>
      <c r="L55" s="1756"/>
      <c r="M55" s="1750"/>
      <c r="N55" s="1750"/>
      <c r="O55" s="1750"/>
      <c r="P55" s="1803"/>
      <c r="Q55" s="1750"/>
      <c r="R55" s="1750"/>
      <c r="S55" s="1750"/>
      <c r="T55" s="1750"/>
      <c r="U55" s="1750"/>
      <c r="V55" s="1750"/>
      <c r="W55" s="1750"/>
      <c r="X55" s="1750"/>
      <c r="Y55" s="1750"/>
      <c r="Z55" s="1750"/>
      <c r="AA55" s="1750"/>
      <c r="AB55" s="1750"/>
      <c r="AC55" s="1750"/>
    </row>
    <row r="56" spans="1:29" s="1136"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5" t="s">
        <v>520</v>
      </c>
      <c r="B58" s="799"/>
      <c r="C58" s="1314"/>
      <c r="D58" s="1314"/>
      <c r="E58" s="1314"/>
      <c r="F58" s="1316"/>
      <c r="G58" s="1316"/>
      <c r="H58" s="1314"/>
      <c r="I58" s="1314"/>
      <c r="J58" s="1314"/>
      <c r="K58" s="1317"/>
      <c r="L58" s="1313"/>
      <c r="M58" s="1314"/>
      <c r="N58" s="1760"/>
      <c r="O58" s="1760"/>
      <c r="P58" s="1804"/>
      <c r="Q58" s="1761"/>
      <c r="R58" s="1740"/>
      <c r="S58" s="1740"/>
      <c r="T58" s="1740"/>
      <c r="U58" s="1740"/>
      <c r="V58" s="1740"/>
      <c r="W58" s="1740"/>
      <c r="X58" s="1740"/>
      <c r="Y58" s="1740"/>
      <c r="Z58" s="1740"/>
      <c r="AA58" s="1740"/>
      <c r="AB58" s="1740"/>
      <c r="AC58" s="1740"/>
    </row>
    <row r="59" spans="1:29" s="1138" customFormat="1" ht="15">
      <c r="A59" s="592" t="s">
        <v>476</v>
      </c>
      <c r="B59" s="593"/>
      <c r="C59" s="2111" t="str">
        <f>YEAR(C7)&amp;"-"&amp;MONTH(C7)</f>
        <v>2025-6</v>
      </c>
      <c r="D59" s="2113">
        <f>EDATE(C59,-1)</f>
        <v>45778</v>
      </c>
      <c r="E59" s="2113">
        <f t="shared" ref="E59:O59" si="13">EDATE(D59,-1)</f>
        <v>45748</v>
      </c>
      <c r="F59" s="2113">
        <f t="shared" si="13"/>
        <v>45717</v>
      </c>
      <c r="G59" s="2113">
        <f t="shared" si="13"/>
        <v>45689</v>
      </c>
      <c r="H59" s="2113">
        <f t="shared" si="13"/>
        <v>45658</v>
      </c>
      <c r="I59" s="2113">
        <f t="shared" si="13"/>
        <v>45627</v>
      </c>
      <c r="J59" s="2113">
        <f t="shared" si="13"/>
        <v>45597</v>
      </c>
      <c r="K59" s="2113">
        <f t="shared" si="13"/>
        <v>45566</v>
      </c>
      <c r="L59" s="2113">
        <f t="shared" si="13"/>
        <v>45536</v>
      </c>
      <c r="M59" s="2113">
        <f t="shared" si="13"/>
        <v>45505</v>
      </c>
      <c r="N59" s="2113">
        <f t="shared" si="13"/>
        <v>45474</v>
      </c>
      <c r="O59" s="2113">
        <f t="shared" si="13"/>
        <v>45444</v>
      </c>
      <c r="P59" s="1805"/>
      <c r="Q59" s="1763"/>
      <c r="R59" s="1763"/>
      <c r="S59" s="1763"/>
      <c r="T59" s="1763"/>
      <c r="U59" s="1763"/>
      <c r="V59" s="1763"/>
      <c r="W59" s="1763"/>
      <c r="X59" s="1763"/>
      <c r="Y59" s="1763"/>
      <c r="Z59" s="1763"/>
      <c r="AA59" s="1763"/>
      <c r="AB59" s="1763"/>
      <c r="AC59" s="1763"/>
    </row>
    <row r="60" spans="1:29" s="1057" customFormat="1" ht="15">
      <c r="A60" s="527"/>
      <c r="B60" s="594"/>
      <c r="C60" s="595">
        <v>100</v>
      </c>
      <c r="D60" s="596"/>
      <c r="E60" s="596"/>
      <c r="F60" s="596"/>
      <c r="G60" s="596"/>
      <c r="H60" s="596"/>
      <c r="I60" s="596"/>
      <c r="J60" s="596"/>
      <c r="K60" s="596"/>
      <c r="L60" s="596"/>
      <c r="M60" s="487"/>
      <c r="N60" s="596"/>
      <c r="O60" s="487"/>
      <c r="P60" s="1806"/>
      <c r="Q60" s="1638"/>
      <c r="R60" s="1638"/>
      <c r="S60" s="1638"/>
      <c r="T60" s="1638"/>
      <c r="U60" s="1638"/>
      <c r="V60" s="1638"/>
      <c r="W60" s="1638"/>
      <c r="X60" s="1638"/>
      <c r="Y60" s="1638"/>
      <c r="Z60" s="1638"/>
      <c r="AA60" s="1638"/>
      <c r="AB60" s="1638"/>
      <c r="AC60" s="1638"/>
    </row>
    <row r="61" spans="1:29" s="1057" customFormat="1" ht="15.75" thickBot="1">
      <c r="A61" s="262" t="s">
        <v>521</v>
      </c>
      <c r="B61" s="598"/>
      <c r="C61" s="599"/>
      <c r="D61" s="600"/>
      <c r="E61" s="600"/>
      <c r="F61" s="600"/>
      <c r="G61" s="600"/>
      <c r="H61" s="600"/>
      <c r="I61" s="600"/>
      <c r="J61" s="600"/>
      <c r="K61" s="600"/>
      <c r="L61" s="600"/>
      <c r="M61" s="601"/>
      <c r="N61" s="600"/>
      <c r="O61" s="601"/>
      <c r="P61" s="1806"/>
      <c r="Q61" s="1761"/>
      <c r="R61" s="1638"/>
      <c r="S61" s="1638"/>
      <c r="T61" s="1638"/>
      <c r="U61" s="1638"/>
      <c r="V61" s="1638"/>
      <c r="W61" s="1638"/>
      <c r="X61" s="1638"/>
      <c r="Y61" s="1638"/>
      <c r="Z61" s="1638"/>
      <c r="AA61" s="1638"/>
      <c r="AB61" s="1638"/>
      <c r="AC61" s="1638"/>
    </row>
    <row r="62" spans="1:29" s="1057" customFormat="1" ht="15">
      <c r="A62" s="603" t="s">
        <v>478</v>
      </c>
      <c r="B62" s="594"/>
      <c r="C62" s="604" t="s">
        <v>522</v>
      </c>
      <c r="D62" s="80"/>
      <c r="E62" s="80"/>
      <c r="F62" s="80"/>
      <c r="G62" s="80"/>
      <c r="H62" s="80"/>
      <c r="I62" s="80"/>
      <c r="J62" s="80"/>
      <c r="K62" s="80"/>
      <c r="L62" s="605"/>
      <c r="M62" s="606"/>
      <c r="N62" s="1764"/>
      <c r="O62" s="1764"/>
      <c r="P62" s="1807"/>
      <c r="Q62" s="1761"/>
      <c r="R62" s="1638"/>
      <c r="S62" s="1638"/>
      <c r="T62" s="1638"/>
      <c r="U62" s="1638"/>
      <c r="V62" s="1638"/>
      <c r="W62" s="1638"/>
      <c r="X62" s="1638"/>
      <c r="Y62" s="1638"/>
      <c r="Z62" s="1638"/>
      <c r="AA62" s="1638"/>
      <c r="AB62" s="1638"/>
      <c r="AC62" s="1638"/>
    </row>
    <row r="63" spans="1:29" s="1057" customFormat="1" ht="15.75" thickBot="1">
      <c r="A63" s="603"/>
      <c r="B63" s="594"/>
      <c r="C63" s="813">
        <v>100</v>
      </c>
      <c r="D63" s="596"/>
      <c r="E63" s="596"/>
      <c r="F63" s="596"/>
      <c r="G63" s="596"/>
      <c r="H63" s="596"/>
      <c r="I63" s="596"/>
      <c r="J63" s="596"/>
      <c r="K63" s="596"/>
      <c r="L63" s="596"/>
      <c r="M63" s="597"/>
      <c r="N63" s="1764"/>
      <c r="O63" s="1764"/>
      <c r="P63" s="1806"/>
      <c r="Q63" s="1761"/>
      <c r="R63" s="1638"/>
      <c r="S63" s="1638"/>
      <c r="T63" s="1638"/>
      <c r="U63" s="1638"/>
      <c r="V63" s="1638"/>
      <c r="W63" s="1638"/>
      <c r="X63" s="1638"/>
      <c r="Y63" s="1638"/>
      <c r="Z63" s="1638"/>
      <c r="AA63" s="1638"/>
      <c r="AB63" s="1638"/>
      <c r="AC63" s="1638"/>
    </row>
    <row r="64" spans="1:29">
      <c r="A64" s="607" t="s">
        <v>523</v>
      </c>
      <c r="B64" s="608" t="s">
        <v>481</v>
      </c>
      <c r="C64" s="645">
        <f>C9</f>
        <v>0</v>
      </c>
      <c r="D64" s="547"/>
      <c r="E64" s="547"/>
      <c r="F64" s="547"/>
      <c r="G64" s="547"/>
      <c r="H64" s="547"/>
      <c r="I64" s="547"/>
      <c r="J64" s="547"/>
      <c r="K64" s="609"/>
      <c r="L64" s="610"/>
      <c r="M64" s="611"/>
      <c r="N64" s="1765"/>
      <c r="O64" s="1765"/>
      <c r="P64" s="1808"/>
      <c r="Q64" s="1761"/>
      <c r="R64" s="1740"/>
      <c r="S64" s="1740"/>
      <c r="T64" s="1740"/>
      <c r="U64" s="1740"/>
      <c r="V64" s="1740"/>
      <c r="W64" s="1740"/>
      <c r="X64" s="1740"/>
      <c r="Y64" s="1740"/>
      <c r="Z64" s="1740"/>
      <c r="AA64" s="1740"/>
      <c r="AB64" s="1740"/>
      <c r="AC64" s="1740"/>
    </row>
    <row r="65" spans="1:29" ht="15.75" thickBot="1">
      <c r="A65" s="482"/>
      <c r="B65" s="612"/>
      <c r="C65" s="613"/>
      <c r="D65" s="613"/>
      <c r="E65" s="613"/>
      <c r="F65" s="613"/>
      <c r="G65" s="613"/>
      <c r="H65" s="613"/>
      <c r="I65" s="613"/>
      <c r="J65" s="613"/>
      <c r="K65" s="613"/>
      <c r="L65" s="613"/>
      <c r="M65" s="614"/>
      <c r="N65" s="1766"/>
      <c r="O65" s="1766"/>
      <c r="P65" s="1808"/>
      <c r="Q65" s="1761"/>
      <c r="R65" s="1740"/>
      <c r="S65" s="1740"/>
      <c r="T65" s="1740"/>
      <c r="U65" s="1740"/>
      <c r="V65" s="1740"/>
      <c r="W65" s="1740"/>
      <c r="X65" s="1740"/>
      <c r="Y65" s="1740"/>
      <c r="Z65" s="1740"/>
      <c r="AA65" s="1740"/>
      <c r="AB65" s="1740"/>
      <c r="AC65" s="1740"/>
    </row>
    <row r="66" spans="1:29" ht="27.75" thickTop="1">
      <c r="A66" s="482"/>
      <c r="B66" s="615" t="s">
        <v>484</v>
      </c>
      <c r="C66" s="658"/>
      <c r="D66" s="658"/>
      <c r="E66" s="658"/>
      <c r="F66" s="658"/>
      <c r="G66" s="658"/>
      <c r="H66" s="658"/>
      <c r="I66" s="658"/>
      <c r="J66" s="658"/>
      <c r="K66" s="659"/>
      <c r="L66" s="660"/>
      <c r="M66" s="661"/>
      <c r="N66" s="1765"/>
      <c r="O66" s="1765"/>
      <c r="P66" s="1808"/>
      <c r="Q66" s="1761"/>
      <c r="R66" s="1740"/>
      <c r="S66" s="1740"/>
      <c r="T66" s="1740"/>
      <c r="U66" s="1740"/>
      <c r="V66" s="1740"/>
      <c r="W66" s="1740"/>
      <c r="X66" s="1740"/>
      <c r="Y66" s="1740"/>
      <c r="Z66" s="1740"/>
      <c r="AA66" s="1740"/>
      <c r="AB66" s="1740"/>
      <c r="AC66" s="1740"/>
    </row>
    <row r="67" spans="1:29" ht="15.75" thickBot="1">
      <c r="A67" s="482"/>
      <c r="B67" s="620"/>
      <c r="C67" s="613"/>
      <c r="D67" s="613"/>
      <c r="E67" s="613"/>
      <c r="F67" s="613"/>
      <c r="G67" s="613"/>
      <c r="H67" s="613"/>
      <c r="I67" s="613"/>
      <c r="J67" s="613"/>
      <c r="K67" s="613"/>
      <c r="L67" s="613"/>
      <c r="M67" s="614"/>
      <c r="N67" s="1766"/>
      <c r="O67" s="1766"/>
      <c r="P67" s="1808"/>
      <c r="Q67" s="1761"/>
      <c r="R67" s="1740"/>
      <c r="S67" s="1740"/>
      <c r="T67" s="1740"/>
      <c r="U67" s="1740"/>
      <c r="V67" s="1740"/>
      <c r="W67" s="1740"/>
      <c r="X67" s="1740"/>
      <c r="Y67" s="1740"/>
      <c r="Z67" s="1740"/>
      <c r="AA67" s="1740"/>
      <c r="AB67" s="1740"/>
      <c r="AC67" s="1740"/>
    </row>
    <row r="68" spans="1:29" ht="15.75" thickTop="1">
      <c r="A68" s="482"/>
      <c r="B68" s="623" t="s">
        <v>485</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2"/>
      <c r="B69" s="625"/>
      <c r="C69" s="491"/>
      <c r="D69" s="491"/>
      <c r="E69" s="491"/>
      <c r="F69" s="491"/>
      <c r="G69" s="491"/>
      <c r="H69" s="491"/>
      <c r="I69" s="491"/>
      <c r="J69" s="491"/>
      <c r="K69" s="626"/>
      <c r="L69" s="627"/>
      <c r="M69" s="628"/>
      <c r="N69" s="1765"/>
      <c r="O69" s="1765"/>
      <c r="P69" s="1808"/>
      <c r="Q69" s="1761"/>
      <c r="R69" s="1740"/>
      <c r="S69" s="1740"/>
      <c r="T69" s="1740"/>
      <c r="U69" s="1740"/>
      <c r="V69" s="1740"/>
      <c r="W69" s="1740"/>
      <c r="X69" s="1740"/>
      <c r="Y69" s="1740"/>
      <c r="Z69" s="1740"/>
      <c r="AA69" s="1740"/>
      <c r="AB69" s="1740"/>
      <c r="AC69" s="1740"/>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6"/>
      <c r="O70" s="1766"/>
      <c r="P70" s="1808"/>
      <c r="Q70" s="1761"/>
      <c r="R70" s="1740"/>
      <c r="S70" s="1740"/>
      <c r="T70" s="1740"/>
      <c r="U70" s="1740"/>
      <c r="V70" s="1740"/>
      <c r="W70" s="1740"/>
      <c r="X70" s="1740"/>
      <c r="Y70" s="1740"/>
      <c r="Z70" s="1740"/>
      <c r="AA70" s="1740"/>
      <c r="AB70" s="1740"/>
      <c r="AC70" s="1740"/>
    </row>
    <row r="71" spans="1:29" s="1131" customFormat="1" ht="15.75" thickTop="1">
      <c r="A71" s="629"/>
      <c r="B71" s="615">
        <f>B12</f>
        <v>111</v>
      </c>
      <c r="C71" s="630"/>
      <c r="D71" s="630"/>
      <c r="E71" s="630"/>
      <c r="F71" s="630"/>
      <c r="G71" s="630"/>
      <c r="H71" s="631"/>
      <c r="I71" s="631"/>
      <c r="J71" s="631"/>
      <c r="K71" s="631"/>
      <c r="L71" s="632"/>
      <c r="M71" s="633"/>
      <c r="N71" s="1767"/>
      <c r="O71" s="1767"/>
      <c r="P71" s="1809"/>
      <c r="Q71" s="1768"/>
      <c r="R71" s="1769"/>
      <c r="S71" s="1769"/>
      <c r="T71" s="1769"/>
      <c r="U71" s="1769"/>
      <c r="V71" s="1769"/>
      <c r="W71" s="1769"/>
      <c r="X71" s="1769"/>
      <c r="Y71" s="1769"/>
      <c r="Z71" s="1769"/>
      <c r="AA71" s="1769"/>
      <c r="AB71" s="1769"/>
      <c r="AC71" s="1769"/>
    </row>
    <row r="72" spans="1:29" s="1131" customFormat="1" ht="15.75" thickBot="1">
      <c r="A72" s="629"/>
      <c r="B72" s="620"/>
      <c r="C72" s="634"/>
      <c r="D72" s="613"/>
      <c r="E72" s="613"/>
      <c r="F72" s="613"/>
      <c r="G72" s="613"/>
      <c r="H72" s="613"/>
      <c r="I72" s="613"/>
      <c r="J72" s="613"/>
      <c r="K72" s="613"/>
      <c r="L72" s="613"/>
      <c r="M72" s="614"/>
      <c r="N72" s="1766"/>
      <c r="O72" s="1766"/>
      <c r="P72" s="1809"/>
      <c r="Q72" s="1768"/>
      <c r="R72" s="1769"/>
      <c r="S72" s="1769"/>
      <c r="T72" s="1769"/>
      <c r="U72" s="1769"/>
      <c r="V72" s="1769"/>
      <c r="W72" s="1769"/>
      <c r="X72" s="1769"/>
      <c r="Y72" s="1769"/>
      <c r="Z72" s="1769"/>
      <c r="AA72" s="1769"/>
      <c r="AB72" s="1769"/>
      <c r="AC72" s="1769"/>
    </row>
    <row r="73" spans="1:29" s="1131" customFormat="1" ht="15.75" thickTop="1">
      <c r="A73" s="629"/>
      <c r="B73" s="615">
        <f>B13</f>
        <v>111</v>
      </c>
      <c r="C73" s="630"/>
      <c r="D73" s="630"/>
      <c r="E73" s="630"/>
      <c r="F73" s="630"/>
      <c r="G73" s="630"/>
      <c r="H73" s="631"/>
      <c r="I73" s="631"/>
      <c r="J73" s="631"/>
      <c r="K73" s="631"/>
      <c r="L73" s="632"/>
      <c r="M73" s="633"/>
      <c r="N73" s="1767"/>
      <c r="O73" s="1767"/>
      <c r="P73" s="1810"/>
      <c r="Q73" s="1770"/>
      <c r="R73" s="1769"/>
      <c r="S73" s="1769"/>
      <c r="T73" s="1769"/>
      <c r="U73" s="1769"/>
      <c r="V73" s="1769"/>
      <c r="W73" s="1769"/>
      <c r="X73" s="1769"/>
      <c r="Y73" s="1769"/>
      <c r="Z73" s="1769"/>
      <c r="AA73" s="1769"/>
      <c r="AB73" s="1769"/>
      <c r="AC73" s="1769"/>
    </row>
    <row r="74" spans="1:29" s="1131" customFormat="1" ht="15.75" thickBot="1">
      <c r="A74" s="629"/>
      <c r="B74" s="620"/>
      <c r="C74" s="634"/>
      <c r="D74" s="634"/>
      <c r="E74" s="634"/>
      <c r="F74" s="634"/>
      <c r="G74" s="634"/>
      <c r="H74" s="635"/>
      <c r="I74" s="635"/>
      <c r="J74" s="635"/>
      <c r="K74" s="635"/>
      <c r="L74" s="635"/>
      <c r="M74" s="636"/>
      <c r="N74" s="1767"/>
      <c r="O74" s="1767"/>
      <c r="P74" s="1809"/>
      <c r="Q74" s="1768"/>
      <c r="R74" s="1769"/>
      <c r="S74" s="1769"/>
      <c r="T74" s="1769"/>
      <c r="U74" s="1769"/>
      <c r="V74" s="1769"/>
      <c r="W74" s="1769"/>
      <c r="X74" s="1769"/>
      <c r="Y74" s="1769"/>
      <c r="Z74" s="1769"/>
      <c r="AA74" s="1769"/>
      <c r="AB74" s="1769"/>
      <c r="AC74" s="1769"/>
    </row>
    <row r="75" spans="1:29" s="1131" customFormat="1" ht="15.75" thickTop="1">
      <c r="A75" s="629"/>
      <c r="B75" s="623">
        <f>B14</f>
        <v>111</v>
      </c>
      <c r="C75" s="80"/>
      <c r="D75" s="80"/>
      <c r="E75" s="80"/>
      <c r="F75" s="80"/>
      <c r="G75" s="80"/>
      <c r="H75" s="637"/>
      <c r="I75" s="637"/>
      <c r="J75" s="637"/>
      <c r="K75" s="637"/>
      <c r="L75" s="638"/>
      <c r="M75" s="639"/>
      <c r="N75" s="1767"/>
      <c r="O75" s="1767"/>
      <c r="P75" s="1811"/>
      <c r="Q75" s="1768"/>
      <c r="R75" s="1769"/>
      <c r="S75" s="1769"/>
      <c r="T75" s="1769"/>
      <c r="U75" s="1769"/>
      <c r="V75" s="1769"/>
      <c r="W75" s="1769"/>
      <c r="X75" s="1769"/>
      <c r="Y75" s="1769"/>
      <c r="Z75" s="1769"/>
      <c r="AA75" s="1769"/>
      <c r="AB75" s="1769"/>
      <c r="AC75" s="1769"/>
    </row>
    <row r="76" spans="1:29" s="1131" customFormat="1" ht="15.75" thickBot="1">
      <c r="A76" s="640"/>
      <c r="B76" s="641"/>
      <c r="C76" s="642"/>
      <c r="D76" s="642"/>
      <c r="E76" s="642"/>
      <c r="F76" s="642"/>
      <c r="G76" s="642"/>
      <c r="H76" s="643"/>
      <c r="I76" s="643"/>
      <c r="J76" s="643"/>
      <c r="K76" s="643"/>
      <c r="L76" s="643"/>
      <c r="M76" s="644"/>
      <c r="N76" s="1767"/>
      <c r="O76" s="1767"/>
      <c r="P76" s="1809"/>
      <c r="Q76" s="1768"/>
      <c r="R76" s="1769"/>
      <c r="S76" s="1769"/>
      <c r="T76" s="1769"/>
      <c r="U76" s="1769"/>
      <c r="V76" s="1769"/>
      <c r="W76" s="1769"/>
      <c r="X76" s="1769"/>
      <c r="Y76" s="1769"/>
      <c r="Z76" s="1769"/>
      <c r="AA76" s="1769"/>
      <c r="AB76" s="1769"/>
      <c r="AC76" s="1769"/>
    </row>
    <row r="77" spans="1:29">
      <c r="A77" s="607" t="s">
        <v>486</v>
      </c>
      <c r="B77" s="608" t="s">
        <v>531</v>
      </c>
      <c r="C77" s="143" t="s">
        <v>525</v>
      </c>
      <c r="D77" s="143" t="s">
        <v>526</v>
      </c>
      <c r="E77" s="143" t="s">
        <v>527</v>
      </c>
      <c r="F77" s="143" t="s">
        <v>528</v>
      </c>
      <c r="G77" s="143" t="s">
        <v>529</v>
      </c>
      <c r="H77" s="645"/>
      <c r="I77" s="645"/>
      <c r="J77" s="645"/>
      <c r="K77" s="646"/>
      <c r="L77" s="647"/>
      <c r="M77" s="648"/>
      <c r="N77" s="1765"/>
      <c r="O77" s="1765"/>
      <c r="P77" s="1812"/>
      <c r="Q77" s="1761"/>
      <c r="R77" s="1740"/>
      <c r="S77" s="1740"/>
      <c r="T77" s="1740"/>
      <c r="U77" s="1740"/>
      <c r="V77" s="1740"/>
      <c r="W77" s="1740"/>
      <c r="X77" s="1740"/>
      <c r="Y77" s="1740"/>
      <c r="Z77" s="1740"/>
      <c r="AA77" s="1740"/>
      <c r="AB77" s="1740"/>
      <c r="AC77" s="1740"/>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6"/>
      <c r="O78" s="1766"/>
      <c r="P78" s="1808"/>
      <c r="Q78" s="1761"/>
      <c r="R78" s="1740"/>
      <c r="S78" s="1740"/>
      <c r="T78" s="1740"/>
      <c r="U78" s="1740"/>
      <c r="V78" s="1740"/>
      <c r="W78" s="1740"/>
      <c r="X78" s="1740"/>
      <c r="Y78" s="1740"/>
      <c r="Z78" s="1740"/>
      <c r="AA78" s="1740"/>
      <c r="AB78" s="1740"/>
      <c r="AC78" s="1740"/>
    </row>
    <row r="79" spans="1:29" ht="15.75" thickTop="1">
      <c r="A79" s="482"/>
      <c r="B79" s="615" t="s">
        <v>532</v>
      </c>
      <c r="C79" s="649" t="s">
        <v>525</v>
      </c>
      <c r="D79" s="649" t="s">
        <v>526</v>
      </c>
      <c r="E79" s="649" t="s">
        <v>527</v>
      </c>
      <c r="F79" s="649" t="s">
        <v>528</v>
      </c>
      <c r="G79" s="649" t="s">
        <v>529</v>
      </c>
      <c r="H79" s="616"/>
      <c r="I79" s="616"/>
      <c r="J79" s="616"/>
      <c r="K79" s="617"/>
      <c r="L79" s="618"/>
      <c r="M79" s="619"/>
      <c r="N79" s="1765"/>
      <c r="O79" s="1765"/>
      <c r="P79" s="1808"/>
      <c r="Q79" s="1761"/>
      <c r="R79" s="1740"/>
      <c r="S79" s="1740"/>
      <c r="T79" s="1740"/>
      <c r="U79" s="1740"/>
      <c r="V79" s="1740"/>
      <c r="W79" s="1740"/>
      <c r="X79" s="1740"/>
      <c r="Y79" s="1740"/>
      <c r="Z79" s="1740"/>
      <c r="AA79" s="1740"/>
      <c r="AB79" s="1740"/>
      <c r="AC79" s="1740"/>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6"/>
      <c r="O80" s="1766"/>
      <c r="P80" s="1808"/>
      <c r="Q80" s="1761"/>
      <c r="R80" s="1740"/>
      <c r="S80" s="1740"/>
      <c r="T80" s="1740"/>
      <c r="U80" s="1740"/>
      <c r="V80" s="1740"/>
      <c r="W80" s="1740"/>
      <c r="X80" s="1740"/>
      <c r="Y80" s="1740"/>
      <c r="Z80" s="1740"/>
      <c r="AA80" s="1740"/>
      <c r="AB80" s="1740"/>
      <c r="AC80" s="1740"/>
    </row>
    <row r="81" spans="1:29" ht="15.75" thickTop="1">
      <c r="A81" s="482"/>
      <c r="B81" s="1553" t="s">
        <v>1838</v>
      </c>
      <c r="C81" s="649" t="s">
        <v>525</v>
      </c>
      <c r="D81" s="649" t="s">
        <v>526</v>
      </c>
      <c r="E81" s="649" t="s">
        <v>527</v>
      </c>
      <c r="F81" s="649" t="s">
        <v>528</v>
      </c>
      <c r="G81" s="649" t="s">
        <v>529</v>
      </c>
      <c r="H81" s="616"/>
      <c r="I81" s="616"/>
      <c r="J81" s="616"/>
      <c r="K81" s="617"/>
      <c r="L81" s="618"/>
      <c r="M81" s="619"/>
      <c r="N81" s="1765"/>
      <c r="O81" s="1765"/>
      <c r="P81" s="1808"/>
      <c r="Q81" s="1761"/>
      <c r="R81" s="1740"/>
      <c r="S81" s="1740"/>
      <c r="T81" s="1740"/>
      <c r="U81" s="1740"/>
      <c r="V81" s="1740"/>
      <c r="W81" s="1740"/>
      <c r="X81" s="1740"/>
      <c r="Y81" s="1740"/>
      <c r="Z81" s="1740"/>
      <c r="AA81" s="1740"/>
      <c r="AB81" s="1740"/>
      <c r="AC81" s="1740"/>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6"/>
      <c r="O82" s="1766"/>
      <c r="P82" s="1808"/>
      <c r="Q82" s="1761"/>
      <c r="R82" s="1740"/>
      <c r="S82" s="1740"/>
      <c r="T82" s="1740"/>
      <c r="U82" s="1740"/>
      <c r="V82" s="1740"/>
      <c r="W82" s="1740"/>
      <c r="X82" s="1740"/>
      <c r="Y82" s="1740"/>
      <c r="Z82" s="1740"/>
      <c r="AA82" s="1740"/>
      <c r="AB82" s="1740"/>
      <c r="AC82" s="1740"/>
    </row>
    <row r="83" spans="1:29" ht="15.75" thickTop="1">
      <c r="A83" s="482"/>
      <c r="B83" s="2054" t="s">
        <v>1839</v>
      </c>
      <c r="C83" s="2055" t="s">
        <v>1840</v>
      </c>
      <c r="D83" s="2055" t="s">
        <v>1841</v>
      </c>
      <c r="E83" s="2055" t="s">
        <v>1842</v>
      </c>
      <c r="F83" s="2055" t="s">
        <v>1843</v>
      </c>
      <c r="G83" s="2055" t="s">
        <v>1844</v>
      </c>
      <c r="H83" s="616"/>
      <c r="I83" s="616"/>
      <c r="J83" s="616"/>
      <c r="K83" s="616"/>
      <c r="L83" s="616"/>
      <c r="M83" s="2058"/>
      <c r="N83" s="1766"/>
      <c r="O83" s="1766"/>
      <c r="P83" s="1808"/>
      <c r="Q83" s="1761"/>
      <c r="R83" s="1740"/>
      <c r="S83" s="1740"/>
      <c r="T83" s="1740"/>
      <c r="U83" s="1740"/>
      <c r="V83" s="1740"/>
      <c r="W83" s="1740"/>
      <c r="X83" s="1740"/>
      <c r="Y83" s="1740"/>
      <c r="Z83" s="1740"/>
      <c r="AA83" s="1740"/>
      <c r="AB83" s="1740"/>
      <c r="AC83" s="1740"/>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6"/>
      <c r="O84" s="1766"/>
      <c r="P84" s="1808"/>
      <c r="Q84" s="1761"/>
      <c r="R84" s="1740"/>
      <c r="S84" s="1740"/>
      <c r="T84" s="1740"/>
      <c r="U84" s="1740"/>
      <c r="V84" s="1740"/>
      <c r="W84" s="1740"/>
      <c r="X84" s="1740"/>
      <c r="Y84" s="1740"/>
      <c r="Z84" s="1740"/>
      <c r="AA84" s="1740"/>
      <c r="AB84" s="1740"/>
      <c r="AC84" s="1740"/>
    </row>
    <row r="85" spans="1:29" ht="15.75" thickTop="1">
      <c r="A85" s="482"/>
      <c r="B85" s="615" t="s">
        <v>722</v>
      </c>
      <c r="C85" s="649" t="s">
        <v>525</v>
      </c>
      <c r="D85" s="649" t="s">
        <v>526</v>
      </c>
      <c r="E85" s="649" t="s">
        <v>527</v>
      </c>
      <c r="F85" s="649" t="s">
        <v>528</v>
      </c>
      <c r="G85" s="649" t="s">
        <v>529</v>
      </c>
      <c r="H85" s="616"/>
      <c r="I85" s="616"/>
      <c r="J85" s="616"/>
      <c r="K85" s="617"/>
      <c r="L85" s="618"/>
      <c r="M85" s="619"/>
      <c r="N85" s="1765"/>
      <c r="O85" s="1765"/>
      <c r="P85" s="1808"/>
      <c r="Q85" s="1761"/>
      <c r="R85" s="1740"/>
      <c r="S85" s="1740"/>
      <c r="T85" s="1740"/>
      <c r="U85" s="1740"/>
      <c r="V85" s="1740"/>
      <c r="W85" s="1740"/>
      <c r="X85" s="1740"/>
      <c r="Y85" s="1740"/>
      <c r="Z85" s="1740"/>
      <c r="AA85" s="1740"/>
      <c r="AB85" s="1740"/>
      <c r="AC85" s="1740"/>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6"/>
      <c r="O86" s="1766"/>
      <c r="P86" s="1808"/>
      <c r="Q86" s="1761"/>
      <c r="R86" s="1740"/>
      <c r="S86" s="1740"/>
      <c r="T86" s="1740"/>
      <c r="U86" s="1740"/>
      <c r="V86" s="1740"/>
      <c r="W86" s="1740"/>
      <c r="X86" s="1740"/>
      <c r="Y86" s="1740"/>
      <c r="Z86" s="1740"/>
      <c r="AA86" s="1740"/>
      <c r="AB86" s="1740"/>
      <c r="AC86" s="1740"/>
    </row>
    <row r="87" spans="1:29" s="1057" customFormat="1" ht="27.75" thickTop="1">
      <c r="A87" s="486"/>
      <c r="B87" s="615" t="s">
        <v>723</v>
      </c>
      <c r="C87" s="630"/>
      <c r="D87" s="630"/>
      <c r="E87" s="630"/>
      <c r="F87" s="630"/>
      <c r="G87" s="630"/>
      <c r="H87" s="630"/>
      <c r="I87" s="630"/>
      <c r="J87" s="630"/>
      <c r="K87" s="630"/>
      <c r="L87" s="814"/>
      <c r="M87" s="815"/>
      <c r="N87" s="1764"/>
      <c r="O87" s="1764"/>
      <c r="P87" s="1808"/>
      <c r="Q87" s="1761"/>
      <c r="R87" s="1638"/>
      <c r="S87" s="1638"/>
      <c r="T87" s="1638"/>
      <c r="U87" s="1638"/>
      <c r="V87" s="1638"/>
      <c r="W87" s="1638"/>
      <c r="X87" s="1638"/>
      <c r="Y87" s="1638"/>
      <c r="Z87" s="1638"/>
      <c r="AA87" s="1638"/>
      <c r="AB87" s="1638"/>
      <c r="AC87" s="1638"/>
    </row>
    <row r="88" spans="1:29" s="1057"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6"/>
      <c r="O88" s="1766"/>
      <c r="P88" s="1808"/>
      <c r="Q88" s="1761"/>
      <c r="R88" s="1638"/>
      <c r="S88" s="1638"/>
      <c r="T88" s="1638"/>
      <c r="U88" s="1638"/>
      <c r="V88" s="1638"/>
      <c r="W88" s="1638"/>
      <c r="X88" s="1638"/>
      <c r="Y88" s="1638"/>
      <c r="Z88" s="1638"/>
      <c r="AA88" s="1638"/>
      <c r="AB88" s="1638"/>
      <c r="AC88" s="1638"/>
    </row>
    <row r="89" spans="1:29" s="1057" customFormat="1" ht="15.75" thickTop="1">
      <c r="A89" s="486"/>
      <c r="B89" s="615" t="str">
        <f>B27</f>
        <v>楼层</v>
      </c>
      <c r="C89" s="630"/>
      <c r="D89" s="630"/>
      <c r="E89" s="630"/>
      <c r="F89" s="816"/>
      <c r="G89" s="630"/>
      <c r="H89" s="630"/>
      <c r="I89" s="630"/>
      <c r="J89" s="630"/>
      <c r="K89" s="630"/>
      <c r="L89" s="630"/>
      <c r="M89" s="815"/>
      <c r="N89" s="1764"/>
      <c r="O89" s="1764"/>
      <c r="P89" s="1808"/>
      <c r="Q89" s="1761"/>
      <c r="R89" s="1638"/>
      <c r="S89" s="1638"/>
      <c r="T89" s="1638"/>
      <c r="U89" s="1638"/>
      <c r="V89" s="1638"/>
      <c r="W89" s="1638"/>
      <c r="X89" s="1638"/>
      <c r="Y89" s="1638"/>
      <c r="Z89" s="1638"/>
      <c r="AA89" s="1638"/>
      <c r="AB89" s="1638"/>
      <c r="AC89" s="1638"/>
    </row>
    <row r="90" spans="1:29" s="1057"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6"/>
      <c r="O90" s="1766"/>
      <c r="P90" s="1808"/>
      <c r="Q90" s="1761"/>
      <c r="R90" s="1638"/>
      <c r="S90" s="1638"/>
      <c r="T90" s="1638"/>
      <c r="U90" s="1638"/>
      <c r="V90" s="1638"/>
      <c r="W90" s="1638"/>
      <c r="X90" s="1638"/>
      <c r="Y90" s="1638"/>
      <c r="Z90" s="1638"/>
      <c r="AA90" s="1638"/>
      <c r="AB90" s="1638"/>
      <c r="AC90" s="1638"/>
    </row>
    <row r="91" spans="1:29" s="1131" customFormat="1" ht="15.75" thickTop="1">
      <c r="A91" s="629"/>
      <c r="B91" s="615" t="str">
        <f>B28</f>
        <v>朝向</v>
      </c>
      <c r="C91" s="630"/>
      <c r="D91" s="630"/>
      <c r="E91" s="630"/>
      <c r="F91" s="630"/>
      <c r="G91" s="630"/>
      <c r="H91" s="631"/>
      <c r="I91" s="631"/>
      <c r="J91" s="631"/>
      <c r="K91" s="631"/>
      <c r="L91" s="632"/>
      <c r="M91" s="633"/>
      <c r="N91" s="1767"/>
      <c r="O91" s="1767"/>
      <c r="P91" s="1809"/>
      <c r="Q91" s="1768"/>
      <c r="R91" s="1769"/>
      <c r="S91" s="1769"/>
      <c r="T91" s="1769"/>
      <c r="U91" s="1769"/>
      <c r="V91" s="1769"/>
      <c r="W91" s="1769"/>
      <c r="X91" s="1769"/>
      <c r="Y91" s="1769"/>
      <c r="Z91" s="1769"/>
      <c r="AA91" s="1769"/>
      <c r="AB91" s="1769"/>
      <c r="AC91" s="1769"/>
    </row>
    <row r="92" spans="1:29" s="1131"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2"/>
      <c r="B93" s="615">
        <f>B29</f>
        <v>111</v>
      </c>
      <c r="C93" s="630"/>
      <c r="D93" s="630"/>
      <c r="E93" s="630"/>
      <c r="F93" s="630"/>
      <c r="G93" s="630"/>
      <c r="H93" s="630"/>
      <c r="I93" s="630"/>
      <c r="J93" s="630"/>
      <c r="K93" s="630"/>
      <c r="L93" s="814"/>
      <c r="M93" s="815"/>
      <c r="N93" s="1765"/>
      <c r="O93" s="1765"/>
      <c r="P93" s="1808"/>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13"/>
      <c r="H94" s="613"/>
      <c r="I94" s="613"/>
      <c r="J94" s="613"/>
      <c r="K94" s="613"/>
      <c r="L94" s="613"/>
      <c r="M94" s="614"/>
      <c r="N94" s="1766"/>
      <c r="O94" s="1766"/>
      <c r="P94" s="1808"/>
      <c r="Q94" s="1761"/>
      <c r="R94" s="1740"/>
      <c r="S94" s="1740"/>
      <c r="T94" s="1740"/>
      <c r="U94" s="1740"/>
      <c r="V94" s="1740"/>
      <c r="W94" s="1740"/>
      <c r="X94" s="1740"/>
      <c r="Y94" s="1740"/>
      <c r="Z94" s="1740"/>
      <c r="AA94" s="1740"/>
      <c r="AB94" s="1740"/>
      <c r="AC94" s="1740"/>
    </row>
    <row r="95" spans="1:29" ht="15.75" thickTop="1">
      <c r="A95" s="482"/>
      <c r="B95" s="615">
        <f>B30</f>
        <v>111</v>
      </c>
      <c r="C95" s="630"/>
      <c r="D95" s="630"/>
      <c r="E95" s="630"/>
      <c r="F95" s="630"/>
      <c r="G95" s="658"/>
      <c r="H95" s="658"/>
      <c r="I95" s="658"/>
      <c r="J95" s="658"/>
      <c r="K95" s="659"/>
      <c r="L95" s="660"/>
      <c r="M95" s="661"/>
      <c r="N95" s="1765"/>
      <c r="O95" s="1765"/>
      <c r="P95" s="1808"/>
      <c r="Q95" s="176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13"/>
      <c r="H96" s="613"/>
      <c r="I96" s="613"/>
      <c r="J96" s="613"/>
      <c r="K96" s="613"/>
      <c r="L96" s="613"/>
      <c r="M96" s="614"/>
      <c r="N96" s="1766"/>
      <c r="O96" s="1766"/>
      <c r="P96" s="1808"/>
      <c r="Q96" s="1761"/>
      <c r="R96" s="1740"/>
      <c r="S96" s="1740"/>
      <c r="T96" s="1740"/>
      <c r="U96" s="1740"/>
      <c r="V96" s="1740"/>
      <c r="W96" s="1740"/>
      <c r="X96" s="1740"/>
      <c r="Y96" s="1740"/>
      <c r="Z96" s="1740"/>
      <c r="AA96" s="1740"/>
      <c r="AB96" s="1740"/>
      <c r="AC96" s="1740"/>
    </row>
    <row r="97" spans="1:29" ht="15.75" thickTop="1">
      <c r="A97" s="482"/>
      <c r="B97" s="615">
        <f>B31</f>
        <v>111</v>
      </c>
      <c r="C97" s="630"/>
      <c r="D97" s="630"/>
      <c r="E97" s="630"/>
      <c r="F97" s="630"/>
      <c r="G97" s="658"/>
      <c r="H97" s="658"/>
      <c r="I97" s="658"/>
      <c r="J97" s="658"/>
      <c r="K97" s="659"/>
      <c r="L97" s="660"/>
      <c r="M97" s="661"/>
      <c r="N97" s="1765"/>
      <c r="O97" s="1765"/>
      <c r="P97" s="1808"/>
      <c r="Q97" s="176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13"/>
      <c r="H98" s="613"/>
      <c r="I98" s="613"/>
      <c r="J98" s="613"/>
      <c r="K98" s="613"/>
      <c r="L98" s="613"/>
      <c r="M98" s="614"/>
      <c r="N98" s="1766"/>
      <c r="O98" s="1766"/>
      <c r="P98" s="1808"/>
      <c r="Q98" s="1761"/>
      <c r="R98" s="1740"/>
      <c r="S98" s="1740"/>
      <c r="T98" s="1740"/>
      <c r="U98" s="1740"/>
      <c r="V98" s="1740"/>
      <c r="W98" s="1740"/>
      <c r="X98" s="1740"/>
      <c r="Y98" s="1740"/>
      <c r="Z98" s="1740"/>
      <c r="AA98" s="1740"/>
      <c r="AB98" s="1740"/>
      <c r="AC98" s="1740"/>
    </row>
    <row r="99" spans="1:29" ht="15.75" thickTop="1">
      <c r="A99" s="482"/>
      <c r="B99" s="623">
        <f>B32</f>
        <v>111</v>
      </c>
      <c r="C99" s="80"/>
      <c r="D99" s="80"/>
      <c r="E99" s="80"/>
      <c r="F99" s="80"/>
      <c r="G99" s="662"/>
      <c r="H99" s="662"/>
      <c r="I99" s="662"/>
      <c r="J99" s="662"/>
      <c r="K99" s="663"/>
      <c r="L99" s="664"/>
      <c r="M99" s="665"/>
      <c r="N99" s="1765"/>
      <c r="O99" s="1765"/>
      <c r="P99" s="1808"/>
      <c r="Q99" s="1761"/>
      <c r="R99" s="1740"/>
      <c r="S99" s="1740"/>
      <c r="T99" s="1740"/>
      <c r="U99" s="1740"/>
      <c r="V99" s="1740"/>
      <c r="W99" s="1740"/>
      <c r="X99" s="1740"/>
      <c r="Y99" s="1740"/>
      <c r="Z99" s="1740"/>
      <c r="AA99" s="1740"/>
      <c r="AB99" s="1740"/>
      <c r="AC99" s="1740"/>
    </row>
    <row r="100" spans="1:29" ht="15.75" thickBot="1">
      <c r="A100" s="493"/>
      <c r="B100" s="641"/>
      <c r="C100" s="642"/>
      <c r="D100" s="642"/>
      <c r="E100" s="642"/>
      <c r="F100" s="642"/>
      <c r="G100" s="666"/>
      <c r="H100" s="666"/>
      <c r="I100" s="666"/>
      <c r="J100" s="666"/>
      <c r="K100" s="666"/>
      <c r="L100" s="666"/>
      <c r="M100" s="667"/>
      <c r="N100" s="1766"/>
      <c r="O100" s="1766"/>
      <c r="P100" s="1808"/>
      <c r="Q100" s="1761"/>
      <c r="R100" s="1740"/>
      <c r="S100" s="1740"/>
      <c r="T100" s="1740"/>
      <c r="U100" s="1740"/>
      <c r="V100" s="1740"/>
      <c r="W100" s="1740"/>
      <c r="X100" s="1740"/>
      <c r="Y100" s="1740"/>
      <c r="Z100" s="1740"/>
      <c r="AA100" s="1740"/>
      <c r="AB100" s="1740"/>
      <c r="AC100" s="1740"/>
    </row>
    <row r="101" spans="1:29">
      <c r="A101" s="607" t="s">
        <v>498</v>
      </c>
      <c r="B101" s="608" t="s">
        <v>685</v>
      </c>
      <c r="C101" s="547"/>
      <c r="D101" s="547"/>
      <c r="E101" s="547"/>
      <c r="F101" s="547"/>
      <c r="G101" s="547"/>
      <c r="H101" s="547"/>
      <c r="I101" s="547"/>
      <c r="J101" s="547"/>
      <c r="K101" s="609"/>
      <c r="L101" s="610"/>
      <c r="M101" s="611"/>
      <c r="N101" s="1765"/>
      <c r="O101" s="1765"/>
      <c r="P101" s="1808"/>
      <c r="Q101" s="1761"/>
      <c r="R101" s="1740"/>
      <c r="S101" s="1740"/>
      <c r="T101" s="1740"/>
      <c r="U101" s="1740"/>
      <c r="V101" s="1740"/>
      <c r="W101" s="1740"/>
      <c r="X101" s="1740"/>
      <c r="Y101" s="1740"/>
      <c r="Z101" s="1740"/>
      <c r="AA101" s="1740"/>
      <c r="AB101" s="1740"/>
      <c r="AC101" s="1740"/>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2"/>
      <c r="B103" s="615" t="s">
        <v>686</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1" customFormat="1">
      <c r="A104" s="552"/>
      <c r="B104" s="668"/>
      <c r="C104" s="79"/>
      <c r="D104" s="79"/>
      <c r="E104" s="79"/>
      <c r="F104" s="79"/>
      <c r="G104" s="79"/>
      <c r="H104" s="79"/>
      <c r="I104" s="79"/>
      <c r="J104" s="669"/>
      <c r="K104" s="669"/>
      <c r="L104" s="670"/>
      <c r="M104" s="671"/>
      <c r="N104" s="1767"/>
      <c r="O104" s="1767"/>
      <c r="P104" s="1809"/>
      <c r="Q104" s="1768"/>
      <c r="R104" s="1769"/>
      <c r="S104" s="1769"/>
      <c r="T104" s="1769"/>
      <c r="U104" s="1769"/>
      <c r="V104" s="1769"/>
      <c r="W104" s="1769"/>
      <c r="X104" s="1769"/>
      <c r="Y104" s="1769"/>
      <c r="Z104" s="1769"/>
      <c r="AA104" s="1769"/>
      <c r="AB104" s="1769"/>
      <c r="AC104" s="1769"/>
    </row>
    <row r="105" spans="1:29" s="1131" customFormat="1" ht="15.75" thickBot="1">
      <c r="A105" s="629"/>
      <c r="B105" s="620"/>
      <c r="C105" s="634"/>
      <c r="D105" s="613"/>
      <c r="E105" s="613"/>
      <c r="F105" s="613"/>
      <c r="G105" s="613"/>
      <c r="H105" s="613"/>
      <c r="I105" s="613"/>
      <c r="J105" s="613"/>
      <c r="K105" s="613"/>
      <c r="L105" s="613"/>
      <c r="M105" s="614"/>
      <c r="N105" s="1766"/>
      <c r="O105" s="1766"/>
      <c r="P105" s="1809"/>
      <c r="Q105" s="1768"/>
      <c r="R105" s="1769"/>
      <c r="S105" s="1769"/>
      <c r="T105" s="1769"/>
      <c r="U105" s="1769"/>
      <c r="V105" s="1769"/>
      <c r="W105" s="1769"/>
      <c r="X105" s="1769"/>
      <c r="Y105" s="1769"/>
      <c r="Z105" s="1769"/>
      <c r="AA105" s="1769"/>
      <c r="AB105" s="1769"/>
      <c r="AC105" s="1769"/>
    </row>
    <row r="106" spans="1:29" ht="15" thickTop="1">
      <c r="A106" s="543"/>
      <c r="B106" s="615" t="s">
        <v>687</v>
      </c>
      <c r="C106" s="630"/>
      <c r="D106" s="630"/>
      <c r="E106" s="658"/>
      <c r="F106" s="658"/>
      <c r="G106" s="658"/>
      <c r="H106" s="658"/>
      <c r="I106" s="658"/>
      <c r="J106" s="658"/>
      <c r="K106" s="659"/>
      <c r="L106" s="660"/>
      <c r="M106" s="661"/>
      <c r="N106" s="1765"/>
      <c r="O106" s="1765"/>
      <c r="P106" s="1808"/>
      <c r="Q106" s="1761"/>
      <c r="R106" s="1740"/>
      <c r="S106" s="1740"/>
      <c r="T106" s="1740"/>
      <c r="U106" s="1740"/>
      <c r="V106" s="1740"/>
      <c r="W106" s="1740"/>
      <c r="X106" s="1740"/>
      <c r="Y106" s="1740"/>
      <c r="Z106" s="1740"/>
      <c r="AA106" s="1740"/>
      <c r="AB106" s="1740"/>
      <c r="AC106" s="1740"/>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3"/>
      <c r="B108" s="615" t="s">
        <v>689</v>
      </c>
      <c r="C108" s="630"/>
      <c r="D108" s="630"/>
      <c r="E108" s="630"/>
      <c r="F108" s="658"/>
      <c r="G108" s="658"/>
      <c r="H108" s="658"/>
      <c r="I108" s="658"/>
      <c r="J108" s="658"/>
      <c r="K108" s="659"/>
      <c r="L108" s="660"/>
      <c r="M108" s="661"/>
      <c r="N108" s="1765"/>
      <c r="O108" s="1765"/>
      <c r="P108" s="1808"/>
      <c r="Q108" s="1761"/>
      <c r="R108" s="1740"/>
      <c r="S108" s="1740"/>
      <c r="T108" s="1740"/>
      <c r="U108" s="1740"/>
      <c r="V108" s="1740"/>
      <c r="W108" s="1740"/>
      <c r="X108" s="1740"/>
      <c r="Y108" s="1740"/>
      <c r="Z108" s="1740"/>
      <c r="AA108" s="1740"/>
      <c r="AB108" s="1740"/>
      <c r="AC108" s="1740"/>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3"/>
      <c r="B110" s="615" t="s">
        <v>690</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5"/>
      <c r="O110" s="1765"/>
      <c r="P110" s="1808"/>
      <c r="Q110" s="1761"/>
      <c r="R110" s="1740"/>
      <c r="S110" s="1740"/>
      <c r="T110" s="1740"/>
      <c r="U110" s="1740"/>
      <c r="V110" s="1740"/>
      <c r="W110" s="1740"/>
      <c r="X110" s="1740"/>
      <c r="Y110" s="1740"/>
      <c r="Z110" s="1740"/>
      <c r="AA110" s="1740"/>
      <c r="AB110" s="1740"/>
      <c r="AC110" s="1740"/>
    </row>
    <row r="111" spans="1:29">
      <c r="A111" s="543"/>
      <c r="B111" s="623"/>
      <c r="C111" s="817">
        <v>0.5</v>
      </c>
      <c r="D111" s="817">
        <v>0.6</v>
      </c>
      <c r="E111" s="817">
        <v>0.7</v>
      </c>
      <c r="F111" s="817">
        <v>0.8</v>
      </c>
      <c r="G111" s="817">
        <v>0.9</v>
      </c>
      <c r="H111" s="817">
        <v>1.0001</v>
      </c>
      <c r="I111" s="827"/>
      <c r="J111" s="827"/>
      <c r="K111" s="828"/>
      <c r="L111" s="829"/>
      <c r="M111" s="830"/>
      <c r="N111" s="1765"/>
      <c r="O111" s="1765"/>
      <c r="P111" s="1808"/>
      <c r="Q111" s="1761"/>
      <c r="R111" s="1740"/>
      <c r="S111" s="1740"/>
      <c r="T111" s="1740"/>
      <c r="U111" s="1740"/>
      <c r="V111" s="1740"/>
      <c r="W111" s="1740"/>
      <c r="X111" s="1740"/>
      <c r="Y111" s="1740"/>
      <c r="Z111" s="1740"/>
      <c r="AA111" s="1740"/>
      <c r="AB111" s="1740"/>
      <c r="AC111" s="1740"/>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6"/>
      <c r="O112" s="1766"/>
      <c r="P112" s="1808"/>
      <c r="Q112" s="1761"/>
      <c r="R112" s="1740"/>
      <c r="S112" s="1740"/>
      <c r="T112" s="1740"/>
      <c r="U112" s="1740"/>
      <c r="V112" s="1740"/>
      <c r="W112" s="1740"/>
      <c r="X112" s="1740"/>
      <c r="Y112" s="1740"/>
      <c r="Z112" s="1740"/>
      <c r="AA112" s="1740"/>
      <c r="AB112" s="1740"/>
      <c r="AC112" s="1740"/>
    </row>
    <row r="113" spans="1:29" s="1131" customFormat="1" ht="15" thickTop="1">
      <c r="A113" s="552"/>
      <c r="B113" s="615" t="s">
        <v>724</v>
      </c>
      <c r="C113" s="630"/>
      <c r="D113" s="630"/>
      <c r="E113" s="630"/>
      <c r="F113" s="630"/>
      <c r="G113" s="630"/>
      <c r="H113" s="658"/>
      <c r="I113" s="658"/>
      <c r="J113" s="658"/>
      <c r="K113" s="659"/>
      <c r="L113" s="660"/>
      <c r="M113" s="661"/>
      <c r="N113" s="1767"/>
      <c r="O113" s="1767"/>
      <c r="P113" s="1809"/>
      <c r="Q113" s="1768"/>
      <c r="R113" s="1769"/>
      <c r="S113" s="1769"/>
      <c r="T113" s="1769"/>
      <c r="U113" s="1769"/>
      <c r="V113" s="1769"/>
      <c r="W113" s="1769"/>
      <c r="X113" s="1769"/>
      <c r="Y113" s="1769"/>
      <c r="Z113" s="1769"/>
      <c r="AA113" s="1769"/>
      <c r="AB113" s="1769"/>
      <c r="AC113" s="1769"/>
    </row>
    <row r="114" spans="1:29" s="1131"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3"/>
      <c r="B115" s="615" t="s">
        <v>691</v>
      </c>
      <c r="C115" s="630"/>
      <c r="D115" s="630"/>
      <c r="E115" s="658"/>
      <c r="F115" s="658"/>
      <c r="G115" s="658"/>
      <c r="H115" s="658"/>
      <c r="I115" s="658"/>
      <c r="J115" s="658"/>
      <c r="K115" s="659"/>
      <c r="L115" s="660"/>
      <c r="M115" s="661"/>
      <c r="N115" s="1765"/>
      <c r="O115" s="1765"/>
      <c r="P115" s="1808"/>
      <c r="Q115" s="1761"/>
      <c r="R115" s="1740"/>
      <c r="S115" s="1740"/>
      <c r="T115" s="1740"/>
      <c r="U115" s="1740"/>
      <c r="V115" s="1740"/>
      <c r="W115" s="1740"/>
      <c r="X115" s="1740"/>
      <c r="Y115" s="1740"/>
      <c r="Z115" s="1740"/>
      <c r="AA115" s="1740"/>
      <c r="AB115" s="1740"/>
      <c r="AC115" s="1740"/>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3"/>
      <c r="B117" s="1553" t="s">
        <v>1837</v>
      </c>
      <c r="C117" s="630"/>
      <c r="D117" s="630"/>
      <c r="E117" s="630"/>
      <c r="F117" s="630"/>
      <c r="G117" s="630"/>
      <c r="H117" s="658"/>
      <c r="I117" s="658"/>
      <c r="J117" s="658"/>
      <c r="K117" s="659"/>
      <c r="L117" s="660"/>
      <c r="M117" s="661"/>
      <c r="N117" s="1765"/>
      <c r="O117" s="1765"/>
      <c r="P117" s="1808"/>
      <c r="Q117" s="1761"/>
      <c r="R117" s="1740"/>
      <c r="S117" s="1740"/>
      <c r="T117" s="1740"/>
      <c r="U117" s="1740"/>
      <c r="V117" s="1740"/>
      <c r="W117" s="1740"/>
      <c r="X117" s="1740"/>
      <c r="Y117" s="1740"/>
      <c r="Z117" s="1740"/>
      <c r="AA117" s="1740"/>
      <c r="AB117" s="1740"/>
      <c r="AC117" s="1740"/>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6"/>
      <c r="O118" s="1766"/>
      <c r="P118" s="1808"/>
      <c r="Q118" s="1761"/>
      <c r="R118" s="1740"/>
      <c r="S118" s="1740"/>
      <c r="T118" s="1740"/>
      <c r="U118" s="1740"/>
      <c r="V118" s="1740"/>
      <c r="W118" s="1740"/>
      <c r="X118" s="1740"/>
      <c r="Y118" s="1740"/>
      <c r="Z118" s="1740"/>
      <c r="AA118" s="1740"/>
      <c r="AB118" s="1740"/>
      <c r="AC118" s="1740"/>
    </row>
    <row r="119" spans="1:29" ht="15" thickTop="1">
      <c r="A119" s="543"/>
      <c r="B119" s="838" t="s">
        <v>725</v>
      </c>
      <c r="C119" s="658"/>
      <c r="D119" s="658"/>
      <c r="E119" s="658"/>
      <c r="F119" s="658"/>
      <c r="G119" s="658"/>
      <c r="H119" s="658"/>
      <c r="I119" s="658"/>
      <c r="J119" s="658"/>
      <c r="K119" s="658"/>
      <c r="L119" s="839"/>
      <c r="M119" s="840"/>
      <c r="N119" s="1766"/>
      <c r="O119" s="1766"/>
      <c r="P119" s="1813"/>
      <c r="Q119" s="1801"/>
      <c r="R119" s="1740"/>
      <c r="S119" s="1740"/>
      <c r="T119" s="1740"/>
      <c r="U119" s="1740"/>
      <c r="V119" s="1740"/>
      <c r="W119" s="1740"/>
      <c r="X119" s="1740"/>
      <c r="Y119" s="1740"/>
      <c r="Z119" s="1740"/>
      <c r="AA119" s="1740"/>
      <c r="AB119" s="1740"/>
      <c r="AC119" s="1740"/>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6"/>
      <c r="O120" s="1766"/>
      <c r="P120" s="1808"/>
      <c r="Q120" s="1761"/>
      <c r="R120" s="1740"/>
      <c r="S120" s="1740"/>
      <c r="T120" s="1740"/>
      <c r="U120" s="1740"/>
      <c r="V120" s="1740"/>
      <c r="W120" s="1740"/>
      <c r="X120" s="1740"/>
      <c r="Y120" s="1740"/>
      <c r="Z120" s="1740"/>
      <c r="AA120" s="1740"/>
      <c r="AB120" s="1740"/>
      <c r="AC120" s="1740"/>
    </row>
    <row r="121" spans="1:29" s="1131" customFormat="1" ht="15" thickTop="1">
      <c r="A121" s="552"/>
      <c r="B121" s="615" t="s">
        <v>713</v>
      </c>
      <c r="C121" s="630"/>
      <c r="D121" s="630"/>
      <c r="E121" s="630"/>
      <c r="F121" s="658"/>
      <c r="G121" s="631"/>
      <c r="H121" s="631"/>
      <c r="I121" s="631"/>
      <c r="J121" s="631"/>
      <c r="K121" s="631"/>
      <c r="L121" s="632"/>
      <c r="M121" s="633"/>
      <c r="N121" s="1767"/>
      <c r="O121" s="1767"/>
      <c r="P121" s="1809"/>
      <c r="Q121" s="1768"/>
      <c r="R121" s="1769"/>
      <c r="S121" s="1769"/>
      <c r="T121" s="1769"/>
      <c r="U121" s="1769"/>
      <c r="V121" s="1769"/>
      <c r="W121" s="1769"/>
      <c r="X121" s="1769"/>
      <c r="Y121" s="1769"/>
      <c r="Z121" s="1769"/>
      <c r="AA121" s="1769"/>
      <c r="AB121" s="1769"/>
      <c r="AC121" s="1769"/>
    </row>
    <row r="122" spans="1:29" s="1131" customFormat="1" ht="15.75" thickBot="1">
      <c r="A122" s="629"/>
      <c r="B122" s="612"/>
      <c r="C122" s="634"/>
      <c r="D122" s="634"/>
      <c r="E122" s="634"/>
      <c r="F122" s="634"/>
      <c r="G122" s="634"/>
      <c r="H122" s="634"/>
      <c r="I122" s="634"/>
      <c r="J122" s="634"/>
      <c r="K122" s="634"/>
      <c r="L122" s="634"/>
      <c r="M122" s="634"/>
      <c r="N122" s="1767"/>
      <c r="O122" s="1767"/>
      <c r="P122" s="1809"/>
      <c r="Q122" s="1768"/>
      <c r="R122" s="1769"/>
      <c r="S122" s="1769"/>
      <c r="T122" s="1769"/>
      <c r="U122" s="1769"/>
      <c r="V122" s="1769"/>
      <c r="W122" s="1769"/>
      <c r="X122" s="1769"/>
      <c r="Y122" s="1769"/>
      <c r="Z122" s="1769"/>
      <c r="AA122" s="1769"/>
      <c r="AB122" s="1769"/>
      <c r="AC122" s="1769"/>
    </row>
    <row r="123" spans="1:29" ht="15" thickTop="1">
      <c r="A123" s="543"/>
      <c r="B123" s="615" t="s">
        <v>693</v>
      </c>
      <c r="C123" s="630"/>
      <c r="D123" s="630"/>
      <c r="E123" s="630"/>
      <c r="F123" s="658"/>
      <c r="G123" s="658"/>
      <c r="H123" s="658"/>
      <c r="I123" s="658"/>
      <c r="J123" s="658"/>
      <c r="K123" s="659"/>
      <c r="L123" s="660"/>
      <c r="M123" s="661"/>
      <c r="N123" s="1765"/>
      <c r="O123" s="1765"/>
      <c r="P123" s="1808"/>
      <c r="Q123" s="1761"/>
      <c r="R123" s="1740"/>
      <c r="S123" s="1740"/>
      <c r="T123" s="1740"/>
      <c r="U123" s="1740"/>
      <c r="V123" s="1740"/>
      <c r="W123" s="1740"/>
      <c r="X123" s="1740"/>
      <c r="Y123" s="1740"/>
      <c r="Z123" s="1740"/>
      <c r="AA123" s="1740"/>
      <c r="AB123" s="1740"/>
      <c r="AC123" s="1740"/>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3"/>
      <c r="B125" s="615" t="s">
        <v>694</v>
      </c>
      <c r="C125" s="649" t="s">
        <v>525</v>
      </c>
      <c r="D125" s="649" t="s">
        <v>526</v>
      </c>
      <c r="E125" s="649" t="s">
        <v>527</v>
      </c>
      <c r="F125" s="649" t="s">
        <v>528</v>
      </c>
      <c r="G125" s="649" t="s">
        <v>529</v>
      </c>
      <c r="H125" s="616"/>
      <c r="I125" s="616"/>
      <c r="J125" s="616"/>
      <c r="K125" s="617"/>
      <c r="L125" s="618"/>
      <c r="M125" s="619"/>
      <c r="N125" s="1765"/>
      <c r="O125" s="1765"/>
      <c r="P125" s="1809"/>
      <c r="Q125" s="1761"/>
      <c r="R125" s="1740"/>
      <c r="S125" s="1740"/>
      <c r="T125" s="1740"/>
      <c r="U125" s="1740"/>
      <c r="V125" s="1740"/>
      <c r="W125" s="1740"/>
      <c r="X125" s="1740"/>
      <c r="Y125" s="1740"/>
      <c r="Z125" s="1740"/>
      <c r="AA125" s="1740"/>
      <c r="AB125" s="1740"/>
      <c r="AC125" s="1740"/>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6"/>
      <c r="O126" s="1766"/>
      <c r="P126" s="1808"/>
      <c r="Q126" s="1761"/>
      <c r="R126" s="1740"/>
      <c r="S126" s="1740"/>
      <c r="T126" s="1740"/>
      <c r="U126" s="1740"/>
      <c r="V126" s="1740"/>
      <c r="W126" s="1740"/>
      <c r="X126" s="1740"/>
      <c r="Y126" s="1740"/>
      <c r="Z126" s="1740"/>
      <c r="AA126" s="1740"/>
      <c r="AB126" s="1740"/>
      <c r="AC126" s="1740"/>
    </row>
    <row r="127" spans="1:29" s="1131" customFormat="1" ht="15" thickTop="1">
      <c r="A127" s="552"/>
      <c r="B127" s="615">
        <f>B45</f>
        <v>111</v>
      </c>
      <c r="C127" s="630"/>
      <c r="D127" s="630"/>
      <c r="E127" s="630"/>
      <c r="F127" s="630"/>
      <c r="G127" s="630"/>
      <c r="H127" s="631"/>
      <c r="I127" s="631"/>
      <c r="J127" s="631"/>
      <c r="K127" s="631"/>
      <c r="L127" s="632"/>
      <c r="M127" s="633"/>
      <c r="N127" s="1767"/>
      <c r="O127" s="1767"/>
      <c r="P127" s="1809"/>
      <c r="Q127" s="1768"/>
      <c r="R127" s="1769"/>
      <c r="S127" s="1769"/>
      <c r="T127" s="1769"/>
      <c r="U127" s="1769"/>
      <c r="V127" s="1769"/>
      <c r="W127" s="1769"/>
      <c r="X127" s="1769"/>
      <c r="Y127" s="1769"/>
      <c r="Z127" s="1769"/>
      <c r="AA127" s="1769"/>
      <c r="AB127" s="1769"/>
      <c r="AC127" s="1769"/>
    </row>
    <row r="128" spans="1:29" s="1131" customFormat="1" ht="15.75" thickBot="1">
      <c r="A128" s="629"/>
      <c r="B128" s="620"/>
      <c r="C128" s="634"/>
      <c r="D128" s="613"/>
      <c r="E128" s="613"/>
      <c r="F128" s="613"/>
      <c r="G128" s="634"/>
      <c r="H128" s="635"/>
      <c r="I128" s="635"/>
      <c r="J128" s="635"/>
      <c r="K128" s="635"/>
      <c r="L128" s="635"/>
      <c r="M128" s="636"/>
      <c r="N128" s="1767"/>
      <c r="O128" s="1767"/>
      <c r="P128" s="1809"/>
      <c r="Q128" s="1768"/>
      <c r="R128" s="1769"/>
      <c r="S128" s="1769"/>
      <c r="T128" s="1769"/>
      <c r="U128" s="1769"/>
      <c r="V128" s="1769"/>
      <c r="W128" s="1769"/>
      <c r="X128" s="1769"/>
      <c r="Y128" s="1769"/>
      <c r="Z128" s="1769"/>
      <c r="AA128" s="1769"/>
      <c r="AB128" s="1769"/>
      <c r="AC128" s="1769"/>
    </row>
    <row r="129" spans="1:29" ht="15" thickTop="1">
      <c r="A129" s="543"/>
      <c r="B129" s="615">
        <f>B46</f>
        <v>111</v>
      </c>
      <c r="C129" s="630"/>
      <c r="D129" s="630"/>
      <c r="E129" s="630"/>
      <c r="F129" s="630"/>
      <c r="G129" s="658"/>
      <c r="H129" s="658"/>
      <c r="I129" s="658"/>
      <c r="J129" s="658"/>
      <c r="K129" s="659"/>
      <c r="L129" s="660"/>
      <c r="M129" s="661"/>
      <c r="N129" s="1765"/>
      <c r="O129" s="1765"/>
      <c r="P129" s="1808"/>
      <c r="Q129" s="1761"/>
      <c r="R129" s="1740"/>
      <c r="S129" s="1740"/>
      <c r="T129" s="1740"/>
      <c r="U129" s="1740"/>
      <c r="V129" s="1740"/>
      <c r="W129" s="1740"/>
      <c r="X129" s="1740"/>
      <c r="Y129" s="1740"/>
      <c r="Z129" s="1740"/>
      <c r="AA129" s="1740"/>
      <c r="AB129" s="1740"/>
      <c r="AC129" s="1740"/>
    </row>
    <row r="130" spans="1:29" ht="15.75" thickBot="1">
      <c r="A130" s="482"/>
      <c r="B130" s="620"/>
      <c r="C130" s="634"/>
      <c r="D130" s="634"/>
      <c r="E130" s="634"/>
      <c r="F130" s="634"/>
      <c r="G130" s="613"/>
      <c r="H130" s="613"/>
      <c r="I130" s="613"/>
      <c r="J130" s="613"/>
      <c r="K130" s="613"/>
      <c r="L130" s="613"/>
      <c r="M130" s="614"/>
      <c r="N130" s="1766"/>
      <c r="O130" s="1766"/>
      <c r="P130" s="1808"/>
      <c r="Q130" s="1761"/>
      <c r="R130" s="1740"/>
      <c r="S130" s="1740"/>
      <c r="T130" s="1740"/>
      <c r="U130" s="1740"/>
      <c r="V130" s="1740"/>
      <c r="W130" s="1740"/>
      <c r="X130" s="1740"/>
      <c r="Y130" s="1740"/>
      <c r="Z130" s="1740"/>
      <c r="AA130" s="1740"/>
      <c r="AB130" s="1740"/>
      <c r="AC130" s="1740"/>
    </row>
    <row r="131" spans="1:29" ht="15" thickTop="1">
      <c r="A131" s="543"/>
      <c r="B131" s="623">
        <f>B47</f>
        <v>111</v>
      </c>
      <c r="C131" s="80"/>
      <c r="D131" s="80"/>
      <c r="E131" s="80"/>
      <c r="F131" s="80"/>
      <c r="G131" s="662"/>
      <c r="H131" s="662"/>
      <c r="I131" s="662"/>
      <c r="J131" s="662"/>
      <c r="K131" s="80"/>
      <c r="L131" s="605"/>
      <c r="M131" s="665"/>
      <c r="N131" s="1765"/>
      <c r="O131" s="1765"/>
      <c r="P131" s="1808"/>
      <c r="Q131" s="1761"/>
      <c r="R131" s="1740"/>
      <c r="S131" s="1740"/>
      <c r="T131" s="1740"/>
      <c r="U131" s="1740"/>
      <c r="V131" s="1740"/>
      <c r="W131" s="1740"/>
      <c r="X131" s="1740"/>
      <c r="Y131" s="1740"/>
      <c r="Z131" s="1740"/>
      <c r="AA131" s="1740"/>
      <c r="AB131" s="1740"/>
      <c r="AC131" s="1740"/>
    </row>
    <row r="132" spans="1:29" ht="15.75" thickBot="1">
      <c r="A132" s="493"/>
      <c r="B132" s="641"/>
      <c r="C132" s="642"/>
      <c r="D132" s="642"/>
      <c r="E132" s="642"/>
      <c r="F132" s="642"/>
      <c r="G132" s="666"/>
      <c r="H132" s="666"/>
      <c r="I132" s="666"/>
      <c r="J132" s="666"/>
      <c r="K132" s="666"/>
      <c r="L132" s="666"/>
      <c r="M132" s="667"/>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663</v>
      </c>
      <c r="B1" s="454" t="s">
        <v>726</v>
      </c>
      <c r="C1" s="455" t="s">
        <v>665</v>
      </c>
      <c r="D1" s="783"/>
      <c r="E1" s="457"/>
      <c r="F1" s="2116"/>
      <c r="G1" s="1326" t="s">
        <v>666</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425</v>
      </c>
      <c r="B2" s="784"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466</v>
      </c>
      <c r="B3" s="461" t="e">
        <f>C43</f>
        <v>#DIV/0!</v>
      </c>
      <c r="C3" s="786" t="s">
        <v>667</v>
      </c>
      <c r="D3" s="785">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468</v>
      </c>
      <c r="B4" s="464"/>
      <c r="C4" s="3604" t="s">
        <v>469</v>
      </c>
      <c r="D4" s="3605"/>
      <c r="E4" s="3639" t="s">
        <v>470</v>
      </c>
      <c r="F4" s="3640"/>
      <c r="G4" s="3604" t="s">
        <v>471</v>
      </c>
      <c r="H4" s="3605"/>
      <c r="I4" s="3604" t="s">
        <v>472</v>
      </c>
      <c r="J4" s="3605"/>
      <c r="K4" s="465" t="s">
        <v>473</v>
      </c>
      <c r="L4" s="1739"/>
      <c r="M4" s="1740"/>
      <c r="N4" s="1740"/>
      <c r="O4" s="1740"/>
      <c r="P4" s="3606" t="s">
        <v>474</v>
      </c>
      <c r="Q4" s="3607"/>
      <c r="R4" s="3612" t="s">
        <v>470</v>
      </c>
      <c r="S4" s="3613"/>
      <c r="T4" s="3612" t="s">
        <v>471</v>
      </c>
      <c r="U4" s="3613"/>
      <c r="V4" s="3599" t="s">
        <v>472</v>
      </c>
      <c r="W4" s="3599"/>
      <c r="X4" s="1300"/>
      <c r="Y4" s="3612" t="s">
        <v>474</v>
      </c>
      <c r="Z4" s="3613"/>
      <c r="AA4" s="3601" t="s">
        <v>470</v>
      </c>
      <c r="AB4" s="3602" t="s">
        <v>471</v>
      </c>
      <c r="AC4" s="3601" t="s">
        <v>472</v>
      </c>
    </row>
    <row r="5" spans="1:29" ht="15">
      <c r="A5" s="466"/>
      <c r="B5" s="467"/>
      <c r="C5" s="3620" t="s">
        <v>2180</v>
      </c>
      <c r="D5" s="3621"/>
      <c r="E5" s="3641" t="s">
        <v>2181</v>
      </c>
      <c r="F5" s="3642"/>
      <c r="G5" s="3620" t="s">
        <v>2182</v>
      </c>
      <c r="H5" s="3621"/>
      <c r="I5" s="3620" t="s">
        <v>2183</v>
      </c>
      <c r="J5" s="3621"/>
      <c r="K5" s="465"/>
      <c r="L5" s="1739"/>
      <c r="M5" s="1740"/>
      <c r="N5" s="1740"/>
      <c r="O5" s="1740"/>
      <c r="P5" s="3608"/>
      <c r="Q5" s="3609"/>
      <c r="R5" s="3614"/>
      <c r="S5" s="3615"/>
      <c r="T5" s="3614"/>
      <c r="U5" s="3615"/>
      <c r="V5" s="3599"/>
      <c r="W5" s="3599"/>
      <c r="X5" s="1300"/>
      <c r="Y5" s="3614"/>
      <c r="Z5" s="3615"/>
      <c r="AA5" s="3602"/>
      <c r="AB5" s="3602"/>
      <c r="AC5" s="3602"/>
    </row>
    <row r="6" spans="1:29" ht="15.75" thickBot="1">
      <c r="A6" s="468"/>
      <c r="B6" s="469"/>
      <c r="C6" s="3618" t="s">
        <v>2184</v>
      </c>
      <c r="D6" s="3619"/>
      <c r="E6" s="3637" t="s">
        <v>2184</v>
      </c>
      <c r="F6" s="3638"/>
      <c r="G6" s="3618" t="s">
        <v>2184</v>
      </c>
      <c r="H6" s="3619"/>
      <c r="I6" s="3618" t="s">
        <v>2184</v>
      </c>
      <c r="J6" s="3619"/>
      <c r="K6" s="465" t="s">
        <v>475</v>
      </c>
      <c r="L6" s="1739"/>
      <c r="M6" s="1740"/>
      <c r="N6" s="1740"/>
      <c r="O6" s="1740"/>
      <c r="P6" s="3610"/>
      <c r="Q6" s="3611"/>
      <c r="R6" s="3614"/>
      <c r="S6" s="3615"/>
      <c r="T6" s="3616"/>
      <c r="U6" s="3617"/>
      <c r="V6" s="3599"/>
      <c r="W6" s="3599"/>
      <c r="X6" s="1300"/>
      <c r="Y6" s="3616"/>
      <c r="Z6" s="3617"/>
      <c r="AA6" s="3603"/>
      <c r="AB6" s="3603"/>
      <c r="AC6" s="3603"/>
    </row>
    <row r="7" spans="1:29" s="1057" customFormat="1" ht="15.75" thickBot="1">
      <c r="A7" s="2207"/>
      <c r="B7" s="2214" t="s">
        <v>476</v>
      </c>
      <c r="C7" s="470">
        <f>'数据-取费表'!B2</f>
        <v>45817</v>
      </c>
      <c r="D7" s="471">
        <v>100</v>
      </c>
      <c r="E7" s="472"/>
      <c r="F7" s="473">
        <f>SUMIF(52:52,YEAR(E7)&amp;"-"&amp;MONTH(E7),53:53)</f>
        <v>0</v>
      </c>
      <c r="G7" s="472"/>
      <c r="H7" s="471">
        <f>SUMIF(52:52,YEAR(G7)&amp;"-"&amp;MONTH(G7),53:53)</f>
        <v>0</v>
      </c>
      <c r="I7" s="472"/>
      <c r="J7" s="471">
        <f>SUMIF(52:52,YEAR(I7)&amp;"-"&amp;MONTH(I7),53:53)</f>
        <v>0</v>
      </c>
      <c r="K7" s="88"/>
      <c r="L7" s="1741"/>
      <c r="M7" s="1638"/>
      <c r="N7" s="1638"/>
      <c r="O7" s="1638"/>
      <c r="P7" s="3628" t="s">
        <v>477</v>
      </c>
      <c r="Q7" s="3630"/>
      <c r="R7" s="1301" t="s">
        <v>5</v>
      </c>
      <c r="S7" s="1302">
        <f t="shared" ref="S7:S15" si="0">F7</f>
        <v>0</v>
      </c>
      <c r="T7" s="1301" t="s">
        <v>5</v>
      </c>
      <c r="U7" s="1302">
        <f t="shared" ref="U7:U15" si="1">H7</f>
        <v>0</v>
      </c>
      <c r="V7" s="1301" t="s">
        <v>5</v>
      </c>
      <c r="W7" s="1302">
        <f t="shared" ref="W7:W15" si="2">J7</f>
        <v>0</v>
      </c>
      <c r="X7" s="1303"/>
      <c r="Y7" s="3628" t="s">
        <v>477</v>
      </c>
      <c r="Z7" s="3629"/>
      <c r="AA7" s="994" t="e">
        <f>D7/F7</f>
        <v>#DIV/0!</v>
      </c>
      <c r="AB7" s="994" t="e">
        <f>D7/H7</f>
        <v>#DIV/0!</v>
      </c>
      <c r="AC7" s="994" t="e">
        <f>D7/J7</f>
        <v>#DIV/0!</v>
      </c>
    </row>
    <row r="8" spans="1:29" s="1057" customFormat="1" ht="15.75" thickBot="1">
      <c r="A8" s="2208"/>
      <c r="B8" s="2215" t="s">
        <v>478</v>
      </c>
      <c r="C8" s="475" t="s">
        <v>522</v>
      </c>
      <c r="D8" s="471">
        <v>100</v>
      </c>
      <c r="E8" s="475"/>
      <c r="F8" s="473">
        <f>SUMIF(55:55,E8,56:56)-SUMIF(55:55,C8,56:56)+100</f>
        <v>0</v>
      </c>
      <c r="G8" s="475"/>
      <c r="H8" s="471">
        <f>SUMIF(55:55,G8,56:56)-SUMIF(55:55,C8,56:56)+100</f>
        <v>0</v>
      </c>
      <c r="I8" s="475"/>
      <c r="J8" s="471">
        <f>SUMIF(55:55,I8,56:56)-SUMIF(55:55,C8,56:56)+100</f>
        <v>0</v>
      </c>
      <c r="K8" s="88"/>
      <c r="L8" s="1741"/>
      <c r="M8" s="1638"/>
      <c r="N8" s="1638"/>
      <c r="O8" s="1638"/>
      <c r="P8" s="3628" t="s">
        <v>480</v>
      </c>
      <c r="Q8" s="3629"/>
      <c r="R8" s="1301" t="s">
        <v>5</v>
      </c>
      <c r="S8" s="1302">
        <f t="shared" si="0"/>
        <v>0</v>
      </c>
      <c r="T8" s="1301" t="s">
        <v>5</v>
      </c>
      <c r="U8" s="1302">
        <f t="shared" si="1"/>
        <v>0</v>
      </c>
      <c r="V8" s="1301" t="s">
        <v>5</v>
      </c>
      <c r="W8" s="1302">
        <f t="shared" si="2"/>
        <v>0</v>
      </c>
      <c r="X8" s="1303"/>
      <c r="Y8" s="3628" t="s">
        <v>480</v>
      </c>
      <c r="Z8" s="3629"/>
      <c r="AA8" s="994" t="e">
        <f t="shared" ref="AA8:AA40" si="3">D8/F8</f>
        <v>#DIV/0!</v>
      </c>
      <c r="AB8" s="994" t="e">
        <f t="shared" ref="AB8:AB40" si="4">D8/H8</f>
        <v>#DIV/0!</v>
      </c>
      <c r="AC8" s="994" t="e">
        <f t="shared" ref="AC8:AC40" si="5">D8/J8</f>
        <v>#DIV/0!</v>
      </c>
    </row>
    <row r="9" spans="1:29" s="1057" customFormat="1" ht="15">
      <c r="A9" s="2209"/>
      <c r="B9" s="2216" t="s">
        <v>2036</v>
      </c>
      <c r="C9" s="791"/>
      <c r="D9" s="154">
        <v>100</v>
      </c>
      <c r="E9" s="793"/>
      <c r="F9" s="154">
        <f>SUMIF(57:57,E9,58:58)-SUMIF(57:57,C9,58:58)+100</f>
        <v>100</v>
      </c>
      <c r="G9" s="792"/>
      <c r="H9" s="154">
        <f>SUMIF(57:57,G9,58:58)-SUMIF(57:57,C9,58:58)+100</f>
        <v>100</v>
      </c>
      <c r="I9" s="792"/>
      <c r="J9" s="154">
        <f>SUMIF(57:57,I9,58:58)-SUMIF(57:57,C9,58:58)+100</f>
        <v>100</v>
      </c>
      <c r="K9" s="88"/>
      <c r="L9" s="1741"/>
      <c r="M9" s="1638"/>
      <c r="N9" s="1638"/>
      <c r="O9" s="1742"/>
      <c r="P9" s="3598" t="s">
        <v>482</v>
      </c>
      <c r="Q9" s="817" t="str">
        <f t="shared" ref="Q9:Q15" si="6">B9</f>
        <v>用途</v>
      </c>
      <c r="R9" s="1301" t="s">
        <v>5</v>
      </c>
      <c r="S9" s="1302">
        <f t="shared" si="0"/>
        <v>100</v>
      </c>
      <c r="T9" s="1301" t="s">
        <v>5</v>
      </c>
      <c r="U9" s="1302">
        <f t="shared" si="1"/>
        <v>100</v>
      </c>
      <c r="V9" s="1301" t="s">
        <v>5</v>
      </c>
      <c r="W9" s="1302">
        <f t="shared" si="2"/>
        <v>100</v>
      </c>
      <c r="X9" s="1303"/>
      <c r="Y9" s="3540" t="s">
        <v>483</v>
      </c>
      <c r="Z9" s="994" t="str">
        <f t="shared" ref="Z9:Z15" si="7">Q9</f>
        <v>用途</v>
      </c>
      <c r="AA9" s="994">
        <f t="shared" si="3"/>
        <v>1</v>
      </c>
      <c r="AB9" s="994">
        <f t="shared" si="4"/>
        <v>1</v>
      </c>
      <c r="AC9" s="994">
        <f t="shared" si="5"/>
        <v>1</v>
      </c>
    </row>
    <row r="10" spans="1:29" s="1130" customFormat="1" ht="27">
      <c r="A10" s="2210"/>
      <c r="B10" s="2215" t="s">
        <v>2037</v>
      </c>
      <c r="C10" s="3385"/>
      <c r="D10" s="235">
        <v>100</v>
      </c>
      <c r="E10" s="3385"/>
      <c r="F10" s="235">
        <f>SUMIF(59:59,E10,60:60)-SUMIF(59:59,C10,60:60)+100</f>
        <v>100</v>
      </c>
      <c r="G10" s="3386"/>
      <c r="H10" s="235">
        <f>SUMIF(59:59,G10,60:60)-SUMIF(59:59,C10,60:60)+100</f>
        <v>100</v>
      </c>
      <c r="I10" s="3385"/>
      <c r="J10" s="235">
        <f>SUMIF(59:59,I10,60:60)-SUMIF(59:59,C10,60:60)+100</f>
        <v>100</v>
      </c>
      <c r="K10" s="88"/>
      <c r="L10" s="1743"/>
      <c r="M10" s="1776"/>
      <c r="N10" s="1776"/>
      <c r="O10" s="1744"/>
      <c r="P10" s="3598"/>
      <c r="Q10" s="817"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1"/>
      <c r="B11" s="2215"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5"/>
      <c r="M11" s="1740"/>
      <c r="N11" s="1740"/>
      <c r="O11" s="1746"/>
      <c r="P11" s="3598"/>
      <c r="Q11" s="817" t="str">
        <f t="shared" si="6"/>
        <v>容积率</v>
      </c>
      <c r="R11" s="1301" t="s">
        <v>5</v>
      </c>
      <c r="S11" s="1302" t="e">
        <f t="shared" si="0"/>
        <v>#N/A</v>
      </c>
      <c r="T11" s="1301" t="s">
        <v>5</v>
      </c>
      <c r="U11" s="1302" t="e">
        <f t="shared" si="1"/>
        <v>#N/A</v>
      </c>
      <c r="V11" s="1301" t="s">
        <v>5</v>
      </c>
      <c r="W11" s="1302" t="e">
        <f t="shared" si="2"/>
        <v>#N/A</v>
      </c>
      <c r="X11" s="1303"/>
      <c r="Y11" s="3540"/>
      <c r="Z11" s="994" t="str">
        <f t="shared" si="7"/>
        <v>容积率</v>
      </c>
      <c r="AA11" s="994" t="e">
        <f t="shared" si="3"/>
        <v>#N/A</v>
      </c>
      <c r="AB11" s="994" t="e">
        <f t="shared" si="4"/>
        <v>#N/A</v>
      </c>
      <c r="AC11" s="994" t="e">
        <f t="shared" si="5"/>
        <v>#N/A</v>
      </c>
    </row>
    <row r="12" spans="1:29" s="1057" customFormat="1" ht="15">
      <c r="A12" s="2212"/>
      <c r="B12" s="2218">
        <v>111</v>
      </c>
      <c r="C12" s="478"/>
      <c r="D12" s="488">
        <v>100</v>
      </c>
      <c r="E12" s="489"/>
      <c r="F12" s="235">
        <f>SUMIF(64:64,E12,65:65)-SUMIF(64:64,C12,65:65)+100</f>
        <v>100</v>
      </c>
      <c r="G12" s="841"/>
      <c r="H12" s="235">
        <f>SUMIF(64:64,G12,65:65)-SUMIF(64:64,C12,65:65)+100</f>
        <v>100</v>
      </c>
      <c r="I12" s="805"/>
      <c r="J12" s="235">
        <f>SUMIF(64:64,I12,65:65)-SUMIF(64:64,C12,65:65)+100</f>
        <v>100</v>
      </c>
      <c r="K12" s="531"/>
      <c r="L12" s="1741"/>
      <c r="M12" s="1638"/>
      <c r="N12" s="1638"/>
      <c r="O12" s="1742"/>
      <c r="P12" s="3598"/>
      <c r="Q12" s="817">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
      <c r="A13" s="2212"/>
      <c r="B13" s="2218">
        <v>111</v>
      </c>
      <c r="C13" s="489"/>
      <c r="D13" s="490">
        <v>100</v>
      </c>
      <c r="E13" s="489"/>
      <c r="F13" s="235">
        <f>SUMIF(66:66,E13,67:67)-SUMIF(66:66,C13,67:67)+100</f>
        <v>100</v>
      </c>
      <c r="G13" s="841"/>
      <c r="H13" s="490">
        <f>SUMIF(66:66,G13,67:67)-SUMIF(66:66,C13,67:67)+100</f>
        <v>100</v>
      </c>
      <c r="I13" s="805"/>
      <c r="J13" s="490">
        <f>SUMIF(66:66,I13,67:67)-SUMIF(66:66,C13,67:67)+100</f>
        <v>100</v>
      </c>
      <c r="K13" s="531"/>
      <c r="L13" s="1747"/>
      <c r="M13" s="1740"/>
      <c r="N13" s="1740"/>
      <c r="O13" s="1746"/>
      <c r="P13" s="3598"/>
      <c r="Q13" s="817">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75" thickBot="1">
      <c r="A14" s="2213"/>
      <c r="B14" s="2219">
        <v>111</v>
      </c>
      <c r="C14" s="495"/>
      <c r="D14" s="496">
        <v>100</v>
      </c>
      <c r="E14" s="495"/>
      <c r="F14" s="496">
        <f>SUMIF(68:68,E14,69:69)-SUMIF(68:68,C14,69:69)+100</f>
        <v>100</v>
      </c>
      <c r="G14" s="841"/>
      <c r="H14" s="496">
        <f>SUMIF(68:68,G14,69:69)-SUMIF(68:68,C14,69:69)+100</f>
        <v>100</v>
      </c>
      <c r="I14" s="805"/>
      <c r="J14" s="496">
        <f>SUMIF(68:68,I14,69:69)-SUMIF(68:68,C14,69:69)+100</f>
        <v>100</v>
      </c>
      <c r="K14" s="531"/>
      <c r="L14" s="1747"/>
      <c r="M14" s="1740"/>
      <c r="N14" s="1740"/>
      <c r="O14" s="1746"/>
      <c r="P14" s="3598"/>
      <c r="Q14" s="817">
        <f t="shared" si="6"/>
        <v>111</v>
      </c>
      <c r="R14" s="1301" t="s">
        <v>5</v>
      </c>
      <c r="S14" s="1302">
        <f t="shared" si="0"/>
        <v>100</v>
      </c>
      <c r="T14" s="1301" t="s">
        <v>5</v>
      </c>
      <c r="U14" s="1302">
        <f t="shared" si="1"/>
        <v>100</v>
      </c>
      <c r="V14" s="1301" t="s">
        <v>5</v>
      </c>
      <c r="W14" s="1302">
        <f t="shared" si="2"/>
        <v>100</v>
      </c>
      <c r="X14" s="1303"/>
      <c r="Y14" s="3540"/>
      <c r="Z14" s="994">
        <f t="shared" si="7"/>
        <v>111</v>
      </c>
      <c r="AA14" s="994">
        <f t="shared" si="3"/>
        <v>1</v>
      </c>
      <c r="AB14" s="994">
        <f t="shared" si="4"/>
        <v>1</v>
      </c>
      <c r="AC14" s="994">
        <f t="shared" si="5"/>
        <v>1</v>
      </c>
    </row>
    <row r="15" spans="1:29" ht="15">
      <c r="A15" s="2205" t="s">
        <v>2034</v>
      </c>
      <c r="B15" s="150" t="s">
        <v>727</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7"/>
      <c r="M15" s="1740"/>
      <c r="N15" s="1740"/>
      <c r="O15" s="1746"/>
      <c r="P15" s="3631" t="s">
        <v>487</v>
      </c>
      <c r="Q15" s="1304" t="str">
        <f t="shared" si="6"/>
        <v>产业集聚程度</v>
      </c>
      <c r="R15" s="1305" t="s">
        <v>5</v>
      </c>
      <c r="S15" s="1306">
        <f t="shared" si="0"/>
        <v>100</v>
      </c>
      <c r="T15" s="1305" t="s">
        <v>5</v>
      </c>
      <c r="U15" s="1306">
        <f t="shared" si="1"/>
        <v>100</v>
      </c>
      <c r="V15" s="1305" t="s">
        <v>5</v>
      </c>
      <c r="W15" s="1306">
        <f t="shared" si="2"/>
        <v>100</v>
      </c>
      <c r="X15" s="1300"/>
      <c r="Y15" s="3631" t="s">
        <v>487</v>
      </c>
      <c r="Z15" s="1307" t="str">
        <f t="shared" si="7"/>
        <v>产业集聚程度</v>
      </c>
      <c r="AA15" s="1307">
        <f t="shared" si="3"/>
        <v>1</v>
      </c>
      <c r="AB15" s="1307">
        <f t="shared" si="4"/>
        <v>1</v>
      </c>
      <c r="AC15" s="1307">
        <f t="shared" si="5"/>
        <v>1</v>
      </c>
    </row>
    <row r="16" spans="1:29" ht="15">
      <c r="A16" s="482"/>
      <c r="B16" s="799"/>
      <c r="C16" s="526"/>
      <c r="D16" s="505"/>
      <c r="E16" s="526"/>
      <c r="F16" s="507"/>
      <c r="G16" s="526"/>
      <c r="H16" s="509"/>
      <c r="I16" s="526"/>
      <c r="J16" s="505"/>
      <c r="K16" s="822"/>
      <c r="L16" s="1747"/>
      <c r="M16" s="1740"/>
      <c r="N16" s="1740"/>
      <c r="O16" s="1746"/>
      <c r="P16" s="3632"/>
      <c r="Q16" s="1304"/>
      <c r="R16" s="1305"/>
      <c r="S16" s="1306"/>
      <c r="T16" s="1305"/>
      <c r="U16" s="1306"/>
      <c r="V16" s="1305"/>
      <c r="W16" s="1306"/>
      <c r="X16" s="1300"/>
      <c r="Y16" s="3632"/>
      <c r="Z16" s="1307"/>
      <c r="AA16" s="1307">
        <v>1</v>
      </c>
      <c r="AB16" s="1307">
        <v>1</v>
      </c>
      <c r="AC16" s="1307">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7"/>
      <c r="M17" s="1740"/>
      <c r="N17" s="1740"/>
      <c r="O17" s="1746"/>
      <c r="P17" s="3632"/>
      <c r="Q17" s="1304" t="str">
        <f>B17</f>
        <v>交通便捷度</v>
      </c>
      <c r="R17" s="1305" t="s">
        <v>5</v>
      </c>
      <c r="S17" s="1306">
        <f>F17</f>
        <v>100</v>
      </c>
      <c r="T17" s="1305" t="s">
        <v>5</v>
      </c>
      <c r="U17" s="1306">
        <f>H17</f>
        <v>100</v>
      </c>
      <c r="V17" s="1305" t="s">
        <v>5</v>
      </c>
      <c r="W17" s="1306">
        <f>J17</f>
        <v>100</v>
      </c>
      <c r="X17" s="1300"/>
      <c r="Y17" s="3632"/>
      <c r="Z17" s="1307" t="str">
        <f>Q17</f>
        <v>交通便捷度</v>
      </c>
      <c r="AA17" s="1307">
        <f t="shared" si="3"/>
        <v>1</v>
      </c>
      <c r="AB17" s="1307">
        <f t="shared" si="4"/>
        <v>1</v>
      </c>
      <c r="AC17" s="1307">
        <f t="shared" si="5"/>
        <v>1</v>
      </c>
    </row>
    <row r="18" spans="1:29" ht="15">
      <c r="A18" s="482"/>
      <c r="B18" s="544"/>
      <c r="C18" s="802"/>
      <c r="D18" s="509"/>
      <c r="E18" s="518"/>
      <c r="F18" s="513"/>
      <c r="G18" s="519"/>
      <c r="H18" s="505"/>
      <c r="I18" s="518"/>
      <c r="J18" s="505"/>
      <c r="K18" s="822"/>
      <c r="L18" s="1747"/>
      <c r="M18" s="1740"/>
      <c r="N18" s="1740"/>
      <c r="O18" s="1746"/>
      <c r="P18" s="3632"/>
      <c r="Q18" s="1304"/>
      <c r="R18" s="1305"/>
      <c r="S18" s="1306"/>
      <c r="T18" s="1305"/>
      <c r="U18" s="1306"/>
      <c r="V18" s="1305"/>
      <c r="W18" s="1306"/>
      <c r="X18" s="1300"/>
      <c r="Y18" s="3632"/>
      <c r="Z18" s="1307"/>
      <c r="AA18" s="1307">
        <v>1</v>
      </c>
      <c r="AB18" s="1307">
        <v>1</v>
      </c>
      <c r="AC18" s="1307">
        <v>1</v>
      </c>
    </row>
    <row r="19" spans="1:29" ht="15">
      <c r="A19" s="482"/>
      <c r="B19" s="2060" t="s">
        <v>1827</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7"/>
      <c r="M19" s="1740"/>
      <c r="N19" s="1740"/>
      <c r="O19" s="1746"/>
      <c r="P19" s="3632"/>
      <c r="Q19" s="1304" t="str">
        <f>B19</f>
        <v>公共配套设施</v>
      </c>
      <c r="R19" s="1305" t="s">
        <v>5</v>
      </c>
      <c r="S19" s="1306">
        <f>F19</f>
        <v>100</v>
      </c>
      <c r="T19" s="1305" t="s">
        <v>5</v>
      </c>
      <c r="U19" s="1306">
        <f>H19</f>
        <v>100</v>
      </c>
      <c r="V19" s="1305" t="s">
        <v>5</v>
      </c>
      <c r="W19" s="1306">
        <f>J19</f>
        <v>100</v>
      </c>
      <c r="X19" s="1300"/>
      <c r="Y19" s="3632"/>
      <c r="Z19" s="1307" t="str">
        <f>Q19</f>
        <v>公共配套设施</v>
      </c>
      <c r="AA19" s="1307">
        <f t="shared" si="3"/>
        <v>1</v>
      </c>
      <c r="AB19" s="1307">
        <f t="shared" si="4"/>
        <v>1</v>
      </c>
      <c r="AC19" s="1307">
        <f t="shared" si="5"/>
        <v>1</v>
      </c>
    </row>
    <row r="20" spans="1:29" ht="15">
      <c r="A20" s="482"/>
      <c r="B20" s="516"/>
      <c r="C20" s="526"/>
      <c r="D20" s="505"/>
      <c r="E20" s="506"/>
      <c r="F20" s="507"/>
      <c r="G20" s="508"/>
      <c r="H20" s="505"/>
      <c r="I20" s="506"/>
      <c r="J20" s="505"/>
      <c r="K20" s="822"/>
      <c r="L20" s="1747"/>
      <c r="M20" s="1740"/>
      <c r="N20" s="1740"/>
      <c r="O20" s="1746"/>
      <c r="P20" s="3632"/>
      <c r="Q20" s="1304"/>
      <c r="R20" s="1305"/>
      <c r="S20" s="1306"/>
      <c r="T20" s="1305"/>
      <c r="U20" s="1306"/>
      <c r="V20" s="1305"/>
      <c r="W20" s="1306"/>
      <c r="X20" s="1300"/>
      <c r="Y20" s="3632"/>
      <c r="Z20" s="1307"/>
      <c r="AA20" s="1307">
        <v>1</v>
      </c>
      <c r="AB20" s="1307">
        <v>1</v>
      </c>
      <c r="AC20" s="1307">
        <v>1</v>
      </c>
    </row>
    <row r="21" spans="1:29" ht="15">
      <c r="A21" s="482"/>
      <c r="B21" s="2048" t="s">
        <v>1839</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7"/>
      <c r="M21" s="1740"/>
      <c r="N21" s="1740"/>
      <c r="O21" s="1746"/>
      <c r="P21" s="3632"/>
      <c r="Q21" s="1304" t="str">
        <f>B21</f>
        <v>基础设施水平</v>
      </c>
      <c r="R21" s="1305" t="s">
        <v>5</v>
      </c>
      <c r="S21" s="1306">
        <f>F21</f>
        <v>100</v>
      </c>
      <c r="T21" s="1305" t="s">
        <v>5</v>
      </c>
      <c r="U21" s="1306">
        <f>H21</f>
        <v>100</v>
      </c>
      <c r="V21" s="1305" t="s">
        <v>5</v>
      </c>
      <c r="W21" s="1306">
        <f>J21</f>
        <v>100</v>
      </c>
      <c r="X21" s="1300"/>
      <c r="Y21" s="3632"/>
      <c r="Z21" s="1307" t="str">
        <f>Q21</f>
        <v>基础设施水平</v>
      </c>
      <c r="AA21" s="1307">
        <f>D21/F21</f>
        <v>1</v>
      </c>
      <c r="AB21" s="1307">
        <f>D21/H21</f>
        <v>1</v>
      </c>
      <c r="AC21" s="1307">
        <f>D21/J21</f>
        <v>1</v>
      </c>
    </row>
    <row r="22" spans="1:29" ht="15">
      <c r="A22" s="482"/>
      <c r="B22" s="528"/>
      <c r="C22" s="802"/>
      <c r="D22" s="505"/>
      <c r="E22" s="526"/>
      <c r="F22" s="507"/>
      <c r="G22" s="526"/>
      <c r="H22" s="505"/>
      <c r="I22" s="526"/>
      <c r="J22" s="505"/>
      <c r="K22" s="2059"/>
      <c r="L22" s="1747"/>
      <c r="M22" s="1740"/>
      <c r="N22" s="1740"/>
      <c r="O22" s="1746"/>
      <c r="P22" s="3632"/>
      <c r="Q22" s="1304"/>
      <c r="R22" s="1305"/>
      <c r="S22" s="1306"/>
      <c r="T22" s="1305"/>
      <c r="U22" s="1306"/>
      <c r="V22" s="1305"/>
      <c r="W22" s="1306"/>
      <c r="X22" s="1300"/>
      <c r="Y22" s="3632"/>
      <c r="Z22" s="1307"/>
      <c r="AA22" s="1307">
        <v>1</v>
      </c>
      <c r="AB22" s="1307">
        <v>1</v>
      </c>
      <c r="AC22" s="1307">
        <v>1</v>
      </c>
    </row>
    <row r="23" spans="1:29" ht="15">
      <c r="A23" s="482"/>
      <c r="B23" s="677" t="s">
        <v>716</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7"/>
      <c r="M23" s="1740"/>
      <c r="N23" s="1740"/>
      <c r="O23" s="1746"/>
      <c r="P23" s="3632"/>
      <c r="Q23" s="1304" t="str">
        <f>B23</f>
        <v>环境质量</v>
      </c>
      <c r="R23" s="1305" t="s">
        <v>5</v>
      </c>
      <c r="S23" s="1306">
        <f>F23</f>
        <v>100</v>
      </c>
      <c r="T23" s="1305" t="s">
        <v>5</v>
      </c>
      <c r="U23" s="1306">
        <f>H23</f>
        <v>100</v>
      </c>
      <c r="V23" s="1305" t="s">
        <v>5</v>
      </c>
      <c r="W23" s="1306">
        <f>J23</f>
        <v>100</v>
      </c>
      <c r="X23" s="1300"/>
      <c r="Y23" s="3632"/>
      <c r="Z23" s="1307" t="str">
        <f>Q23</f>
        <v>环境质量</v>
      </c>
      <c r="AA23" s="1307">
        <f t="shared" si="3"/>
        <v>1</v>
      </c>
      <c r="AB23" s="1307">
        <f t="shared" si="4"/>
        <v>1</v>
      </c>
      <c r="AC23" s="1307">
        <f t="shared" si="5"/>
        <v>1</v>
      </c>
    </row>
    <row r="24" spans="1:29" ht="15">
      <c r="A24" s="482"/>
      <c r="B24" s="843"/>
      <c r="C24" s="526"/>
      <c r="D24" s="505"/>
      <c r="E24" s="506"/>
      <c r="F24" s="507"/>
      <c r="G24" s="508"/>
      <c r="H24" s="505"/>
      <c r="I24" s="506"/>
      <c r="J24" s="505"/>
      <c r="K24" s="822"/>
      <c r="L24" s="1747"/>
      <c r="M24" s="1740"/>
      <c r="N24" s="1740"/>
      <c r="O24" s="1746"/>
      <c r="P24" s="3632"/>
      <c r="Q24" s="1304"/>
      <c r="R24" s="1305"/>
      <c r="S24" s="1306"/>
      <c r="T24" s="1305"/>
      <c r="U24" s="1306"/>
      <c r="V24" s="1305"/>
      <c r="W24" s="1306"/>
      <c r="X24" s="1300"/>
      <c r="Y24" s="3632"/>
      <c r="Z24" s="1307"/>
      <c r="AA24" s="1307">
        <v>1</v>
      </c>
      <c r="AB24" s="1307">
        <v>1</v>
      </c>
      <c r="AC24" s="1307">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7"/>
      <c r="M25" s="1740"/>
      <c r="N25" s="1740"/>
      <c r="O25" s="1746"/>
      <c r="P25" s="3632"/>
      <c r="Q25" s="1304">
        <f>B25</f>
        <v>111</v>
      </c>
      <c r="R25" s="1305" t="s">
        <v>5</v>
      </c>
      <c r="S25" s="1306">
        <f>F25</f>
        <v>100</v>
      </c>
      <c r="T25" s="1305" t="s">
        <v>5</v>
      </c>
      <c r="U25" s="1306">
        <f>H25</f>
        <v>100</v>
      </c>
      <c r="V25" s="1305" t="s">
        <v>5</v>
      </c>
      <c r="W25" s="1306">
        <f>J25</f>
        <v>100</v>
      </c>
      <c r="X25" s="1300"/>
      <c r="Y25" s="3632"/>
      <c r="Z25" s="1307">
        <f>Q25</f>
        <v>111</v>
      </c>
      <c r="AA25" s="1307">
        <f t="shared" si="3"/>
        <v>1</v>
      </c>
      <c r="AB25" s="1307">
        <f t="shared" si="4"/>
        <v>1</v>
      </c>
      <c r="AC25" s="1307">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7"/>
      <c r="M26" s="1740"/>
      <c r="N26" s="1740"/>
      <c r="O26" s="1746"/>
      <c r="P26" s="3632"/>
      <c r="Q26" s="1304">
        <f t="shared" ref="Q26:Q40" si="8">B26</f>
        <v>111</v>
      </c>
      <c r="R26" s="1305" t="s">
        <v>5</v>
      </c>
      <c r="S26" s="1306">
        <f>F26</f>
        <v>100</v>
      </c>
      <c r="T26" s="1305" t="s">
        <v>5</v>
      </c>
      <c r="U26" s="1306">
        <f>H26</f>
        <v>100</v>
      </c>
      <c r="V26" s="1305" t="s">
        <v>5</v>
      </c>
      <c r="W26" s="1306">
        <f>J26</f>
        <v>100</v>
      </c>
      <c r="X26" s="1300"/>
      <c r="Y26" s="3632"/>
      <c r="Z26" s="1307">
        <f>Q26</f>
        <v>111</v>
      </c>
      <c r="AA26" s="1307">
        <f t="shared" si="3"/>
        <v>1</v>
      </c>
      <c r="AB26" s="1307">
        <f t="shared" si="4"/>
        <v>1</v>
      </c>
      <c r="AC26" s="1307">
        <f t="shared" si="5"/>
        <v>1</v>
      </c>
    </row>
    <row r="27" spans="1:29" s="1057"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1"/>
      <c r="M27" s="1638"/>
      <c r="N27" s="1638"/>
      <c r="O27" s="1742"/>
      <c r="P27" s="3632"/>
      <c r="Q27" s="817">
        <f t="shared" si="8"/>
        <v>111</v>
      </c>
      <c r="R27" s="1301" t="s">
        <v>5</v>
      </c>
      <c r="S27" s="1302">
        <f>F27</f>
        <v>100</v>
      </c>
      <c r="T27" s="1301" t="s">
        <v>5</v>
      </c>
      <c r="U27" s="1302">
        <f>H27</f>
        <v>100</v>
      </c>
      <c r="V27" s="1301" t="s">
        <v>5</v>
      </c>
      <c r="W27" s="1302">
        <f>J27</f>
        <v>100</v>
      </c>
      <c r="X27" s="1303"/>
      <c r="Y27" s="3632"/>
      <c r="Z27" s="994">
        <f>Q27</f>
        <v>111</v>
      </c>
      <c r="AA27" s="1307">
        <f>D27/F27</f>
        <v>1</v>
      </c>
      <c r="AB27" s="1307">
        <f>D27/H27</f>
        <v>1</v>
      </c>
      <c r="AC27" s="1307">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7"/>
      <c r="M28" s="1740"/>
      <c r="N28" s="1740"/>
      <c r="O28" s="1746"/>
      <c r="P28" s="3632"/>
      <c r="Q28" s="1304">
        <f t="shared" si="8"/>
        <v>111</v>
      </c>
      <c r="R28" s="1305" t="s">
        <v>5</v>
      </c>
      <c r="S28" s="1306">
        <f t="shared" ref="S28:S40" si="9">F28</f>
        <v>100</v>
      </c>
      <c r="T28" s="1305" t="s">
        <v>5</v>
      </c>
      <c r="U28" s="1306">
        <f t="shared" ref="U28:U40" si="10">H28</f>
        <v>100</v>
      </c>
      <c r="V28" s="1305" t="s">
        <v>5</v>
      </c>
      <c r="W28" s="1306">
        <f t="shared" ref="W28:W40" si="11">J28</f>
        <v>100</v>
      </c>
      <c r="X28" s="1300"/>
      <c r="Y28" s="3632"/>
      <c r="Z28" s="1307">
        <f t="shared" ref="Z28:Z40" si="12">Q28</f>
        <v>111</v>
      </c>
      <c r="AA28" s="1307">
        <f t="shared" si="3"/>
        <v>1</v>
      </c>
      <c r="AB28" s="1307">
        <f t="shared" si="4"/>
        <v>1</v>
      </c>
      <c r="AC28" s="1307">
        <f t="shared" si="5"/>
        <v>1</v>
      </c>
    </row>
    <row r="29" spans="1:29" ht="15">
      <c r="A29" s="2202" t="s">
        <v>2035</v>
      </c>
      <c r="B29" s="156" t="s">
        <v>718</v>
      </c>
      <c r="C29" s="804"/>
      <c r="D29" s="546">
        <v>100</v>
      </c>
      <c r="E29" s="804"/>
      <c r="F29" s="525">
        <f>SUMIF(88:88,E29,89:89)-SUMIF(88:88,C29,89:89)+100</f>
        <v>100</v>
      </c>
      <c r="G29" s="804"/>
      <c r="H29" s="490">
        <f>SUMIF(88:88,G29,89:89)-SUMIF(88:88,C29,89:89)+100</f>
        <v>100</v>
      </c>
      <c r="I29" s="804"/>
      <c r="J29" s="546">
        <f>SUMIF(88:88,I29,89:89)-SUMIF(88:88,C29,89:89)+100</f>
        <v>100</v>
      </c>
      <c r="K29" s="533"/>
      <c r="L29" s="1747"/>
      <c r="M29" s="1740"/>
      <c r="N29" s="1740"/>
      <c r="O29" s="1746"/>
      <c r="P29" s="3633" t="s">
        <v>497</v>
      </c>
      <c r="Q29" s="1304" t="str">
        <f t="shared" si="8"/>
        <v>建筑类型</v>
      </c>
      <c r="R29" s="1305" t="s">
        <v>5</v>
      </c>
      <c r="S29" s="1306">
        <f t="shared" si="9"/>
        <v>100</v>
      </c>
      <c r="T29" s="1305" t="s">
        <v>5</v>
      </c>
      <c r="U29" s="1306">
        <f t="shared" si="10"/>
        <v>100</v>
      </c>
      <c r="V29" s="1305" t="s">
        <v>5</v>
      </c>
      <c r="W29" s="1306">
        <f t="shared" si="11"/>
        <v>100</v>
      </c>
      <c r="X29" s="1300"/>
      <c r="Y29" s="3634" t="s">
        <v>497</v>
      </c>
      <c r="Z29" s="1307" t="str">
        <f t="shared" si="12"/>
        <v>建筑类型</v>
      </c>
      <c r="AA29" s="1307">
        <f t="shared" si="3"/>
        <v>1</v>
      </c>
      <c r="AB29" s="1307">
        <f t="shared" si="4"/>
        <v>1</v>
      </c>
      <c r="AC29" s="1307">
        <f t="shared" si="5"/>
        <v>1</v>
      </c>
    </row>
    <row r="30" spans="1:29" s="1131" customFormat="1" ht="15">
      <c r="A30" s="552"/>
      <c r="B30" s="477" t="s">
        <v>671</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5"/>
      <c r="M30" s="1769"/>
      <c r="N30" s="1769"/>
      <c r="O30" s="1748"/>
      <c r="P30" s="3634"/>
      <c r="Q30" s="818" t="str">
        <f t="shared" si="8"/>
        <v>项目建筑规模</v>
      </c>
      <c r="R30" s="1308" t="s">
        <v>5</v>
      </c>
      <c r="S30" s="1309" t="e">
        <f t="shared" si="9"/>
        <v>#N/A</v>
      </c>
      <c r="T30" s="1308" t="s">
        <v>5</v>
      </c>
      <c r="U30" s="1309" t="e">
        <f t="shared" si="10"/>
        <v>#N/A</v>
      </c>
      <c r="V30" s="1308" t="s">
        <v>5</v>
      </c>
      <c r="W30" s="1309" t="e">
        <f t="shared" si="11"/>
        <v>#N/A</v>
      </c>
      <c r="X30" s="1310"/>
      <c r="Y30" s="3634"/>
      <c r="Z30" s="1311" t="str">
        <f t="shared" si="12"/>
        <v>项目建筑规模</v>
      </c>
      <c r="AA30" s="1307" t="e">
        <f t="shared" si="3"/>
        <v>#N/A</v>
      </c>
      <c r="AB30" s="1307" t="e">
        <f t="shared" si="4"/>
        <v>#N/A</v>
      </c>
      <c r="AC30" s="1307" t="e">
        <f t="shared" si="5"/>
        <v>#N/A</v>
      </c>
    </row>
    <row r="31" spans="1:29" ht="15">
      <c r="A31" s="543"/>
      <c r="B31" s="477" t="s">
        <v>672</v>
      </c>
      <c r="C31" s="524"/>
      <c r="D31" s="490">
        <v>100</v>
      </c>
      <c r="E31" s="524"/>
      <c r="F31" s="525">
        <f>SUMIF(93:93,E31,94:94)-SUMIF(93:93,C31,94:94)+100</f>
        <v>100</v>
      </c>
      <c r="G31" s="524"/>
      <c r="H31" s="490">
        <f>SUMIF(93:93,G31,94:94)-SUMIF(93:93,C31,94:94)+100</f>
        <v>100</v>
      </c>
      <c r="I31" s="524"/>
      <c r="J31" s="490">
        <f>SUMIF(93:93,I31,94:94)-SUMIF(93:93,C31,94:94)+100</f>
        <v>100</v>
      </c>
      <c r="K31" s="533"/>
      <c r="L31" s="1747"/>
      <c r="M31" s="1740"/>
      <c r="N31" s="1740"/>
      <c r="O31" s="1746"/>
      <c r="P31" s="3634"/>
      <c r="Q31" s="1304" t="str">
        <f t="shared" si="8"/>
        <v>建筑结构</v>
      </c>
      <c r="R31" s="1305" t="s">
        <v>5</v>
      </c>
      <c r="S31" s="1306">
        <f t="shared" si="9"/>
        <v>100</v>
      </c>
      <c r="T31" s="1305" t="s">
        <v>5</v>
      </c>
      <c r="U31" s="1306">
        <f t="shared" si="10"/>
        <v>100</v>
      </c>
      <c r="V31" s="1305" t="s">
        <v>5</v>
      </c>
      <c r="W31" s="1306">
        <f t="shared" si="11"/>
        <v>100</v>
      </c>
      <c r="X31" s="1300"/>
      <c r="Y31" s="3634"/>
      <c r="Z31" s="1307" t="str">
        <f t="shared" si="12"/>
        <v>建筑结构</v>
      </c>
      <c r="AA31" s="1307">
        <f t="shared" si="3"/>
        <v>1</v>
      </c>
      <c r="AB31" s="1307">
        <f t="shared" si="4"/>
        <v>1</v>
      </c>
      <c r="AC31" s="1307">
        <f t="shared" si="5"/>
        <v>1</v>
      </c>
    </row>
    <row r="32" spans="1:29" ht="15">
      <c r="A32" s="543"/>
      <c r="B32" s="477" t="s">
        <v>701</v>
      </c>
      <c r="C32" s="524"/>
      <c r="D32" s="490">
        <v>100</v>
      </c>
      <c r="E32" s="524"/>
      <c r="F32" s="525">
        <f>SUMIF(95:95,E32,96:96)-SUMIF(95:95,C32,96:96)+100</f>
        <v>100</v>
      </c>
      <c r="G32" s="524"/>
      <c r="H32" s="490">
        <f>SUMIF(95:95,G32,96:96)-SUMIF(95:95,C32,96:96)+100</f>
        <v>100</v>
      </c>
      <c r="I32" s="524"/>
      <c r="J32" s="490">
        <f>SUMIF(95:95,I32,96:96)-SUMIF(95:95,C32,96:96)+100</f>
        <v>100</v>
      </c>
      <c r="K32" s="533"/>
      <c r="L32" s="1747"/>
      <c r="M32" s="1740"/>
      <c r="N32" s="1740"/>
      <c r="O32" s="1746"/>
      <c r="P32" s="3634"/>
      <c r="Q32" s="1304" t="str">
        <f t="shared" si="8"/>
        <v>公共部分装修</v>
      </c>
      <c r="R32" s="1305" t="s">
        <v>5</v>
      </c>
      <c r="S32" s="1306">
        <f t="shared" si="9"/>
        <v>100</v>
      </c>
      <c r="T32" s="1305" t="s">
        <v>5</v>
      </c>
      <c r="U32" s="1306">
        <f t="shared" si="10"/>
        <v>100</v>
      </c>
      <c r="V32" s="1305" t="s">
        <v>5</v>
      </c>
      <c r="W32" s="1306">
        <f t="shared" si="11"/>
        <v>100</v>
      </c>
      <c r="X32" s="1300"/>
      <c r="Y32" s="3634"/>
      <c r="Z32" s="1307" t="str">
        <f t="shared" si="12"/>
        <v>公共部分装修</v>
      </c>
      <c r="AA32" s="1307">
        <f t="shared" si="3"/>
        <v>1</v>
      </c>
      <c r="AB32" s="1307">
        <f t="shared" si="4"/>
        <v>1</v>
      </c>
      <c r="AC32" s="1307">
        <f t="shared" si="5"/>
        <v>1</v>
      </c>
    </row>
    <row r="33" spans="1:29" ht="15">
      <c r="A33" s="543"/>
      <c r="B33" s="477" t="s">
        <v>702</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7"/>
      <c r="M33" s="1740"/>
      <c r="N33" s="1740"/>
      <c r="O33" s="1746"/>
      <c r="P33" s="3634"/>
      <c r="Q33" s="1304" t="str">
        <f t="shared" si="8"/>
        <v>成新度</v>
      </c>
      <c r="R33" s="1305" t="s">
        <v>5</v>
      </c>
      <c r="S33" s="1306" t="e">
        <f t="shared" si="9"/>
        <v>#N/A</v>
      </c>
      <c r="T33" s="1305" t="s">
        <v>5</v>
      </c>
      <c r="U33" s="1306" t="e">
        <f t="shared" si="10"/>
        <v>#N/A</v>
      </c>
      <c r="V33" s="1305" t="s">
        <v>5</v>
      </c>
      <c r="W33" s="1306" t="e">
        <f t="shared" si="11"/>
        <v>#N/A</v>
      </c>
      <c r="X33" s="1300"/>
      <c r="Y33" s="3634"/>
      <c r="Z33" s="1307" t="str">
        <f t="shared" si="12"/>
        <v>成新度</v>
      </c>
      <c r="AA33" s="1307" t="e">
        <f t="shared" si="3"/>
        <v>#N/A</v>
      </c>
      <c r="AB33" s="1307" t="e">
        <f t="shared" si="4"/>
        <v>#N/A</v>
      </c>
      <c r="AC33" s="1307" t="e">
        <f t="shared" si="5"/>
        <v>#N/A</v>
      </c>
    </row>
    <row r="34" spans="1:29" s="1057" customFormat="1" ht="15">
      <c r="A34" s="549"/>
      <c r="B34" s="477" t="s">
        <v>720</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1"/>
      <c r="M34" s="1638"/>
      <c r="N34" s="1638"/>
      <c r="O34" s="1742"/>
      <c r="P34" s="3634"/>
      <c r="Q34" s="817" t="str">
        <f t="shared" si="8"/>
        <v>物业管理</v>
      </c>
      <c r="R34" s="1301" t="s">
        <v>5</v>
      </c>
      <c r="S34" s="1302">
        <f t="shared" si="9"/>
        <v>100</v>
      </c>
      <c r="T34" s="1301" t="s">
        <v>5</v>
      </c>
      <c r="U34" s="1302">
        <f t="shared" si="10"/>
        <v>100</v>
      </c>
      <c r="V34" s="1301" t="s">
        <v>5</v>
      </c>
      <c r="W34" s="1302">
        <f t="shared" si="11"/>
        <v>100</v>
      </c>
      <c r="X34" s="1303"/>
      <c r="Y34" s="3634"/>
      <c r="Z34" s="994" t="str">
        <f t="shared" si="12"/>
        <v>物业管理</v>
      </c>
      <c r="AA34" s="994">
        <f t="shared" si="3"/>
        <v>1</v>
      </c>
      <c r="AB34" s="994">
        <f t="shared" si="4"/>
        <v>1</v>
      </c>
      <c r="AC34" s="994">
        <f t="shared" si="5"/>
        <v>1</v>
      </c>
    </row>
    <row r="35" spans="1:29" ht="15">
      <c r="A35" s="543"/>
      <c r="B35" s="1552"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7"/>
      <c r="M35" s="1740"/>
      <c r="N35" s="1740"/>
      <c r="O35" s="1746"/>
      <c r="P35" s="3634" t="s">
        <v>497</v>
      </c>
      <c r="Q35" s="1304" t="str">
        <f t="shared" si="8"/>
        <v>市政基础设施</v>
      </c>
      <c r="R35" s="1305" t="s">
        <v>5</v>
      </c>
      <c r="S35" s="1306">
        <f t="shared" si="9"/>
        <v>100</v>
      </c>
      <c r="T35" s="1305" t="s">
        <v>5</v>
      </c>
      <c r="U35" s="1306">
        <f t="shared" si="10"/>
        <v>100</v>
      </c>
      <c r="V35" s="1305" t="s">
        <v>5</v>
      </c>
      <c r="W35" s="1306">
        <f t="shared" si="11"/>
        <v>100</v>
      </c>
      <c r="X35" s="1300"/>
      <c r="Y35" s="3634" t="s">
        <v>497</v>
      </c>
      <c r="Z35" s="1307" t="str">
        <f t="shared" si="12"/>
        <v>市政基础设施</v>
      </c>
      <c r="AA35" s="1307">
        <f t="shared" si="3"/>
        <v>1</v>
      </c>
      <c r="AB35" s="1307">
        <f t="shared" si="4"/>
        <v>1</v>
      </c>
      <c r="AC35" s="1307">
        <f t="shared" si="5"/>
        <v>1</v>
      </c>
    </row>
    <row r="36" spans="1:29" ht="15">
      <c r="A36" s="543"/>
      <c r="B36" s="477" t="s">
        <v>708</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7"/>
      <c r="M36" s="1740"/>
      <c r="N36" s="1740"/>
      <c r="O36" s="1746"/>
      <c r="P36" s="3634"/>
      <c r="Q36" s="1304" t="str">
        <f t="shared" si="8"/>
        <v>内部装修</v>
      </c>
      <c r="R36" s="1305" t="s">
        <v>5</v>
      </c>
      <c r="S36" s="1306">
        <f t="shared" si="9"/>
        <v>100</v>
      </c>
      <c r="T36" s="1305" t="s">
        <v>5</v>
      </c>
      <c r="U36" s="1306">
        <f t="shared" si="10"/>
        <v>100</v>
      </c>
      <c r="V36" s="1305" t="s">
        <v>5</v>
      </c>
      <c r="W36" s="1306">
        <f t="shared" si="11"/>
        <v>100</v>
      </c>
      <c r="X36" s="1300"/>
      <c r="Y36" s="3634"/>
      <c r="Z36" s="1307" t="str">
        <f t="shared" si="12"/>
        <v>内部装修</v>
      </c>
      <c r="AA36" s="1307">
        <f t="shared" si="3"/>
        <v>1</v>
      </c>
      <c r="AB36" s="1307">
        <f t="shared" si="4"/>
        <v>1</v>
      </c>
      <c r="AC36" s="1307">
        <f t="shared" si="5"/>
        <v>1</v>
      </c>
    </row>
    <row r="37" spans="1:29" ht="15">
      <c r="A37" s="543"/>
      <c r="B37" s="477" t="s">
        <v>728</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7"/>
      <c r="M37" s="1740"/>
      <c r="N37" s="1740"/>
      <c r="O37" s="1746"/>
      <c r="P37" s="3634"/>
      <c r="Q37" s="1304" t="str">
        <f t="shared" si="8"/>
        <v>内部装修状况</v>
      </c>
      <c r="R37" s="1305" t="s">
        <v>5</v>
      </c>
      <c r="S37" s="1306">
        <f t="shared" si="9"/>
        <v>100</v>
      </c>
      <c r="T37" s="1305" t="s">
        <v>5</v>
      </c>
      <c r="U37" s="1306">
        <f t="shared" si="10"/>
        <v>100</v>
      </c>
      <c r="V37" s="1305" t="s">
        <v>5</v>
      </c>
      <c r="W37" s="1306">
        <f t="shared" si="11"/>
        <v>100</v>
      </c>
      <c r="X37" s="1300"/>
      <c r="Y37" s="3634"/>
      <c r="Z37" s="1307" t="str">
        <f t="shared" si="12"/>
        <v>内部装修状况</v>
      </c>
      <c r="AA37" s="1307">
        <f t="shared" si="3"/>
        <v>1</v>
      </c>
      <c r="AB37" s="1307">
        <f t="shared" si="4"/>
        <v>1</v>
      </c>
      <c r="AC37" s="1307">
        <f t="shared" si="5"/>
        <v>1</v>
      </c>
    </row>
    <row r="38" spans="1:29" s="1131"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5"/>
      <c r="M38" s="1769"/>
      <c r="N38" s="1769"/>
      <c r="O38" s="1748"/>
      <c r="P38" s="3634"/>
      <c r="Q38" s="818">
        <f t="shared" si="8"/>
        <v>111</v>
      </c>
      <c r="R38" s="1308" t="s">
        <v>5</v>
      </c>
      <c r="S38" s="1309">
        <f t="shared" si="9"/>
        <v>100</v>
      </c>
      <c r="T38" s="1308" t="s">
        <v>5</v>
      </c>
      <c r="U38" s="1309">
        <f t="shared" si="10"/>
        <v>100</v>
      </c>
      <c r="V38" s="1308" t="s">
        <v>5</v>
      </c>
      <c r="W38" s="1309">
        <f t="shared" si="11"/>
        <v>100</v>
      </c>
      <c r="X38" s="1310"/>
      <c r="Y38" s="3634"/>
      <c r="Z38" s="1311">
        <f t="shared" si="12"/>
        <v>111</v>
      </c>
      <c r="AA38" s="1307">
        <f t="shared" si="3"/>
        <v>1</v>
      </c>
      <c r="AB38" s="1307">
        <f t="shared" si="4"/>
        <v>1</v>
      </c>
      <c r="AC38" s="1307">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7"/>
      <c r="M39" s="1740"/>
      <c r="N39" s="1740"/>
      <c r="O39" s="1746"/>
      <c r="P39" s="3634"/>
      <c r="Q39" s="1304">
        <f t="shared" si="8"/>
        <v>111</v>
      </c>
      <c r="R39" s="1305" t="s">
        <v>5</v>
      </c>
      <c r="S39" s="1306">
        <f t="shared" si="9"/>
        <v>100</v>
      </c>
      <c r="T39" s="1305" t="s">
        <v>5</v>
      </c>
      <c r="U39" s="1306">
        <f t="shared" si="10"/>
        <v>100</v>
      </c>
      <c r="V39" s="1305" t="s">
        <v>5</v>
      </c>
      <c r="W39" s="1306">
        <f t="shared" si="11"/>
        <v>100</v>
      </c>
      <c r="X39" s="1300"/>
      <c r="Y39" s="3634"/>
      <c r="Z39" s="1307">
        <f t="shared" si="12"/>
        <v>111</v>
      </c>
      <c r="AA39" s="1307">
        <f t="shared" si="3"/>
        <v>1</v>
      </c>
      <c r="AB39" s="1307">
        <f t="shared" si="4"/>
        <v>1</v>
      </c>
      <c r="AC39" s="1307">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7"/>
      <c r="M40" s="1740"/>
      <c r="N40" s="1740"/>
      <c r="O40" s="1746"/>
      <c r="P40" s="3724"/>
      <c r="Q40" s="1304">
        <f t="shared" si="8"/>
        <v>111</v>
      </c>
      <c r="R40" s="1305" t="s">
        <v>5</v>
      </c>
      <c r="S40" s="1306">
        <f t="shared" si="9"/>
        <v>100</v>
      </c>
      <c r="T40" s="1305" t="s">
        <v>5</v>
      </c>
      <c r="U40" s="1306">
        <f t="shared" si="10"/>
        <v>100</v>
      </c>
      <c r="V40" s="1305" t="s">
        <v>5</v>
      </c>
      <c r="W40" s="1306">
        <f t="shared" si="11"/>
        <v>100</v>
      </c>
      <c r="X40" s="1300"/>
      <c r="Y40" s="3724"/>
      <c r="Z40" s="1307">
        <f t="shared" si="12"/>
        <v>111</v>
      </c>
      <c r="AA40" s="1307">
        <f t="shared" si="3"/>
        <v>1</v>
      </c>
      <c r="AB40" s="1307">
        <f t="shared" si="4"/>
        <v>1</v>
      </c>
      <c r="AC40" s="1307">
        <f t="shared" si="5"/>
        <v>1</v>
      </c>
    </row>
    <row r="41" spans="1:29" ht="15">
      <c r="A41" s="556" t="s">
        <v>681</v>
      </c>
      <c r="B41" s="811"/>
      <c r="C41" s="2079" t="s">
        <v>0</v>
      </c>
      <c r="D41" s="559"/>
      <c r="E41" s="560"/>
      <c r="F41" s="561"/>
      <c r="G41" s="562"/>
      <c r="H41" s="563"/>
      <c r="I41" s="560"/>
      <c r="J41" s="563"/>
      <c r="K41" s="1333"/>
      <c r="L41" s="1749"/>
      <c r="M41" s="1740"/>
      <c r="N41" s="1740"/>
      <c r="O41" s="1740"/>
      <c r="P41" s="3598" t="str">
        <f>A41</f>
        <v>成交单价（元/平方米）</v>
      </c>
      <c r="Q41" s="3598"/>
      <c r="R41" s="3599">
        <f>E41</f>
        <v>0</v>
      </c>
      <c r="S41" s="3599"/>
      <c r="T41" s="3599">
        <f>G41</f>
        <v>0</v>
      </c>
      <c r="U41" s="3599"/>
      <c r="V41" s="3599">
        <f>I41</f>
        <v>0</v>
      </c>
      <c r="W41" s="3599"/>
      <c r="X41" s="799"/>
      <c r="Y41" s="1312"/>
      <c r="Z41" s="799"/>
      <c r="AA41" s="799"/>
      <c r="AB41" s="799"/>
      <c r="AC41" s="799"/>
    </row>
    <row r="42" spans="1:29" ht="15.75" thickBot="1">
      <c r="A42" s="564" t="s">
        <v>2040</v>
      </c>
      <c r="B42" s="812"/>
      <c r="C42" s="2080" t="e">
        <f>R43</f>
        <v>#DIV/0!</v>
      </c>
      <c r="D42" s="2548" t="s">
        <v>2249</v>
      </c>
      <c r="E42" s="2081" t="e">
        <f>R42</f>
        <v>#DIV/0!</v>
      </c>
      <c r="F42" s="2549"/>
      <c r="G42" s="2080" t="e">
        <f>T42</f>
        <v>#DIV/0!</v>
      </c>
      <c r="H42" s="2549"/>
      <c r="I42" s="2081" t="e">
        <f>V42</f>
        <v>#DIV/0!</v>
      </c>
      <c r="J42" s="2549"/>
      <c r="K42" s="2556">
        <f>F42+H42+J42</f>
        <v>0</v>
      </c>
      <c r="L42" s="1749"/>
      <c r="M42" s="1740"/>
      <c r="N42" s="1740"/>
      <c r="O42" s="1740"/>
      <c r="P42" s="3598" t="str">
        <f>A42</f>
        <v>比较价格（元/平方米）</v>
      </c>
      <c r="Q42" s="3598"/>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799"/>
      <c r="Y42" s="799"/>
      <c r="Z42" s="799"/>
      <c r="AA42" s="799"/>
      <c r="AB42" s="799"/>
      <c r="AC42" s="799"/>
    </row>
    <row r="43" spans="1:29" ht="15.75" thickBot="1">
      <c r="A43" s="568" t="s">
        <v>2186</v>
      </c>
      <c r="B43" s="569"/>
      <c r="C43" s="469" t="e">
        <f>R43</f>
        <v>#DIV/0!</v>
      </c>
      <c r="D43" s="469"/>
      <c r="E43" s="469"/>
      <c r="F43" s="469"/>
      <c r="G43" s="469"/>
      <c r="H43" s="469"/>
      <c r="I43" s="469"/>
      <c r="J43" s="469"/>
      <c r="K43" s="1334"/>
      <c r="L43" s="1749"/>
      <c r="M43" s="1740"/>
      <c r="N43" s="1740"/>
      <c r="O43" s="1740"/>
      <c r="P43" s="3635" t="str">
        <f>A43</f>
        <v>估价对象XX用房的比较价格（楼面单价，元/平方米）</v>
      </c>
      <c r="Q43" s="3636"/>
      <c r="R43" s="3723" t="e">
        <f>IF(F1="售价",ROUND(IF(D42="简单平均",AVERAGE(R42:V42),R42*F42+T42*H42+V42*J42),0),ROUND(IF(D42="简单平均",AVERAGE(R42:V42),R42*F42+T42*H42+V42*J42),1))</f>
        <v>#DIV/0!</v>
      </c>
      <c r="S43" s="3723"/>
      <c r="T43" s="3723"/>
      <c r="U43" s="3723"/>
      <c r="V43" s="3723"/>
      <c r="W43" s="3723"/>
      <c r="X43" s="799"/>
      <c r="Y43" s="799"/>
      <c r="Z43" s="799"/>
      <c r="AA43" s="799"/>
      <c r="AB43" s="799"/>
      <c r="AC43" s="799"/>
    </row>
    <row r="44" spans="1:29">
      <c r="A44" s="2719"/>
      <c r="B44" s="2719"/>
      <c r="C44" s="2719"/>
      <c r="D44" s="2719"/>
      <c r="E44" s="2719"/>
      <c r="F44" s="2719"/>
      <c r="G44" s="2721"/>
      <c r="H44" s="2719"/>
      <c r="I44" s="2719"/>
      <c r="J44" s="2719"/>
      <c r="K44" s="2722"/>
      <c r="L44" s="1753"/>
      <c r="M44" s="1740"/>
      <c r="N44" s="1740"/>
      <c r="O44" s="1740"/>
      <c r="P44" s="1740"/>
      <c r="Q44" s="1740"/>
      <c r="R44" s="1740"/>
      <c r="S44" s="1740"/>
      <c r="T44" s="1740"/>
      <c r="U44" s="1740"/>
      <c r="V44" s="1740"/>
      <c r="W44" s="1740"/>
      <c r="X44" s="1740"/>
      <c r="Y44" s="1740"/>
      <c r="Z44" s="1740"/>
      <c r="AA44" s="1740"/>
      <c r="AB44" s="1740"/>
      <c r="AC44" s="1740"/>
    </row>
    <row r="45" spans="1:29">
      <c r="A45" s="2719"/>
      <c r="B45" s="2719"/>
      <c r="C45" s="2719"/>
      <c r="D45" s="2719"/>
      <c r="E45" s="2719"/>
      <c r="F45" s="2719"/>
      <c r="G45" s="2719"/>
      <c r="H45" s="2719"/>
      <c r="I45" s="2719"/>
      <c r="J45" s="2719"/>
      <c r="K45" s="2722"/>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9"/>
      <c r="B46" s="2719"/>
      <c r="C46" s="571" t="s">
        <v>504</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2"/>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9"/>
      <c r="B47" s="2719"/>
      <c r="C47" s="571" t="s">
        <v>505</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2"/>
      <c r="L47" s="1753"/>
      <c r="M47" s="1740"/>
      <c r="N47" s="1740"/>
      <c r="O47" s="1740"/>
      <c r="P47" s="1740"/>
      <c r="Q47" s="1740"/>
      <c r="R47" s="1740"/>
      <c r="S47" s="1740"/>
      <c r="T47" s="1740"/>
      <c r="U47" s="1740"/>
      <c r="V47" s="1740"/>
      <c r="W47" s="1740"/>
      <c r="X47" s="1740"/>
      <c r="Y47" s="1740"/>
      <c r="Z47" s="1740"/>
      <c r="AA47" s="1740"/>
      <c r="AB47" s="1740"/>
      <c r="AC47" s="1740"/>
    </row>
    <row r="48" spans="1:29" s="1136" customFormat="1" ht="13.5" customHeight="1">
      <c r="A48" s="2720"/>
      <c r="B48" s="2720"/>
      <c r="C48" s="571" t="s">
        <v>506</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3"/>
      <c r="L48" s="1756"/>
      <c r="M48" s="1750"/>
      <c r="N48" s="1750"/>
      <c r="O48" s="1750"/>
      <c r="P48" s="1750"/>
      <c r="Q48" s="1750"/>
      <c r="R48" s="1750"/>
      <c r="S48" s="1750"/>
      <c r="T48" s="1750"/>
      <c r="U48" s="1750"/>
      <c r="V48" s="1750"/>
      <c r="W48" s="1750"/>
      <c r="X48" s="1750"/>
      <c r="Y48" s="1750"/>
      <c r="Z48" s="1750"/>
      <c r="AA48" s="1750"/>
      <c r="AB48" s="1750"/>
      <c r="AC48" s="1750"/>
    </row>
    <row r="49" spans="1:29" s="1136"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5" t="s">
        <v>520</v>
      </c>
      <c r="B51" s="799"/>
      <c r="C51" s="1314"/>
      <c r="D51" s="1314"/>
      <c r="E51" s="1314"/>
      <c r="F51" s="1316"/>
      <c r="G51" s="1316"/>
      <c r="H51" s="1314"/>
      <c r="I51" s="1314"/>
      <c r="J51" s="1314"/>
      <c r="K51" s="1317"/>
      <c r="L51" s="1313"/>
      <c r="M51" s="1314"/>
      <c r="N51" s="1760"/>
      <c r="O51" s="1760"/>
      <c r="P51" s="1760"/>
      <c r="Q51" s="1761"/>
      <c r="R51" s="1740"/>
      <c r="S51" s="1740"/>
      <c r="T51" s="1740"/>
      <c r="U51" s="1740"/>
      <c r="V51" s="1740"/>
      <c r="W51" s="1740"/>
      <c r="X51" s="1740"/>
      <c r="Y51" s="1740"/>
      <c r="Z51" s="1740"/>
      <c r="AA51" s="1740"/>
      <c r="AB51" s="1740"/>
      <c r="AC51" s="1740"/>
    </row>
    <row r="52" spans="1:29" s="1138" customFormat="1" ht="15">
      <c r="A52" s="592" t="s">
        <v>476</v>
      </c>
      <c r="B52" s="593"/>
      <c r="C52" s="2111" t="str">
        <f>YEAR(C7)&amp;"-"&amp;MONTH(C7)</f>
        <v>2025-6</v>
      </c>
      <c r="D52" s="2113">
        <f>EDATE(C52,-1)</f>
        <v>45778</v>
      </c>
      <c r="E52" s="2113">
        <f t="shared" ref="E52:O52" si="13">EDATE(D52,-1)</f>
        <v>45748</v>
      </c>
      <c r="F52" s="2113">
        <f t="shared" si="13"/>
        <v>45717</v>
      </c>
      <c r="G52" s="2113">
        <f t="shared" si="13"/>
        <v>45689</v>
      </c>
      <c r="H52" s="2113">
        <f t="shared" si="13"/>
        <v>45658</v>
      </c>
      <c r="I52" s="2113">
        <f t="shared" si="13"/>
        <v>45627</v>
      </c>
      <c r="J52" s="2113">
        <f t="shared" si="13"/>
        <v>45597</v>
      </c>
      <c r="K52" s="2113">
        <f t="shared" si="13"/>
        <v>45566</v>
      </c>
      <c r="L52" s="2113">
        <f t="shared" si="13"/>
        <v>45536</v>
      </c>
      <c r="M52" s="2113">
        <f t="shared" si="13"/>
        <v>45505</v>
      </c>
      <c r="N52" s="2113">
        <f t="shared" si="13"/>
        <v>45474</v>
      </c>
      <c r="O52" s="2113">
        <f t="shared" si="13"/>
        <v>45444</v>
      </c>
      <c r="P52" s="1763"/>
      <c r="Q52" s="1763"/>
      <c r="R52" s="1763"/>
      <c r="S52" s="1763"/>
      <c r="T52" s="1763"/>
      <c r="U52" s="1763"/>
      <c r="V52" s="1763"/>
      <c r="W52" s="1763"/>
      <c r="X52" s="1763"/>
      <c r="Y52" s="1763"/>
      <c r="Z52" s="1763"/>
      <c r="AA52" s="1763"/>
      <c r="AB52" s="1763"/>
      <c r="AC52" s="1763"/>
    </row>
    <row r="53" spans="1:29" s="1057" customFormat="1" ht="15">
      <c r="A53" s="527"/>
      <c r="B53" s="594"/>
      <c r="C53" s="595">
        <v>100</v>
      </c>
      <c r="D53" s="596"/>
      <c r="E53" s="596"/>
      <c r="F53" s="596"/>
      <c r="G53" s="596"/>
      <c r="H53" s="596"/>
      <c r="I53" s="596"/>
      <c r="J53" s="596"/>
      <c r="K53" s="596"/>
      <c r="L53" s="596"/>
      <c r="M53" s="487"/>
      <c r="N53" s="596"/>
      <c r="O53" s="597"/>
      <c r="P53" s="1761"/>
      <c r="Q53" s="1638"/>
      <c r="R53" s="1638"/>
      <c r="S53" s="1638"/>
      <c r="T53" s="1638"/>
      <c r="U53" s="1638"/>
      <c r="V53" s="1638"/>
      <c r="W53" s="1638"/>
      <c r="X53" s="1638"/>
      <c r="Y53" s="1638"/>
      <c r="Z53" s="1638"/>
      <c r="AA53" s="1638"/>
      <c r="AB53" s="1638"/>
      <c r="AC53" s="1638"/>
    </row>
    <row r="54" spans="1:29" s="1057" customFormat="1" ht="15.75" thickBot="1">
      <c r="A54" s="262" t="s">
        <v>521</v>
      </c>
      <c r="B54" s="598"/>
      <c r="C54" s="599"/>
      <c r="D54" s="600"/>
      <c r="E54" s="600"/>
      <c r="F54" s="600"/>
      <c r="G54" s="600"/>
      <c r="H54" s="600"/>
      <c r="I54" s="600"/>
      <c r="J54" s="600"/>
      <c r="K54" s="600"/>
      <c r="L54" s="600"/>
      <c r="M54" s="601"/>
      <c r="N54" s="600"/>
      <c r="O54" s="602"/>
      <c r="P54" s="1761"/>
      <c r="Q54" s="1761"/>
      <c r="R54" s="1638"/>
      <c r="S54" s="1638"/>
      <c r="T54" s="1638"/>
      <c r="U54" s="1638"/>
      <c r="V54" s="1638"/>
      <c r="W54" s="1638"/>
      <c r="X54" s="1638"/>
      <c r="Y54" s="1638"/>
      <c r="Z54" s="1638"/>
      <c r="AA54" s="1638"/>
      <c r="AB54" s="1638"/>
      <c r="AC54" s="1638"/>
    </row>
    <row r="55" spans="1:29" s="1057" customFormat="1" ht="15">
      <c r="A55" s="603" t="s">
        <v>478</v>
      </c>
      <c r="B55" s="594"/>
      <c r="C55" s="604" t="s">
        <v>522</v>
      </c>
      <c r="D55" s="80"/>
      <c r="E55" s="80"/>
      <c r="F55" s="80"/>
      <c r="G55" s="80"/>
      <c r="H55" s="80"/>
      <c r="I55" s="80"/>
      <c r="J55" s="80"/>
      <c r="K55" s="80"/>
      <c r="L55" s="605"/>
      <c r="M55" s="606"/>
      <c r="N55" s="1764"/>
      <c r="O55" s="1764"/>
      <c r="P55" s="1645"/>
      <c r="Q55" s="1761"/>
      <c r="R55" s="1638"/>
      <c r="S55" s="1638"/>
      <c r="T55" s="1638"/>
      <c r="U55" s="1638"/>
      <c r="V55" s="1638"/>
      <c r="W55" s="1638"/>
      <c r="X55" s="1638"/>
      <c r="Y55" s="1638"/>
      <c r="Z55" s="1638"/>
      <c r="AA55" s="1638"/>
      <c r="AB55" s="1638"/>
      <c r="AC55" s="1638"/>
    </row>
    <row r="56" spans="1:29" s="1057" customFormat="1" ht="15.75" thickBot="1">
      <c r="A56" s="603"/>
      <c r="B56" s="594"/>
      <c r="C56" s="595">
        <v>100</v>
      </c>
      <c r="D56" s="596"/>
      <c r="E56" s="596"/>
      <c r="F56" s="596"/>
      <c r="G56" s="596"/>
      <c r="H56" s="596"/>
      <c r="I56" s="596"/>
      <c r="J56" s="596"/>
      <c r="K56" s="596"/>
      <c r="L56" s="596"/>
      <c r="M56" s="597"/>
      <c r="N56" s="1764"/>
      <c r="O56" s="1764"/>
      <c r="P56" s="1761"/>
      <c r="Q56" s="1761"/>
      <c r="R56" s="1638"/>
      <c r="S56" s="1638"/>
      <c r="T56" s="1638"/>
      <c r="U56" s="1638"/>
      <c r="V56" s="1638"/>
      <c r="W56" s="1638"/>
      <c r="X56" s="1638"/>
      <c r="Y56" s="1638"/>
      <c r="Z56" s="1638"/>
      <c r="AA56" s="1638"/>
      <c r="AB56" s="1638"/>
      <c r="AC56" s="1638"/>
    </row>
    <row r="57" spans="1:29">
      <c r="A57" s="607" t="s">
        <v>523</v>
      </c>
      <c r="B57" s="608" t="s">
        <v>481</v>
      </c>
      <c r="C57" s="645">
        <f>C9</f>
        <v>0</v>
      </c>
      <c r="D57" s="547"/>
      <c r="E57" s="547"/>
      <c r="F57" s="547"/>
      <c r="G57" s="547"/>
      <c r="H57" s="547"/>
      <c r="I57" s="547"/>
      <c r="J57" s="547"/>
      <c r="K57" s="609"/>
      <c r="L57" s="610"/>
      <c r="M57" s="611"/>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13"/>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ht="27.75" thickTop="1">
      <c r="A59" s="482"/>
      <c r="B59" s="615" t="s">
        <v>484</v>
      </c>
      <c r="C59" s="658"/>
      <c r="D59" s="658"/>
      <c r="E59" s="658"/>
      <c r="F59" s="658"/>
      <c r="G59" s="658"/>
      <c r="H59" s="658"/>
      <c r="I59" s="658"/>
      <c r="J59" s="658"/>
      <c r="K59" s="659"/>
      <c r="L59" s="660"/>
      <c r="M59" s="661"/>
      <c r="N59" s="1765"/>
      <c r="O59" s="1765"/>
      <c r="P59" s="1764"/>
      <c r="Q59" s="1761"/>
      <c r="R59" s="1740"/>
      <c r="S59" s="1740"/>
      <c r="T59" s="1740"/>
      <c r="U59" s="1740"/>
      <c r="V59" s="1740"/>
      <c r="W59" s="1740"/>
      <c r="X59" s="1740"/>
      <c r="Y59" s="1740"/>
      <c r="Z59" s="1740"/>
      <c r="AA59" s="1740"/>
      <c r="AB59" s="1740"/>
      <c r="AC59" s="1740"/>
    </row>
    <row r="60" spans="1:29" ht="15.75" thickBot="1">
      <c r="A60" s="482"/>
      <c r="B60" s="620"/>
      <c r="C60" s="613"/>
      <c r="D60" s="613"/>
      <c r="E60" s="613"/>
      <c r="F60" s="613"/>
      <c r="G60" s="613"/>
      <c r="H60" s="613"/>
      <c r="I60" s="613"/>
      <c r="J60" s="613"/>
      <c r="K60" s="613"/>
      <c r="L60" s="613"/>
      <c r="M60" s="614"/>
      <c r="N60" s="1766"/>
      <c r="O60" s="1766"/>
      <c r="P60" s="1764"/>
      <c r="Q60" s="1761"/>
      <c r="R60" s="1740"/>
      <c r="S60" s="1740"/>
      <c r="T60" s="1740"/>
      <c r="U60" s="1740"/>
      <c r="V60" s="1740"/>
      <c r="W60" s="1740"/>
      <c r="X60" s="1740"/>
      <c r="Y60" s="1740"/>
      <c r="Z60" s="1740"/>
      <c r="AA60" s="1740"/>
      <c r="AB60" s="1740"/>
      <c r="AC60" s="1740"/>
    </row>
    <row r="61" spans="1:29" ht="15.75" thickTop="1">
      <c r="A61" s="482"/>
      <c r="B61" s="623" t="s">
        <v>485</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2"/>
      <c r="B62" s="625"/>
      <c r="C62" s="491"/>
      <c r="D62" s="491"/>
      <c r="E62" s="491"/>
      <c r="F62" s="491"/>
      <c r="G62" s="491"/>
      <c r="H62" s="491"/>
      <c r="I62" s="491"/>
      <c r="J62" s="491"/>
      <c r="K62" s="626"/>
      <c r="L62" s="627"/>
      <c r="M62" s="628"/>
      <c r="N62" s="1765"/>
      <c r="O62" s="1765"/>
      <c r="P62" s="1764"/>
      <c r="Q62" s="1761"/>
      <c r="R62" s="1740"/>
      <c r="S62" s="1740"/>
      <c r="T62" s="1740"/>
      <c r="U62" s="1740"/>
      <c r="V62" s="1740"/>
      <c r="W62" s="1740"/>
      <c r="X62" s="1740"/>
      <c r="Y62" s="1740"/>
      <c r="Z62" s="1740"/>
      <c r="AA62" s="1740"/>
      <c r="AB62" s="1740"/>
      <c r="AC62" s="1740"/>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6"/>
      <c r="O63" s="1766"/>
      <c r="P63" s="1764"/>
      <c r="Q63" s="1761"/>
      <c r="R63" s="1740"/>
      <c r="S63" s="1740"/>
      <c r="T63" s="1740"/>
      <c r="U63" s="1740"/>
      <c r="V63" s="1740"/>
      <c r="W63" s="1740"/>
      <c r="X63" s="1740"/>
      <c r="Y63" s="1740"/>
      <c r="Z63" s="1740"/>
      <c r="AA63" s="1740"/>
      <c r="AB63" s="1740"/>
      <c r="AC63" s="1740"/>
    </row>
    <row r="64" spans="1:29" s="1131" customFormat="1" ht="15.75" thickTop="1">
      <c r="A64" s="629"/>
      <c r="B64" s="615">
        <f>B12</f>
        <v>111</v>
      </c>
      <c r="C64" s="630"/>
      <c r="D64" s="630"/>
      <c r="E64" s="630"/>
      <c r="F64" s="630"/>
      <c r="G64" s="630"/>
      <c r="H64" s="631"/>
      <c r="I64" s="631"/>
      <c r="J64" s="631"/>
      <c r="K64" s="631"/>
      <c r="L64" s="632"/>
      <c r="M64" s="633"/>
      <c r="N64" s="1767"/>
      <c r="O64" s="1767"/>
      <c r="P64" s="1767"/>
      <c r="Q64" s="1768"/>
      <c r="R64" s="1769"/>
      <c r="S64" s="1769"/>
      <c r="T64" s="1769"/>
      <c r="U64" s="1769"/>
      <c r="V64" s="1769"/>
      <c r="W64" s="1769"/>
      <c r="X64" s="1769"/>
      <c r="Y64" s="1769"/>
      <c r="Z64" s="1769"/>
      <c r="AA64" s="1769"/>
      <c r="AB64" s="1769"/>
      <c r="AC64" s="1769"/>
    </row>
    <row r="65" spans="1:29" s="1131" customFormat="1" ht="15.75" thickBot="1">
      <c r="A65" s="629"/>
      <c r="B65" s="620"/>
      <c r="C65" s="634"/>
      <c r="D65" s="613"/>
      <c r="E65" s="613"/>
      <c r="F65" s="613"/>
      <c r="G65" s="613"/>
      <c r="H65" s="613"/>
      <c r="I65" s="613"/>
      <c r="J65" s="613"/>
      <c r="K65" s="613"/>
      <c r="L65" s="613"/>
      <c r="M65" s="614"/>
      <c r="N65" s="1766"/>
      <c r="O65" s="1766"/>
      <c r="P65" s="1767"/>
      <c r="Q65" s="1768"/>
      <c r="R65" s="1769"/>
      <c r="S65" s="1769"/>
      <c r="T65" s="1769"/>
      <c r="U65" s="1769"/>
      <c r="V65" s="1769"/>
      <c r="W65" s="1769"/>
      <c r="X65" s="1769"/>
      <c r="Y65" s="1769"/>
      <c r="Z65" s="1769"/>
      <c r="AA65" s="1769"/>
      <c r="AB65" s="1769"/>
      <c r="AC65" s="1769"/>
    </row>
    <row r="66" spans="1:29" s="1131" customFormat="1" ht="15.75" thickTop="1">
      <c r="A66" s="629"/>
      <c r="B66" s="615">
        <f>B13</f>
        <v>111</v>
      </c>
      <c r="C66" s="630"/>
      <c r="D66" s="630"/>
      <c r="E66" s="630"/>
      <c r="F66" s="630"/>
      <c r="G66" s="630"/>
      <c r="H66" s="631"/>
      <c r="I66" s="631"/>
      <c r="J66" s="631"/>
      <c r="K66" s="631"/>
      <c r="L66" s="632"/>
      <c r="M66" s="633"/>
      <c r="N66" s="1767"/>
      <c r="O66" s="1767"/>
      <c r="P66" s="1769"/>
      <c r="Q66" s="1770"/>
      <c r="R66" s="1769"/>
      <c r="S66" s="1769"/>
      <c r="T66" s="1769"/>
      <c r="U66" s="1769"/>
      <c r="V66" s="1769"/>
      <c r="W66" s="1769"/>
      <c r="X66" s="1769"/>
      <c r="Y66" s="1769"/>
      <c r="Z66" s="1769"/>
      <c r="AA66" s="1769"/>
      <c r="AB66" s="1769"/>
      <c r="AC66" s="1769"/>
    </row>
    <row r="67" spans="1:29" s="1131" customFormat="1" ht="15.75" thickBot="1">
      <c r="A67" s="629"/>
      <c r="B67" s="620"/>
      <c r="C67" s="634"/>
      <c r="D67" s="613"/>
      <c r="E67" s="613"/>
      <c r="F67" s="613"/>
      <c r="G67" s="634"/>
      <c r="H67" s="635"/>
      <c r="I67" s="635"/>
      <c r="J67" s="635"/>
      <c r="K67" s="635"/>
      <c r="L67" s="635"/>
      <c r="M67" s="636"/>
      <c r="N67" s="1767"/>
      <c r="O67" s="1767"/>
      <c r="P67" s="1767"/>
      <c r="Q67" s="1768"/>
      <c r="R67" s="1769"/>
      <c r="S67" s="1769"/>
      <c r="T67" s="1769"/>
      <c r="U67" s="1769"/>
      <c r="V67" s="1769"/>
      <c r="W67" s="1769"/>
      <c r="X67" s="1769"/>
      <c r="Y67" s="1769"/>
      <c r="Z67" s="1769"/>
      <c r="AA67" s="1769"/>
      <c r="AB67" s="1769"/>
      <c r="AC67" s="1769"/>
    </row>
    <row r="68" spans="1:29" s="1131" customFormat="1" ht="15.75" thickTop="1">
      <c r="A68" s="629"/>
      <c r="B68" s="623">
        <f>B14</f>
        <v>111</v>
      </c>
      <c r="C68" s="80"/>
      <c r="D68" s="80"/>
      <c r="E68" s="80"/>
      <c r="F68" s="80"/>
      <c r="G68" s="80"/>
      <c r="H68" s="637"/>
      <c r="I68" s="637"/>
      <c r="J68" s="637"/>
      <c r="K68" s="637"/>
      <c r="L68" s="638"/>
      <c r="M68" s="639"/>
      <c r="N68" s="1767"/>
      <c r="O68" s="1767"/>
      <c r="P68" s="1771"/>
      <c r="Q68" s="1768"/>
      <c r="R68" s="1769"/>
      <c r="S68" s="1769"/>
      <c r="T68" s="1769"/>
      <c r="U68" s="1769"/>
      <c r="V68" s="1769"/>
      <c r="W68" s="1769"/>
      <c r="X68" s="1769"/>
      <c r="Y68" s="1769"/>
      <c r="Z68" s="1769"/>
      <c r="AA68" s="1769"/>
      <c r="AB68" s="1769"/>
      <c r="AC68" s="1769"/>
    </row>
    <row r="69" spans="1:29" s="1131" customFormat="1" ht="15.75" thickBot="1">
      <c r="A69" s="640"/>
      <c r="B69" s="641"/>
      <c r="C69" s="642"/>
      <c r="D69" s="642"/>
      <c r="E69" s="642"/>
      <c r="F69" s="642"/>
      <c r="G69" s="642"/>
      <c r="H69" s="643"/>
      <c r="I69" s="643"/>
      <c r="J69" s="643"/>
      <c r="K69" s="643"/>
      <c r="L69" s="643"/>
      <c r="M69" s="644"/>
      <c r="N69" s="1767"/>
      <c r="O69" s="1767"/>
      <c r="P69" s="1767"/>
      <c r="Q69" s="1768"/>
      <c r="R69" s="1769"/>
      <c r="S69" s="1769"/>
      <c r="T69" s="1769"/>
      <c r="U69" s="1769"/>
      <c r="V69" s="1769"/>
      <c r="W69" s="1769"/>
      <c r="X69" s="1769"/>
      <c r="Y69" s="1769"/>
      <c r="Z69" s="1769"/>
      <c r="AA69" s="1769"/>
      <c r="AB69" s="1769"/>
      <c r="AC69" s="1769"/>
    </row>
    <row r="70" spans="1:29">
      <c r="A70" s="607" t="s">
        <v>486</v>
      </c>
      <c r="B70" s="608" t="s">
        <v>531</v>
      </c>
      <c r="C70" s="143" t="s">
        <v>525</v>
      </c>
      <c r="D70" s="143" t="s">
        <v>526</v>
      </c>
      <c r="E70" s="143" t="s">
        <v>527</v>
      </c>
      <c r="F70" s="143" t="s">
        <v>528</v>
      </c>
      <c r="G70" s="143" t="s">
        <v>529</v>
      </c>
      <c r="H70" s="645"/>
      <c r="I70" s="645"/>
      <c r="J70" s="645"/>
      <c r="K70" s="646"/>
      <c r="L70" s="647"/>
      <c r="M70" s="648"/>
      <c r="N70" s="1765"/>
      <c r="O70" s="1765"/>
      <c r="P70" s="1772"/>
      <c r="Q70" s="1761"/>
      <c r="R70" s="1740"/>
      <c r="S70" s="1740"/>
      <c r="T70" s="1740"/>
      <c r="U70" s="1740"/>
      <c r="V70" s="1740"/>
      <c r="W70" s="1740"/>
      <c r="X70" s="1740"/>
      <c r="Y70" s="1740"/>
      <c r="Z70" s="1740"/>
      <c r="AA70" s="1740"/>
      <c r="AB70" s="1740"/>
      <c r="AC70" s="1740"/>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6"/>
      <c r="O71" s="1766"/>
      <c r="P71" s="1764"/>
      <c r="Q71" s="1761"/>
      <c r="R71" s="1740"/>
      <c r="S71" s="1740"/>
      <c r="T71" s="1740"/>
      <c r="U71" s="1740"/>
      <c r="V71" s="1740"/>
      <c r="W71" s="1740"/>
      <c r="X71" s="1740"/>
      <c r="Y71" s="1740"/>
      <c r="Z71" s="1740"/>
      <c r="AA71" s="1740"/>
      <c r="AB71" s="1740"/>
      <c r="AC71" s="1740"/>
    </row>
    <row r="72" spans="1:29" ht="15.75" thickTop="1">
      <c r="A72" s="482"/>
      <c r="B72" s="615" t="s">
        <v>532</v>
      </c>
      <c r="C72" s="649" t="s">
        <v>525</v>
      </c>
      <c r="D72" s="649" t="s">
        <v>526</v>
      </c>
      <c r="E72" s="649" t="s">
        <v>527</v>
      </c>
      <c r="F72" s="649" t="s">
        <v>528</v>
      </c>
      <c r="G72" s="649" t="s">
        <v>529</v>
      </c>
      <c r="H72" s="616"/>
      <c r="I72" s="616"/>
      <c r="J72" s="616"/>
      <c r="K72" s="617"/>
      <c r="L72" s="618"/>
      <c r="M72" s="619"/>
      <c r="N72" s="1765"/>
      <c r="O72" s="1765"/>
      <c r="P72" s="1764"/>
      <c r="Q72" s="1761"/>
      <c r="R72" s="1740"/>
      <c r="S72" s="1740"/>
      <c r="T72" s="1740"/>
      <c r="U72" s="1740"/>
      <c r="V72" s="1740"/>
      <c r="W72" s="1740"/>
      <c r="X72" s="1740"/>
      <c r="Y72" s="1740"/>
      <c r="Z72" s="1740"/>
      <c r="AA72" s="1740"/>
      <c r="AB72" s="1740"/>
      <c r="AC72" s="1740"/>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6"/>
      <c r="O73" s="1766"/>
      <c r="P73" s="1764"/>
      <c r="Q73" s="1761"/>
      <c r="R73" s="1740"/>
      <c r="S73" s="1740"/>
      <c r="T73" s="1740"/>
      <c r="U73" s="1740"/>
      <c r="V73" s="1740"/>
      <c r="W73" s="1740"/>
      <c r="X73" s="1740"/>
      <c r="Y73" s="1740"/>
      <c r="Z73" s="1740"/>
      <c r="AA73" s="1740"/>
      <c r="AB73" s="1740"/>
      <c r="AC73" s="1740"/>
    </row>
    <row r="74" spans="1:29" ht="15.75" thickTop="1">
      <c r="A74" s="482"/>
      <c r="B74" s="1553" t="s">
        <v>1838</v>
      </c>
      <c r="C74" s="649" t="s">
        <v>525</v>
      </c>
      <c r="D74" s="649" t="s">
        <v>526</v>
      </c>
      <c r="E74" s="649" t="s">
        <v>527</v>
      </c>
      <c r="F74" s="649" t="s">
        <v>528</v>
      </c>
      <c r="G74" s="649" t="s">
        <v>529</v>
      </c>
      <c r="H74" s="616"/>
      <c r="I74" s="616"/>
      <c r="J74" s="616"/>
      <c r="K74" s="617"/>
      <c r="L74" s="618"/>
      <c r="M74" s="619"/>
      <c r="N74" s="1765"/>
      <c r="O74" s="1765"/>
      <c r="P74" s="1764"/>
      <c r="Q74" s="1761"/>
      <c r="R74" s="1740"/>
      <c r="S74" s="1740"/>
      <c r="T74" s="1740"/>
      <c r="U74" s="1740"/>
      <c r="V74" s="1740"/>
      <c r="W74" s="1740"/>
      <c r="X74" s="1740"/>
      <c r="Y74" s="1740"/>
      <c r="Z74" s="1740"/>
      <c r="AA74" s="1740"/>
      <c r="AB74" s="1740"/>
      <c r="AC74" s="1740"/>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6"/>
      <c r="O75" s="1766"/>
      <c r="P75" s="1764"/>
      <c r="Q75" s="1761"/>
      <c r="R75" s="1740"/>
      <c r="S75" s="1740"/>
      <c r="T75" s="1740"/>
      <c r="U75" s="1740"/>
      <c r="V75" s="1740"/>
      <c r="W75" s="1740"/>
      <c r="X75" s="1740"/>
      <c r="Y75" s="1740"/>
      <c r="Z75" s="1740"/>
      <c r="AA75" s="1740"/>
      <c r="AB75" s="1740"/>
      <c r="AC75" s="1740"/>
    </row>
    <row r="76" spans="1:29" ht="15.75" thickTop="1">
      <c r="A76" s="482"/>
      <c r="B76" s="2054" t="s">
        <v>1839</v>
      </c>
      <c r="C76" s="2055" t="s">
        <v>1840</v>
      </c>
      <c r="D76" s="2055" t="s">
        <v>1841</v>
      </c>
      <c r="E76" s="2055" t="s">
        <v>1842</v>
      </c>
      <c r="F76" s="2055" t="s">
        <v>1843</v>
      </c>
      <c r="G76" s="2055" t="s">
        <v>1844</v>
      </c>
      <c r="H76" s="855"/>
      <c r="I76" s="855"/>
      <c r="J76" s="855"/>
      <c r="K76" s="855"/>
      <c r="L76" s="855"/>
      <c r="M76" s="509"/>
      <c r="N76" s="1766"/>
      <c r="O76" s="1766"/>
      <c r="P76" s="1764"/>
      <c r="Q76" s="1761"/>
      <c r="R76" s="1740"/>
      <c r="S76" s="1740"/>
      <c r="T76" s="1740"/>
      <c r="U76" s="1740"/>
      <c r="V76" s="1740"/>
      <c r="W76" s="1740"/>
      <c r="X76" s="1740"/>
      <c r="Y76" s="1740"/>
      <c r="Z76" s="1740"/>
      <c r="AA76" s="1740"/>
      <c r="AB76" s="1740"/>
      <c r="AC76" s="1740"/>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6"/>
      <c r="O77" s="1766"/>
      <c r="P77" s="1764"/>
      <c r="Q77" s="1761"/>
      <c r="R77" s="1740"/>
      <c r="S77" s="1740"/>
      <c r="T77" s="1740"/>
      <c r="U77" s="1740"/>
      <c r="V77" s="1740"/>
      <c r="W77" s="1740"/>
      <c r="X77" s="1740"/>
      <c r="Y77" s="1740"/>
      <c r="Z77" s="1740"/>
      <c r="AA77" s="1740"/>
      <c r="AB77" s="1740"/>
      <c r="AC77" s="1740"/>
    </row>
    <row r="78" spans="1:29" ht="15.75" thickTop="1">
      <c r="A78" s="482"/>
      <c r="B78" s="615" t="s">
        <v>722</v>
      </c>
      <c r="C78" s="649" t="s">
        <v>525</v>
      </c>
      <c r="D78" s="649" t="s">
        <v>526</v>
      </c>
      <c r="E78" s="649" t="s">
        <v>527</v>
      </c>
      <c r="F78" s="649" t="s">
        <v>528</v>
      </c>
      <c r="G78" s="649" t="s">
        <v>529</v>
      </c>
      <c r="H78" s="616"/>
      <c r="I78" s="616"/>
      <c r="J78" s="616"/>
      <c r="K78" s="617"/>
      <c r="L78" s="618"/>
      <c r="M78" s="619"/>
      <c r="N78" s="1765"/>
      <c r="O78" s="1765"/>
      <c r="P78" s="1764"/>
      <c r="Q78" s="1761"/>
      <c r="R78" s="1740"/>
      <c r="S78" s="1740"/>
      <c r="T78" s="1740"/>
      <c r="U78" s="1740"/>
      <c r="V78" s="1740"/>
      <c r="W78" s="1740"/>
      <c r="X78" s="1740"/>
      <c r="Y78" s="1740"/>
      <c r="Z78" s="1740"/>
      <c r="AA78" s="1740"/>
      <c r="AB78" s="1740"/>
      <c r="AC78" s="1740"/>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6"/>
      <c r="O79" s="1766"/>
      <c r="P79" s="1764"/>
      <c r="Q79" s="1761"/>
      <c r="R79" s="1740"/>
      <c r="S79" s="1740"/>
      <c r="T79" s="1740"/>
      <c r="U79" s="1740"/>
      <c r="V79" s="1740"/>
      <c r="W79" s="1740"/>
      <c r="X79" s="1740"/>
      <c r="Y79" s="1740"/>
      <c r="Z79" s="1740"/>
      <c r="AA79" s="1740"/>
      <c r="AB79" s="1740"/>
      <c r="AC79" s="1740"/>
    </row>
    <row r="80" spans="1:29" s="1057" customFormat="1" ht="15.75" thickTop="1">
      <c r="A80" s="486"/>
      <c r="B80" s="615">
        <f>B25</f>
        <v>111</v>
      </c>
      <c r="C80" s="630"/>
      <c r="D80" s="630"/>
      <c r="E80" s="630"/>
      <c r="F80" s="630"/>
      <c r="G80" s="630"/>
      <c r="H80" s="630"/>
      <c r="I80" s="630"/>
      <c r="J80" s="630"/>
      <c r="K80" s="630"/>
      <c r="L80" s="814"/>
      <c r="M80" s="815"/>
      <c r="N80" s="1764"/>
      <c r="O80" s="1764"/>
      <c r="P80" s="1764"/>
      <c r="Q80" s="1761"/>
      <c r="R80" s="1638"/>
      <c r="S80" s="1638"/>
      <c r="T80" s="1638"/>
      <c r="U80" s="1638"/>
      <c r="V80" s="1638"/>
      <c r="W80" s="1638"/>
      <c r="X80" s="1638"/>
      <c r="Y80" s="1638"/>
      <c r="Z80" s="1638"/>
      <c r="AA80" s="1638"/>
      <c r="AB80" s="1638"/>
      <c r="AC80" s="1638"/>
    </row>
    <row r="81" spans="1:29" s="1057" customFormat="1" ht="15.75" thickBot="1">
      <c r="A81" s="486"/>
      <c r="B81" s="620"/>
      <c r="C81" s="634"/>
      <c r="D81" s="613"/>
      <c r="E81" s="613"/>
      <c r="F81" s="613"/>
      <c r="G81" s="613"/>
      <c r="H81" s="613"/>
      <c r="I81" s="613"/>
      <c r="J81" s="613"/>
      <c r="K81" s="613"/>
      <c r="L81" s="613"/>
      <c r="M81" s="614"/>
      <c r="N81" s="1766"/>
      <c r="O81" s="1766"/>
      <c r="P81" s="1764"/>
      <c r="Q81" s="1761"/>
      <c r="R81" s="1638"/>
      <c r="S81" s="1638"/>
      <c r="T81" s="1638"/>
      <c r="U81" s="1638"/>
      <c r="V81" s="1638"/>
      <c r="W81" s="1638"/>
      <c r="X81" s="1638"/>
      <c r="Y81" s="1638"/>
      <c r="Z81" s="1638"/>
      <c r="AA81" s="1638"/>
      <c r="AB81" s="1638"/>
      <c r="AC81" s="1638"/>
    </row>
    <row r="82" spans="1:29" s="1057" customFormat="1" ht="15.75" thickTop="1">
      <c r="A82" s="486"/>
      <c r="B82" s="615">
        <f>B26</f>
        <v>111</v>
      </c>
      <c r="C82" s="630"/>
      <c r="D82" s="630"/>
      <c r="E82" s="630"/>
      <c r="F82" s="630"/>
      <c r="G82" s="630"/>
      <c r="H82" s="630"/>
      <c r="I82" s="630"/>
      <c r="J82" s="630"/>
      <c r="K82" s="630"/>
      <c r="L82" s="814"/>
      <c r="M82" s="815"/>
      <c r="N82" s="1764"/>
      <c r="O82" s="1764"/>
      <c r="P82" s="1764"/>
      <c r="Q82" s="1761"/>
      <c r="R82" s="1638"/>
      <c r="S82" s="1638"/>
      <c r="T82" s="1638"/>
      <c r="U82" s="1638"/>
      <c r="V82" s="1638"/>
      <c r="W82" s="1638"/>
      <c r="X82" s="1638"/>
      <c r="Y82" s="1638"/>
      <c r="Z82" s="1638"/>
      <c r="AA82" s="1638"/>
      <c r="AB82" s="1638"/>
      <c r="AC82" s="1638"/>
    </row>
    <row r="83" spans="1:29" s="1057" customFormat="1" ht="15.75" thickBot="1">
      <c r="A83" s="486"/>
      <c r="B83" s="620"/>
      <c r="C83" s="634"/>
      <c r="D83" s="613"/>
      <c r="E83" s="613"/>
      <c r="F83" s="613"/>
      <c r="G83" s="613"/>
      <c r="H83" s="613"/>
      <c r="I83" s="613"/>
      <c r="J83" s="613"/>
      <c r="K83" s="613"/>
      <c r="L83" s="613"/>
      <c r="M83" s="614"/>
      <c r="N83" s="1766"/>
      <c r="O83" s="1766"/>
      <c r="P83" s="1764"/>
      <c r="Q83" s="1761"/>
      <c r="R83" s="1638"/>
      <c r="S83" s="1638"/>
      <c r="T83" s="1638"/>
      <c r="U83" s="1638"/>
      <c r="V83" s="1638"/>
      <c r="W83" s="1638"/>
      <c r="X83" s="1638"/>
      <c r="Y83" s="1638"/>
      <c r="Z83" s="1638"/>
      <c r="AA83" s="1638"/>
      <c r="AB83" s="1638"/>
      <c r="AC83" s="1638"/>
    </row>
    <row r="84" spans="1:29" s="1131" customFormat="1" ht="15.75" thickTop="1">
      <c r="A84" s="629"/>
      <c r="B84" s="615">
        <f>B27</f>
        <v>111</v>
      </c>
      <c r="C84" s="630"/>
      <c r="D84" s="630"/>
      <c r="E84" s="630"/>
      <c r="F84" s="630"/>
      <c r="G84" s="630"/>
      <c r="H84" s="630"/>
      <c r="I84" s="630"/>
      <c r="J84" s="630"/>
      <c r="K84" s="630"/>
      <c r="L84" s="814"/>
      <c r="M84" s="815"/>
      <c r="N84" s="1767"/>
      <c r="O84" s="1767"/>
      <c r="P84" s="1767"/>
      <c r="Q84" s="1768"/>
      <c r="R84" s="1769"/>
      <c r="S84" s="1769"/>
      <c r="T84" s="1769"/>
      <c r="U84" s="1769"/>
      <c r="V84" s="1769"/>
      <c r="W84" s="1769"/>
      <c r="X84" s="1769"/>
      <c r="Y84" s="1769"/>
      <c r="Z84" s="1769"/>
      <c r="AA84" s="1769"/>
      <c r="AB84" s="1769"/>
      <c r="AC84" s="1769"/>
    </row>
    <row r="85" spans="1:29" s="1131" customFormat="1" ht="15.75" thickBot="1">
      <c r="A85" s="629"/>
      <c r="B85" s="620"/>
      <c r="C85" s="634"/>
      <c r="D85" s="613"/>
      <c r="E85" s="613"/>
      <c r="F85" s="613"/>
      <c r="G85" s="613"/>
      <c r="H85" s="613"/>
      <c r="I85" s="613"/>
      <c r="J85" s="613"/>
      <c r="K85" s="613"/>
      <c r="L85" s="613"/>
      <c r="M85" s="614"/>
      <c r="N85" s="1767"/>
      <c r="O85" s="1767"/>
      <c r="P85" s="1767"/>
      <c r="Q85" s="1768"/>
      <c r="R85" s="1769"/>
      <c r="S85" s="1769"/>
      <c r="T85" s="1769"/>
      <c r="U85" s="1769"/>
      <c r="V85" s="1769"/>
      <c r="W85" s="1769"/>
      <c r="X85" s="1769"/>
      <c r="Y85" s="1769"/>
      <c r="Z85" s="1769"/>
      <c r="AA85" s="1769"/>
      <c r="AB85" s="1769"/>
      <c r="AC85" s="1769"/>
    </row>
    <row r="86" spans="1:29" ht="15.75" thickTop="1">
      <c r="A86" s="482"/>
      <c r="B86" s="623">
        <f>B28</f>
        <v>111</v>
      </c>
      <c r="C86" s="80"/>
      <c r="D86" s="80"/>
      <c r="E86" s="80"/>
      <c r="F86" s="80"/>
      <c r="G86" s="662"/>
      <c r="H86" s="662"/>
      <c r="I86" s="662"/>
      <c r="J86" s="662"/>
      <c r="K86" s="663"/>
      <c r="L86" s="664"/>
      <c r="M86" s="665"/>
      <c r="N86" s="1765"/>
      <c r="O86" s="1765"/>
      <c r="P86" s="1764"/>
      <c r="Q86" s="1761"/>
      <c r="R86" s="1740"/>
      <c r="S86" s="1740"/>
      <c r="T86" s="1740"/>
      <c r="U86" s="1740"/>
      <c r="V86" s="1740"/>
      <c r="W86" s="1740"/>
      <c r="X86" s="1740"/>
      <c r="Y86" s="1740"/>
      <c r="Z86" s="1740"/>
      <c r="AA86" s="1740"/>
      <c r="AB86" s="1740"/>
      <c r="AC86" s="1740"/>
    </row>
    <row r="87" spans="1:29" ht="15.75" thickBot="1">
      <c r="A87" s="493"/>
      <c r="B87" s="641"/>
      <c r="C87" s="642"/>
      <c r="D87" s="642"/>
      <c r="E87" s="642"/>
      <c r="F87" s="642"/>
      <c r="G87" s="666"/>
      <c r="H87" s="666"/>
      <c r="I87" s="666"/>
      <c r="J87" s="666"/>
      <c r="K87" s="666"/>
      <c r="L87" s="666"/>
      <c r="M87" s="667"/>
      <c r="N87" s="1766"/>
      <c r="O87" s="1766"/>
      <c r="P87" s="1764"/>
      <c r="Q87" s="1761"/>
      <c r="R87" s="1740"/>
      <c r="S87" s="1740"/>
      <c r="T87" s="1740"/>
      <c r="U87" s="1740"/>
      <c r="V87" s="1740"/>
      <c r="W87" s="1740"/>
      <c r="X87" s="1740"/>
      <c r="Y87" s="1740"/>
      <c r="Z87" s="1740"/>
      <c r="AA87" s="1740"/>
      <c r="AB87" s="1740"/>
      <c r="AC87" s="1740"/>
    </row>
    <row r="88" spans="1:29">
      <c r="A88" s="607" t="s">
        <v>498</v>
      </c>
      <c r="B88" s="608" t="s">
        <v>685</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2"/>
      <c r="B90" s="615" t="s">
        <v>686</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4"/>
      <c r="O90" s="1764"/>
      <c r="P90" s="1764"/>
      <c r="Q90" s="1761"/>
      <c r="R90" s="1740"/>
      <c r="S90" s="1740"/>
      <c r="T90" s="1740"/>
      <c r="U90" s="1740"/>
      <c r="V90" s="1740"/>
      <c r="W90" s="1740"/>
      <c r="X90" s="1740"/>
      <c r="Y90" s="1740"/>
      <c r="Z90" s="1740"/>
      <c r="AA90" s="1740"/>
      <c r="AB90" s="1740"/>
      <c r="AC90" s="1740"/>
    </row>
    <row r="91" spans="1:29" s="1131" customFormat="1">
      <c r="A91" s="552"/>
      <c r="B91" s="668"/>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9"/>
      <c r="B92" s="620"/>
      <c r="C92" s="634"/>
      <c r="D92" s="613"/>
      <c r="E92" s="613"/>
      <c r="F92" s="613"/>
      <c r="G92" s="613"/>
      <c r="H92" s="613"/>
      <c r="I92" s="613"/>
      <c r="J92" s="613"/>
      <c r="K92" s="613"/>
      <c r="L92" s="613"/>
      <c r="M92" s="614"/>
      <c r="N92" s="1766"/>
      <c r="O92" s="1766"/>
      <c r="P92" s="1767"/>
      <c r="Q92" s="1768"/>
      <c r="R92" s="1769"/>
      <c r="S92" s="1769"/>
      <c r="T92" s="1769"/>
      <c r="U92" s="1769"/>
      <c r="V92" s="1769"/>
      <c r="W92" s="1769"/>
      <c r="X92" s="1769"/>
      <c r="Y92" s="1769"/>
      <c r="Z92" s="1769"/>
      <c r="AA92" s="1769"/>
      <c r="AB92" s="1769"/>
      <c r="AC92" s="1769"/>
    </row>
    <row r="93" spans="1:29" ht="15" thickTop="1">
      <c r="A93" s="543"/>
      <c r="B93" s="615" t="s">
        <v>687</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689</v>
      </c>
      <c r="C95" s="630"/>
      <c r="D95" s="630"/>
      <c r="E95" s="630"/>
      <c r="F95" s="658"/>
      <c r="G95" s="658"/>
      <c r="H95" s="658"/>
      <c r="I95" s="658"/>
      <c r="J95" s="658"/>
      <c r="K95" s="659"/>
      <c r="L95" s="660"/>
      <c r="M95" s="66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3"/>
      <c r="B97" s="615" t="s">
        <v>690</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5"/>
      <c r="O97" s="1765"/>
      <c r="P97" s="1764"/>
      <c r="Q97" s="1761"/>
      <c r="R97" s="1740"/>
      <c r="S97" s="1740"/>
      <c r="T97" s="1740"/>
      <c r="U97" s="1740"/>
      <c r="V97" s="1740"/>
      <c r="W97" s="1740"/>
      <c r="X97" s="1740"/>
      <c r="Y97" s="1740"/>
      <c r="Z97" s="1740"/>
      <c r="AA97" s="1740"/>
      <c r="AB97" s="1740"/>
      <c r="AC97" s="1740"/>
    </row>
    <row r="98" spans="1:29">
      <c r="A98" s="543"/>
      <c r="B98" s="623"/>
      <c r="C98" s="817">
        <v>0.5</v>
      </c>
      <c r="D98" s="817">
        <v>0.6</v>
      </c>
      <c r="E98" s="817">
        <v>0.7</v>
      </c>
      <c r="F98" s="817">
        <v>0.8</v>
      </c>
      <c r="G98" s="817">
        <v>0.9</v>
      </c>
      <c r="H98" s="817">
        <v>1.0001</v>
      </c>
      <c r="I98" s="827"/>
      <c r="J98" s="827"/>
      <c r="K98" s="828"/>
      <c r="L98" s="829"/>
      <c r="M98" s="830"/>
      <c r="N98" s="1765"/>
      <c r="O98" s="1765"/>
      <c r="P98" s="1764"/>
      <c r="Q98" s="1761"/>
      <c r="R98" s="1740"/>
      <c r="S98" s="1740"/>
      <c r="T98" s="1740"/>
      <c r="U98" s="1740"/>
      <c r="V98" s="1740"/>
      <c r="W98" s="1740"/>
      <c r="X98" s="1740"/>
      <c r="Y98" s="1740"/>
      <c r="Z98" s="1740"/>
      <c r="AA98" s="1740"/>
      <c r="AB98" s="1740"/>
      <c r="AC98" s="1740"/>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6"/>
      <c r="O99" s="1766"/>
      <c r="P99" s="1764"/>
      <c r="Q99" s="1761"/>
      <c r="R99" s="1740"/>
      <c r="S99" s="1740"/>
      <c r="T99" s="1740"/>
      <c r="U99" s="1740"/>
      <c r="V99" s="1740"/>
      <c r="W99" s="1740"/>
      <c r="X99" s="1740"/>
      <c r="Y99" s="1740"/>
      <c r="Z99" s="1740"/>
      <c r="AA99" s="1740"/>
      <c r="AB99" s="1740"/>
      <c r="AC99" s="1740"/>
    </row>
    <row r="100" spans="1:29" s="1131" customFormat="1" ht="15" thickTop="1">
      <c r="A100" s="552"/>
      <c r="B100" s="615" t="s">
        <v>691</v>
      </c>
      <c r="C100" s="630"/>
      <c r="D100" s="630"/>
      <c r="E100" s="630"/>
      <c r="F100" s="630"/>
      <c r="G100" s="630"/>
      <c r="H100" s="658"/>
      <c r="I100" s="658"/>
      <c r="J100" s="658"/>
      <c r="K100" s="659"/>
      <c r="L100" s="660"/>
      <c r="M100" s="661"/>
      <c r="N100" s="1767"/>
      <c r="O100" s="1767"/>
      <c r="P100" s="1767"/>
      <c r="Q100" s="1768"/>
      <c r="R100" s="1769"/>
      <c r="S100" s="1769"/>
      <c r="T100" s="1769"/>
      <c r="U100" s="1769"/>
      <c r="V100" s="1769"/>
      <c r="W100" s="1769"/>
      <c r="X100" s="1769"/>
      <c r="Y100" s="1769"/>
      <c r="Z100" s="1769"/>
      <c r="AA100" s="1769"/>
      <c r="AB100" s="1769"/>
      <c r="AC100" s="1769"/>
    </row>
    <row r="101" spans="1:29" s="1131"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3"/>
      <c r="B102" s="1553" t="s">
        <v>1837</v>
      </c>
      <c r="C102" s="630"/>
      <c r="D102" s="630"/>
      <c r="E102" s="630"/>
      <c r="F102" s="630"/>
      <c r="G102" s="630"/>
      <c r="H102" s="658"/>
      <c r="I102" s="658"/>
      <c r="J102" s="658"/>
      <c r="K102" s="659"/>
      <c r="L102" s="660"/>
      <c r="M102" s="661"/>
      <c r="N102" s="1765"/>
      <c r="O102" s="1765"/>
      <c r="P102" s="1764"/>
      <c r="Q102" s="1761"/>
      <c r="R102" s="1740"/>
      <c r="S102" s="1740"/>
      <c r="T102" s="1740"/>
      <c r="U102" s="1740"/>
      <c r="V102" s="1740"/>
      <c r="W102" s="1740"/>
      <c r="X102" s="1740"/>
      <c r="Y102" s="1740"/>
      <c r="Z102" s="1740"/>
      <c r="AA102" s="1740"/>
      <c r="AB102" s="1740"/>
      <c r="AC102" s="1740"/>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3"/>
      <c r="B104" s="615" t="s">
        <v>693</v>
      </c>
      <c r="C104" s="630"/>
      <c r="D104" s="630"/>
      <c r="E104" s="630"/>
      <c r="F104" s="630"/>
      <c r="G104" s="630"/>
      <c r="H104" s="658"/>
      <c r="I104" s="658"/>
      <c r="J104" s="658"/>
      <c r="K104" s="659"/>
      <c r="L104" s="660"/>
      <c r="M104" s="661"/>
      <c r="N104" s="1765"/>
      <c r="O104" s="1765"/>
      <c r="P104" s="1764"/>
      <c r="Q104" s="1761"/>
      <c r="R104" s="1740"/>
      <c r="S104" s="1740"/>
      <c r="T104" s="1740"/>
      <c r="U104" s="1740"/>
      <c r="V104" s="1740"/>
      <c r="W104" s="1740"/>
      <c r="X104" s="1740"/>
      <c r="Y104" s="1740"/>
      <c r="Z104" s="1740"/>
      <c r="AA104" s="1740"/>
      <c r="AB104" s="1740"/>
      <c r="AC104" s="1740"/>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6"/>
      <c r="O105" s="1766"/>
      <c r="P105" s="1764"/>
      <c r="Q105" s="1761"/>
      <c r="R105" s="1740"/>
      <c r="S105" s="1740"/>
      <c r="T105" s="1740"/>
      <c r="U105" s="1740"/>
      <c r="V105" s="1740"/>
      <c r="W105" s="1740"/>
      <c r="X105" s="1740"/>
      <c r="Y105" s="1740"/>
      <c r="Z105" s="1740"/>
      <c r="AA105" s="1740"/>
      <c r="AB105" s="1740"/>
      <c r="AC105" s="1740"/>
    </row>
    <row r="106" spans="1:29" ht="27.75" thickTop="1">
      <c r="A106" s="543"/>
      <c r="B106" s="838" t="s">
        <v>729</v>
      </c>
      <c r="C106" s="649" t="s">
        <v>525</v>
      </c>
      <c r="D106" s="649" t="s">
        <v>526</v>
      </c>
      <c r="E106" s="649" t="s">
        <v>527</v>
      </c>
      <c r="F106" s="649" t="s">
        <v>528</v>
      </c>
      <c r="G106" s="649" t="s">
        <v>529</v>
      </c>
      <c r="H106" s="616"/>
      <c r="I106" s="616"/>
      <c r="J106" s="616"/>
      <c r="K106" s="617"/>
      <c r="L106" s="618"/>
      <c r="M106" s="619"/>
      <c r="N106" s="1766"/>
      <c r="O106" s="1766"/>
      <c r="P106" s="1766"/>
      <c r="Q106" s="1801"/>
      <c r="R106" s="1740"/>
      <c r="S106" s="1740"/>
      <c r="T106" s="1740"/>
      <c r="U106" s="1740"/>
      <c r="V106" s="1740"/>
      <c r="W106" s="1740"/>
      <c r="X106" s="1740"/>
      <c r="Y106" s="1740"/>
      <c r="Z106" s="1740"/>
      <c r="AA106" s="1740"/>
      <c r="AB106" s="1740"/>
      <c r="AC106" s="1740"/>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6"/>
      <c r="O107" s="1766"/>
      <c r="P107" s="1764"/>
      <c r="Q107" s="1761"/>
      <c r="R107" s="1740"/>
      <c r="S107" s="1740"/>
      <c r="T107" s="1740"/>
      <c r="U107" s="1740"/>
      <c r="V107" s="1740"/>
      <c r="W107" s="1740"/>
      <c r="X107" s="1740"/>
      <c r="Y107" s="1740"/>
      <c r="Z107" s="1740"/>
      <c r="AA107" s="1740"/>
      <c r="AB107" s="1740"/>
      <c r="AC107" s="1740"/>
    </row>
    <row r="108" spans="1:29" s="1131" customFormat="1" ht="15" thickTop="1">
      <c r="A108" s="552"/>
      <c r="B108" s="615">
        <f>B38</f>
        <v>111</v>
      </c>
      <c r="C108" s="630"/>
      <c r="D108" s="630"/>
      <c r="E108" s="630"/>
      <c r="F108" s="630"/>
      <c r="G108" s="630"/>
      <c r="H108" s="631"/>
      <c r="I108" s="631"/>
      <c r="J108" s="631"/>
      <c r="K108" s="631"/>
      <c r="L108" s="632"/>
      <c r="M108" s="633"/>
      <c r="N108" s="1767"/>
      <c r="O108" s="1767"/>
      <c r="P108" s="1767"/>
      <c r="Q108" s="1768"/>
      <c r="R108" s="1769"/>
      <c r="S108" s="1769"/>
      <c r="T108" s="1769"/>
      <c r="U108" s="1769"/>
      <c r="V108" s="1769"/>
      <c r="W108" s="1769"/>
      <c r="X108" s="1769"/>
      <c r="Y108" s="1769"/>
      <c r="Z108" s="1769"/>
      <c r="AA108" s="1769"/>
      <c r="AB108" s="1769"/>
      <c r="AC108" s="1769"/>
    </row>
    <row r="109" spans="1:29" s="1131" customFormat="1" ht="15.75" thickBot="1">
      <c r="A109" s="629"/>
      <c r="B109" s="612"/>
      <c r="C109" s="634"/>
      <c r="D109" s="613"/>
      <c r="E109" s="613"/>
      <c r="F109" s="613"/>
      <c r="G109" s="634"/>
      <c r="H109" s="635"/>
      <c r="I109" s="635"/>
      <c r="J109" s="635"/>
      <c r="K109" s="635"/>
      <c r="L109" s="635"/>
      <c r="M109" s="636"/>
      <c r="N109" s="1767"/>
      <c r="O109" s="1767"/>
      <c r="P109" s="1767"/>
      <c r="Q109" s="1768"/>
      <c r="R109" s="1769"/>
      <c r="S109" s="1769"/>
      <c r="T109" s="1769"/>
      <c r="U109" s="1769"/>
      <c r="V109" s="1769"/>
      <c r="W109" s="1769"/>
      <c r="X109" s="1769"/>
      <c r="Y109" s="1769"/>
      <c r="Z109" s="1769"/>
      <c r="AA109" s="1769"/>
      <c r="AB109" s="1769"/>
      <c r="AC109" s="1769"/>
    </row>
    <row r="110" spans="1:29" ht="15" thickTop="1">
      <c r="A110" s="543"/>
      <c r="B110" s="615">
        <f>B39</f>
        <v>111</v>
      </c>
      <c r="C110" s="630"/>
      <c r="D110" s="630"/>
      <c r="E110" s="630"/>
      <c r="F110" s="630"/>
      <c r="G110" s="630"/>
      <c r="H110" s="631"/>
      <c r="I110" s="631"/>
      <c r="J110" s="631"/>
      <c r="K110" s="631"/>
      <c r="L110" s="632"/>
      <c r="M110" s="633"/>
      <c r="N110" s="1765"/>
      <c r="O110" s="1765"/>
      <c r="P110" s="1764"/>
      <c r="Q110" s="1761"/>
      <c r="R110" s="1740"/>
      <c r="S110" s="1740"/>
      <c r="T110" s="1740"/>
      <c r="U110" s="1740"/>
      <c r="V110" s="1740"/>
      <c r="W110" s="1740"/>
      <c r="X110" s="1740"/>
      <c r="Y110" s="1740"/>
      <c r="Z110" s="1740"/>
      <c r="AA110" s="1740"/>
      <c r="AB110" s="1740"/>
      <c r="AC110" s="1740"/>
    </row>
    <row r="111" spans="1:29" ht="15.75" thickBot="1">
      <c r="A111" s="482"/>
      <c r="B111" s="620"/>
      <c r="C111" s="634"/>
      <c r="D111" s="613"/>
      <c r="E111" s="613"/>
      <c r="F111" s="613"/>
      <c r="G111" s="634"/>
      <c r="H111" s="635"/>
      <c r="I111" s="635"/>
      <c r="J111" s="635"/>
      <c r="K111" s="635"/>
      <c r="L111" s="635"/>
      <c r="M111" s="636"/>
      <c r="N111" s="1766"/>
      <c r="O111" s="1766"/>
      <c r="P111" s="1764"/>
      <c r="Q111" s="1761"/>
      <c r="R111" s="1740"/>
      <c r="S111" s="1740"/>
      <c r="T111" s="1740"/>
      <c r="U111" s="1740"/>
      <c r="V111" s="1740"/>
      <c r="W111" s="1740"/>
      <c r="X111" s="1740"/>
      <c r="Y111" s="1740"/>
      <c r="Z111" s="1740"/>
      <c r="AA111" s="1740"/>
      <c r="AB111" s="1740"/>
      <c r="AC111" s="1740"/>
    </row>
    <row r="112" spans="1:29" ht="15" thickTop="1">
      <c r="A112" s="543"/>
      <c r="B112" s="623">
        <f>B40</f>
        <v>111</v>
      </c>
      <c r="C112" s="80"/>
      <c r="D112" s="80"/>
      <c r="E112" s="80"/>
      <c r="F112" s="80"/>
      <c r="G112" s="662"/>
      <c r="H112" s="662"/>
      <c r="I112" s="662"/>
      <c r="J112" s="662"/>
      <c r="K112" s="80"/>
      <c r="L112" s="605"/>
      <c r="M112" s="665"/>
      <c r="N112" s="1765"/>
      <c r="O112" s="1765"/>
      <c r="P112" s="1764"/>
      <c r="Q112" s="1761"/>
      <c r="R112" s="1740"/>
      <c r="S112" s="1740"/>
      <c r="T112" s="1740"/>
      <c r="U112" s="1740"/>
      <c r="V112" s="1740"/>
      <c r="W112" s="1740"/>
      <c r="X112" s="1740"/>
      <c r="Y112" s="1740"/>
      <c r="Z112" s="1740"/>
      <c r="AA112" s="1740"/>
      <c r="AB112" s="1740"/>
      <c r="AC112" s="1740"/>
    </row>
    <row r="113" spans="1:29" ht="15.75" thickBot="1">
      <c r="A113" s="493"/>
      <c r="B113" s="641"/>
      <c r="C113" s="642"/>
      <c r="D113" s="642"/>
      <c r="E113" s="642"/>
      <c r="F113" s="642"/>
      <c r="G113" s="666"/>
      <c r="H113" s="666"/>
      <c r="I113" s="666"/>
      <c r="J113" s="666"/>
      <c r="K113" s="666"/>
      <c r="L113" s="666"/>
      <c r="M113" s="667"/>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663</v>
      </c>
      <c r="B1" s="844"/>
      <c r="C1" s="455" t="s">
        <v>730</v>
      </c>
      <c r="D1" s="783"/>
      <c r="E1" s="457"/>
      <c r="F1" s="2116"/>
      <c r="G1" s="1326" t="s">
        <v>731</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732</v>
      </c>
      <c r="B2" s="784" t="e">
        <f>IF(B37="元/平方米",ROUND(B3*D3/10000,0),ROUND(F3*C39/10000,0))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733</v>
      </c>
      <c r="B3" s="461" t="e">
        <f>IF(B37="元/平方米",C39,ROUND(B2*10000/D3,0))</f>
        <v>#DIV/0!</v>
      </c>
      <c r="C3" s="786" t="s">
        <v>734</v>
      </c>
      <c r="D3" s="785">
        <f>SUMIF('数据-汇总表'!$C19:$C33,D1,'数据-汇总表'!$E19:$E33)</f>
        <v>0</v>
      </c>
      <c r="E3" s="1535" t="s">
        <v>1592</v>
      </c>
      <c r="F3" s="785">
        <f>SUMIF('数据-取费表'!A5:A15,D1,'数据-取费表'!AH5:AH15)</f>
        <v>0</v>
      </c>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735</v>
      </c>
      <c r="B4" s="464"/>
      <c r="C4" s="3604" t="s">
        <v>736</v>
      </c>
      <c r="D4" s="3605"/>
      <c r="E4" s="3604" t="s">
        <v>737</v>
      </c>
      <c r="F4" s="3605"/>
      <c r="G4" s="3604" t="s">
        <v>738</v>
      </c>
      <c r="H4" s="3605"/>
      <c r="I4" s="3604" t="s">
        <v>739</v>
      </c>
      <c r="J4" s="3605"/>
      <c r="K4" s="465" t="s">
        <v>740</v>
      </c>
      <c r="L4" s="1739"/>
      <c r="M4" s="1740"/>
      <c r="N4" s="1740"/>
      <c r="O4" s="1740"/>
      <c r="P4" s="3606" t="s">
        <v>741</v>
      </c>
      <c r="Q4" s="3607"/>
      <c r="R4" s="3612" t="s">
        <v>737</v>
      </c>
      <c r="S4" s="3613"/>
      <c r="T4" s="3612" t="s">
        <v>738</v>
      </c>
      <c r="U4" s="3613"/>
      <c r="V4" s="3599" t="s">
        <v>739</v>
      </c>
      <c r="W4" s="3599"/>
      <c r="X4" s="1300"/>
      <c r="Y4" s="3612" t="s">
        <v>741</v>
      </c>
      <c r="Z4" s="3613"/>
      <c r="AA4" s="3601" t="s">
        <v>737</v>
      </c>
      <c r="AB4" s="3602" t="s">
        <v>738</v>
      </c>
      <c r="AC4" s="3601" t="s">
        <v>739</v>
      </c>
    </row>
    <row r="5" spans="1:29" ht="15">
      <c r="A5" s="466"/>
      <c r="B5" s="467"/>
      <c r="C5" s="3620" t="s">
        <v>2180</v>
      </c>
      <c r="D5" s="3621"/>
      <c r="E5" s="3620" t="s">
        <v>2181</v>
      </c>
      <c r="F5" s="3621"/>
      <c r="G5" s="3620" t="s">
        <v>2182</v>
      </c>
      <c r="H5" s="3621"/>
      <c r="I5" s="3620" t="s">
        <v>2183</v>
      </c>
      <c r="J5" s="3621"/>
      <c r="K5" s="465"/>
      <c r="L5" s="1739"/>
      <c r="M5" s="1740"/>
      <c r="N5" s="1740"/>
      <c r="O5" s="1740"/>
      <c r="P5" s="3608"/>
      <c r="Q5" s="3609"/>
      <c r="R5" s="3614"/>
      <c r="S5" s="3615"/>
      <c r="T5" s="3614"/>
      <c r="U5" s="3615"/>
      <c r="V5" s="3599"/>
      <c r="W5" s="3599"/>
      <c r="X5" s="1300"/>
      <c r="Y5" s="3614"/>
      <c r="Z5" s="3615"/>
      <c r="AA5" s="3602"/>
      <c r="AB5" s="3602"/>
      <c r="AC5" s="3602"/>
    </row>
    <row r="6" spans="1:29" ht="15.75" thickBot="1">
      <c r="A6" s="468"/>
      <c r="B6" s="469"/>
      <c r="C6" s="3618" t="s">
        <v>2184</v>
      </c>
      <c r="D6" s="3619"/>
      <c r="E6" s="3622" t="s">
        <v>2184</v>
      </c>
      <c r="F6" s="3623"/>
      <c r="G6" s="3618" t="s">
        <v>2184</v>
      </c>
      <c r="H6" s="3619"/>
      <c r="I6" s="3618" t="s">
        <v>2184</v>
      </c>
      <c r="J6" s="3619"/>
      <c r="K6" s="465" t="s">
        <v>475</v>
      </c>
      <c r="L6" s="1739"/>
      <c r="M6" s="1740"/>
      <c r="N6" s="1740"/>
      <c r="O6" s="1740"/>
      <c r="P6" s="3610"/>
      <c r="Q6" s="3611"/>
      <c r="R6" s="3614"/>
      <c r="S6" s="3615"/>
      <c r="T6" s="3616"/>
      <c r="U6" s="3617"/>
      <c r="V6" s="3599"/>
      <c r="W6" s="3599"/>
      <c r="X6" s="1300"/>
      <c r="Y6" s="3616"/>
      <c r="Z6" s="3617"/>
      <c r="AA6" s="3603"/>
      <c r="AB6" s="3603"/>
      <c r="AC6" s="3603"/>
    </row>
    <row r="7" spans="1:29" s="1057" customFormat="1" ht="15.75" thickBot="1">
      <c r="A7" s="2207"/>
      <c r="B7" s="2214" t="s">
        <v>476</v>
      </c>
      <c r="C7" s="470">
        <f>'数据-取费表'!B2</f>
        <v>45817</v>
      </c>
      <c r="D7" s="471">
        <v>100</v>
      </c>
      <c r="E7" s="472"/>
      <c r="F7" s="473">
        <f>SUMIF(48:48,YEAR(E7)&amp;"-"&amp;MONTH(E7),49:49)</f>
        <v>0</v>
      </c>
      <c r="G7" s="474"/>
      <c r="H7" s="471">
        <f>SUMIF(48:48,YEAR(G7)&amp;"-"&amp;MONTH(G7),49:49)</f>
        <v>0</v>
      </c>
      <c r="I7" s="474"/>
      <c r="J7" s="471">
        <f>SUMIF(48:48,YEAR(I7)&amp;"-"&amp;MONTH(I7),49:49)</f>
        <v>0</v>
      </c>
      <c r="K7" s="88"/>
      <c r="L7" s="1741"/>
      <c r="M7" s="1638"/>
      <c r="N7" s="1638"/>
      <c r="O7" s="1638"/>
      <c r="P7" s="3628" t="s">
        <v>477</v>
      </c>
      <c r="Q7" s="3630"/>
      <c r="R7" s="1301" t="s">
        <v>5</v>
      </c>
      <c r="S7" s="1302">
        <f t="shared" ref="S7:S14" si="0">F7</f>
        <v>0</v>
      </c>
      <c r="T7" s="1301" t="s">
        <v>5</v>
      </c>
      <c r="U7" s="1302">
        <f t="shared" ref="U7:U14" si="1">H7</f>
        <v>0</v>
      </c>
      <c r="V7" s="1301" t="s">
        <v>5</v>
      </c>
      <c r="W7" s="1302">
        <f t="shared" ref="W7:W14" si="2">J7</f>
        <v>0</v>
      </c>
      <c r="X7" s="1303"/>
      <c r="Y7" s="3628" t="s">
        <v>477</v>
      </c>
      <c r="Z7" s="3629"/>
      <c r="AA7" s="994" t="e">
        <f>D7/F7</f>
        <v>#DIV/0!</v>
      </c>
      <c r="AB7" s="994" t="e">
        <f>D7/H7</f>
        <v>#DIV/0!</v>
      </c>
      <c r="AC7" s="994" t="e">
        <f>D7/J7</f>
        <v>#DIV/0!</v>
      </c>
    </row>
    <row r="8" spans="1:29" s="1057" customFormat="1" ht="15.75" thickBot="1">
      <c r="A8" s="2208"/>
      <c r="B8" s="2215" t="s">
        <v>478</v>
      </c>
      <c r="C8" s="475" t="s">
        <v>522</v>
      </c>
      <c r="D8" s="471">
        <v>100</v>
      </c>
      <c r="E8" s="475"/>
      <c r="F8" s="473">
        <f>SUMIF(51:51,E8,52:52)-SUMIF(51:51,C8,52:52)+100</f>
        <v>0</v>
      </c>
      <c r="G8" s="475"/>
      <c r="H8" s="471">
        <f>SUMIF(51:51,G8,52:52)-SUMIF(51:51,C8,52:52)+100</f>
        <v>0</v>
      </c>
      <c r="I8" s="475"/>
      <c r="J8" s="471">
        <f>SUMIF(51:51,I8,52:52)-SUMIF(51:51,C8,52:52)+100</f>
        <v>0</v>
      </c>
      <c r="K8" s="88"/>
      <c r="L8" s="1741"/>
      <c r="M8" s="1638"/>
      <c r="N8" s="1638"/>
      <c r="O8" s="1638"/>
      <c r="P8" s="3628" t="s">
        <v>480</v>
      </c>
      <c r="Q8" s="3629"/>
      <c r="R8" s="1301" t="s">
        <v>5</v>
      </c>
      <c r="S8" s="1302">
        <f t="shared" si="0"/>
        <v>0</v>
      </c>
      <c r="T8" s="1301" t="s">
        <v>5</v>
      </c>
      <c r="U8" s="1302">
        <f t="shared" si="1"/>
        <v>0</v>
      </c>
      <c r="V8" s="1301" t="s">
        <v>5</v>
      </c>
      <c r="W8" s="1302">
        <f t="shared" si="2"/>
        <v>0</v>
      </c>
      <c r="X8" s="1303"/>
      <c r="Y8" s="3628" t="s">
        <v>480</v>
      </c>
      <c r="Z8" s="3629"/>
      <c r="AA8" s="994" t="e">
        <f t="shared" ref="AA8:AA36" si="3">D8/F8</f>
        <v>#DIV/0!</v>
      </c>
      <c r="AB8" s="994" t="e">
        <f t="shared" ref="AB8:AB36" si="4">D8/H8</f>
        <v>#DIV/0!</v>
      </c>
      <c r="AC8" s="994" t="e">
        <f t="shared" ref="AC8:AC36" si="5">D8/J8</f>
        <v>#DIV/0!</v>
      </c>
    </row>
    <row r="9" spans="1:29" s="1057" customFormat="1" ht="15">
      <c r="A9" s="2209"/>
      <c r="B9" s="2216" t="s">
        <v>2036</v>
      </c>
      <c r="C9" s="791"/>
      <c r="D9" s="154">
        <v>100</v>
      </c>
      <c r="E9" s="793"/>
      <c r="F9" s="154">
        <f>SUMIF(53:53,E9,54:54)-SUMIF(53:53,C9,54:54)+100</f>
        <v>100</v>
      </c>
      <c r="G9" s="792"/>
      <c r="H9" s="154">
        <f>SUMIF(53:53,G9,54:54)-SUMIF(53:53,C9,54:54)+100</f>
        <v>100</v>
      </c>
      <c r="I9" s="792"/>
      <c r="J9" s="154">
        <f>SUMIF(53:53,I9,54:54)-SUMIF(53:53,C9,54:54)+100</f>
        <v>100</v>
      </c>
      <c r="K9" s="88"/>
      <c r="L9" s="1741"/>
      <c r="M9" s="1638"/>
      <c r="N9" s="1638"/>
      <c r="O9" s="1742"/>
      <c r="P9" s="3598" t="s">
        <v>482</v>
      </c>
      <c r="Q9" s="817" t="str">
        <f t="shared" ref="Q9:Q14" si="6">B9</f>
        <v>用途</v>
      </c>
      <c r="R9" s="1301" t="s">
        <v>5</v>
      </c>
      <c r="S9" s="1302">
        <f t="shared" si="0"/>
        <v>100</v>
      </c>
      <c r="T9" s="1301" t="s">
        <v>5</v>
      </c>
      <c r="U9" s="1302">
        <f t="shared" si="1"/>
        <v>100</v>
      </c>
      <c r="V9" s="1301" t="s">
        <v>5</v>
      </c>
      <c r="W9" s="1302">
        <f t="shared" si="2"/>
        <v>100</v>
      </c>
      <c r="X9" s="1303"/>
      <c r="Y9" s="3540" t="s">
        <v>483</v>
      </c>
      <c r="Z9" s="994" t="str">
        <f t="shared" ref="Z9:Z14" si="7">Q9</f>
        <v>用途</v>
      </c>
      <c r="AA9" s="994">
        <f t="shared" si="3"/>
        <v>1</v>
      </c>
      <c r="AB9" s="994">
        <f t="shared" si="4"/>
        <v>1</v>
      </c>
      <c r="AC9" s="994">
        <f t="shared" si="5"/>
        <v>1</v>
      </c>
    </row>
    <row r="10" spans="1:29" s="1130" customFormat="1" ht="27">
      <c r="A10" s="2210"/>
      <c r="B10" s="2215" t="s">
        <v>2037</v>
      </c>
      <c r="C10" s="3385"/>
      <c r="D10" s="235">
        <v>100</v>
      </c>
      <c r="E10" s="3385"/>
      <c r="F10" s="235">
        <f>SUMIF(55:55,E10,56:56)-SUMIF(55:55,C10,56:56)+100</f>
        <v>100</v>
      </c>
      <c r="G10" s="3386"/>
      <c r="H10" s="235">
        <f>SUMIF(55:55,G10,56:56)-SUMIF(55:55,C10,56:56)+100</f>
        <v>100</v>
      </c>
      <c r="I10" s="3385"/>
      <c r="J10" s="235">
        <f>SUMIF(55:55,I10,56:56)-SUMIF(55:55,C10,56:56)+100</f>
        <v>100</v>
      </c>
      <c r="K10" s="88"/>
      <c r="L10" s="1743"/>
      <c r="M10" s="1776"/>
      <c r="N10" s="1776"/>
      <c r="O10" s="1744"/>
      <c r="P10" s="3598"/>
      <c r="Q10" s="817"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2"/>
      <c r="B11" s="2218">
        <v>111</v>
      </c>
      <c r="C11" s="478"/>
      <c r="D11" s="235">
        <v>100</v>
      </c>
      <c r="E11" s="478"/>
      <c r="F11" s="235">
        <f>SUMIF(57:57,E11,58:58)-SUMIF(57:57,C11,58:58)+100</f>
        <v>100</v>
      </c>
      <c r="G11" s="478"/>
      <c r="H11" s="235">
        <f>SUMIF(57:57,G11,58:58)-SUMIF(57:57,C11,58:58)+100</f>
        <v>100</v>
      </c>
      <c r="I11" s="478"/>
      <c r="J11" s="235">
        <f>SUMIF(57:57,I11,58:58)-SUMIF(57:57,C11,58:58)+100</f>
        <v>100</v>
      </c>
      <c r="K11" s="531"/>
      <c r="L11" s="1745"/>
      <c r="M11" s="1740"/>
      <c r="N11" s="1740"/>
      <c r="O11" s="1746"/>
      <c r="P11" s="3598"/>
      <c r="Q11" s="817">
        <f t="shared" si="6"/>
        <v>111</v>
      </c>
      <c r="R11" s="1301" t="s">
        <v>5</v>
      </c>
      <c r="S11" s="1302">
        <f t="shared" si="0"/>
        <v>100</v>
      </c>
      <c r="T11" s="1301" t="s">
        <v>5</v>
      </c>
      <c r="U11" s="1302">
        <f t="shared" si="1"/>
        <v>100</v>
      </c>
      <c r="V11" s="1301" t="s">
        <v>5</v>
      </c>
      <c r="W11" s="1302">
        <f t="shared" si="2"/>
        <v>100</v>
      </c>
      <c r="X11" s="1303"/>
      <c r="Y11" s="3540"/>
      <c r="Z11" s="994">
        <f t="shared" si="7"/>
        <v>111</v>
      </c>
      <c r="AA11" s="994">
        <f t="shared" si="3"/>
        <v>1</v>
      </c>
      <c r="AB11" s="994">
        <f t="shared" si="4"/>
        <v>1</v>
      </c>
      <c r="AC11" s="994">
        <f t="shared" si="5"/>
        <v>1</v>
      </c>
    </row>
    <row r="12" spans="1:29" s="1057" customFormat="1" ht="15">
      <c r="A12" s="2212"/>
      <c r="B12" s="2218">
        <v>111</v>
      </c>
      <c r="C12" s="478"/>
      <c r="D12" s="488">
        <v>100</v>
      </c>
      <c r="E12" s="478"/>
      <c r="F12" s="235">
        <f>SUMIF(59:59,E12,60:60)-SUMIF(59:59,C12,60:60)+100</f>
        <v>100</v>
      </c>
      <c r="G12" s="478"/>
      <c r="H12" s="235">
        <f>SUMIF(59:59,G12,60:60)-SUMIF(59:59,C12,60:60)+100</f>
        <v>100</v>
      </c>
      <c r="I12" s="478"/>
      <c r="J12" s="235">
        <f>SUMIF(59:59,I12,60:60)-SUMIF(59:59,C12,60:60)+100</f>
        <v>100</v>
      </c>
      <c r="K12" s="531"/>
      <c r="L12" s="1741"/>
      <c r="M12" s="1638"/>
      <c r="N12" s="1638"/>
      <c r="O12" s="1742"/>
      <c r="P12" s="3598"/>
      <c r="Q12" s="817">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75" thickBot="1">
      <c r="A13" s="2213"/>
      <c r="B13" s="2219">
        <v>111</v>
      </c>
      <c r="C13" s="489"/>
      <c r="D13" s="490">
        <v>100</v>
      </c>
      <c r="E13" s="478"/>
      <c r="F13" s="235">
        <f>SUMIF(61:61,E13,62:62)-SUMIF(61:61,C13,62:62)+100</f>
        <v>100</v>
      </c>
      <c r="G13" s="478"/>
      <c r="H13" s="490">
        <f>SUMIF(61:61,G13,62:62)-SUMIF(61:61,C13,62:62)+100</f>
        <v>100</v>
      </c>
      <c r="I13" s="478"/>
      <c r="J13" s="490">
        <f>SUMIF(61:61,I13,62:62)-SUMIF(61:61,C13,62:62)+100</f>
        <v>100</v>
      </c>
      <c r="K13" s="531"/>
      <c r="L13" s="1747"/>
      <c r="M13" s="1740"/>
      <c r="N13" s="1740"/>
      <c r="O13" s="1746"/>
      <c r="P13" s="3598"/>
      <c r="Q13" s="817">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
      <c r="A14" s="2205" t="s">
        <v>2034</v>
      </c>
      <c r="B14" s="497" t="s">
        <v>490</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7"/>
      <c r="M14" s="1740"/>
      <c r="N14" s="1740"/>
      <c r="O14" s="1746"/>
      <c r="P14" s="3631" t="s">
        <v>487</v>
      </c>
      <c r="Q14" s="1304" t="str">
        <f t="shared" si="6"/>
        <v>交通便捷度</v>
      </c>
      <c r="R14" s="1305" t="s">
        <v>5</v>
      </c>
      <c r="S14" s="1306">
        <f t="shared" si="0"/>
        <v>100</v>
      </c>
      <c r="T14" s="1305" t="s">
        <v>5</v>
      </c>
      <c r="U14" s="1306">
        <f t="shared" si="1"/>
        <v>100</v>
      </c>
      <c r="V14" s="1305" t="s">
        <v>5</v>
      </c>
      <c r="W14" s="1306">
        <f t="shared" si="2"/>
        <v>100</v>
      </c>
      <c r="X14" s="1300"/>
      <c r="Y14" s="3631" t="s">
        <v>487</v>
      </c>
      <c r="Z14" s="1307" t="str">
        <f t="shared" si="7"/>
        <v>交通便捷度</v>
      </c>
      <c r="AA14" s="1307">
        <f t="shared" si="3"/>
        <v>1</v>
      </c>
      <c r="AB14" s="1307">
        <f t="shared" si="4"/>
        <v>1</v>
      </c>
      <c r="AC14" s="1307">
        <f t="shared" si="5"/>
        <v>1</v>
      </c>
    </row>
    <row r="15" spans="1:29" ht="15">
      <c r="A15" s="466"/>
      <c r="B15" s="845"/>
      <c r="C15" s="526"/>
      <c r="D15" s="505"/>
      <c r="E15" s="526"/>
      <c r="F15" s="507"/>
      <c r="G15" s="526"/>
      <c r="H15" s="509"/>
      <c r="I15" s="526"/>
      <c r="J15" s="505"/>
      <c r="K15" s="822"/>
      <c r="L15" s="1747"/>
      <c r="M15" s="1740"/>
      <c r="N15" s="1740"/>
      <c r="O15" s="1746"/>
      <c r="P15" s="3632"/>
      <c r="Q15" s="1304"/>
      <c r="R15" s="1305"/>
      <c r="S15" s="1306"/>
      <c r="T15" s="1305"/>
      <c r="U15" s="1306"/>
      <c r="V15" s="1305"/>
      <c r="W15" s="1306"/>
      <c r="X15" s="1300"/>
      <c r="Y15" s="3632"/>
      <c r="Z15" s="1307"/>
      <c r="AA15" s="1307">
        <v>1</v>
      </c>
      <c r="AB15" s="1307">
        <v>1</v>
      </c>
      <c r="AC15" s="1307">
        <v>1</v>
      </c>
    </row>
    <row r="16" spans="1:29" ht="15">
      <c r="A16" s="466"/>
      <c r="B16" s="2060" t="s">
        <v>1827</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7"/>
      <c r="M16" s="1740"/>
      <c r="N16" s="1740"/>
      <c r="O16" s="1746"/>
      <c r="P16" s="3632"/>
      <c r="Q16" s="1304" t="str">
        <f>B16</f>
        <v>公共配套设施</v>
      </c>
      <c r="R16" s="1305" t="s">
        <v>5</v>
      </c>
      <c r="S16" s="1306">
        <f>F16</f>
        <v>100</v>
      </c>
      <c r="T16" s="1305" t="s">
        <v>5</v>
      </c>
      <c r="U16" s="1306">
        <f>H16</f>
        <v>100</v>
      </c>
      <c r="V16" s="1305" t="s">
        <v>5</v>
      </c>
      <c r="W16" s="1306">
        <f>J16</f>
        <v>100</v>
      </c>
      <c r="X16" s="1300"/>
      <c r="Y16" s="3632"/>
      <c r="Z16" s="1307" t="str">
        <f>Q16</f>
        <v>公共配套设施</v>
      </c>
      <c r="AA16" s="1307">
        <f t="shared" si="3"/>
        <v>1</v>
      </c>
      <c r="AB16" s="1307">
        <f t="shared" si="4"/>
        <v>1</v>
      </c>
      <c r="AC16" s="1307">
        <f t="shared" si="5"/>
        <v>1</v>
      </c>
    </row>
    <row r="17" spans="1:29" ht="15">
      <c r="A17" s="466"/>
      <c r="B17" s="516"/>
      <c r="C17" s="802"/>
      <c r="D17" s="505"/>
      <c r="E17" s="526"/>
      <c r="F17" s="507"/>
      <c r="G17" s="526"/>
      <c r="H17" s="505"/>
      <c r="I17" s="526"/>
      <c r="J17" s="505"/>
      <c r="K17" s="822"/>
      <c r="L17" s="1747"/>
      <c r="M17" s="1740"/>
      <c r="N17" s="1740"/>
      <c r="O17" s="1746"/>
      <c r="P17" s="3632"/>
      <c r="Q17" s="1304"/>
      <c r="R17" s="1305"/>
      <c r="S17" s="1306"/>
      <c r="T17" s="1305"/>
      <c r="U17" s="1306"/>
      <c r="V17" s="1305"/>
      <c r="W17" s="1306"/>
      <c r="X17" s="1300"/>
      <c r="Y17" s="3632"/>
      <c r="Z17" s="1307"/>
      <c r="AA17" s="1307">
        <v>1</v>
      </c>
      <c r="AB17" s="1307">
        <v>1</v>
      </c>
      <c r="AC17" s="1307">
        <v>1</v>
      </c>
    </row>
    <row r="18" spans="1:29" ht="15">
      <c r="A18" s="466"/>
      <c r="B18" s="2048" t="s">
        <v>1839</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7"/>
      <c r="M18" s="1740"/>
      <c r="N18" s="1740"/>
      <c r="O18" s="1746"/>
      <c r="P18" s="3632"/>
      <c r="Q18" s="1304" t="str">
        <f>B18</f>
        <v>基础设施水平</v>
      </c>
      <c r="R18" s="1305" t="s">
        <v>5</v>
      </c>
      <c r="S18" s="1306">
        <f>F18</f>
        <v>100</v>
      </c>
      <c r="T18" s="1305" t="s">
        <v>5</v>
      </c>
      <c r="U18" s="1306">
        <f>H18</f>
        <v>100</v>
      </c>
      <c r="V18" s="1305" t="s">
        <v>5</v>
      </c>
      <c r="W18" s="1306">
        <f>J18</f>
        <v>100</v>
      </c>
      <c r="X18" s="1300"/>
      <c r="Y18" s="3632"/>
      <c r="Z18" s="1307" t="str">
        <f>Q18</f>
        <v>基础设施水平</v>
      </c>
      <c r="AA18" s="1307">
        <f>D18/F18</f>
        <v>1</v>
      </c>
      <c r="AB18" s="1307">
        <f>D18/H18</f>
        <v>1</v>
      </c>
      <c r="AC18" s="1307">
        <f>D18/J18</f>
        <v>1</v>
      </c>
    </row>
    <row r="19" spans="1:29" ht="15">
      <c r="A19" s="466"/>
      <c r="B19" s="528"/>
      <c r="C19" s="802"/>
      <c r="D19" s="509"/>
      <c r="E19" s="526"/>
      <c r="F19" s="507"/>
      <c r="G19" s="526"/>
      <c r="H19" s="505"/>
      <c r="I19" s="526"/>
      <c r="J19" s="505"/>
      <c r="K19" s="2059"/>
      <c r="L19" s="1747"/>
      <c r="M19" s="1740"/>
      <c r="N19" s="1740"/>
      <c r="O19" s="1746"/>
      <c r="P19" s="3632"/>
      <c r="Q19" s="1304"/>
      <c r="R19" s="1305"/>
      <c r="S19" s="1306"/>
      <c r="T19" s="1305"/>
      <c r="U19" s="1306"/>
      <c r="V19" s="1305"/>
      <c r="W19" s="1306"/>
      <c r="X19" s="1300"/>
      <c r="Y19" s="3632"/>
      <c r="Z19" s="1307"/>
      <c r="AA19" s="1307">
        <v>1</v>
      </c>
      <c r="AB19" s="1307">
        <v>1</v>
      </c>
      <c r="AC19" s="1307">
        <v>1</v>
      </c>
    </row>
    <row r="20" spans="1:29" ht="15">
      <c r="A20" s="466"/>
      <c r="B20" s="510" t="s">
        <v>742</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7"/>
      <c r="M20" s="1740"/>
      <c r="N20" s="1740"/>
      <c r="O20" s="1746"/>
      <c r="P20" s="3632"/>
      <c r="Q20" s="1304" t="str">
        <f>B20</f>
        <v>自然及人文环境</v>
      </c>
      <c r="R20" s="1305" t="s">
        <v>5</v>
      </c>
      <c r="S20" s="1306">
        <f>F20</f>
        <v>100</v>
      </c>
      <c r="T20" s="1305" t="s">
        <v>5</v>
      </c>
      <c r="U20" s="1306">
        <f>H20</f>
        <v>100</v>
      </c>
      <c r="V20" s="1305" t="s">
        <v>5</v>
      </c>
      <c r="W20" s="1306">
        <f>J20</f>
        <v>100</v>
      </c>
      <c r="X20" s="1300"/>
      <c r="Y20" s="3632"/>
      <c r="Z20" s="1307" t="str">
        <f>Q20</f>
        <v>自然及人文环境</v>
      </c>
      <c r="AA20" s="1307">
        <f t="shared" si="3"/>
        <v>1</v>
      </c>
      <c r="AB20" s="1307">
        <f t="shared" si="4"/>
        <v>1</v>
      </c>
      <c r="AC20" s="1307">
        <f t="shared" si="5"/>
        <v>1</v>
      </c>
    </row>
    <row r="21" spans="1:29" ht="15">
      <c r="A21" s="466"/>
      <c r="B21" s="516"/>
      <c r="C21" s="526"/>
      <c r="D21" s="505"/>
      <c r="E21" s="526"/>
      <c r="F21" s="507"/>
      <c r="G21" s="526"/>
      <c r="H21" s="505"/>
      <c r="I21" s="526"/>
      <c r="J21" s="505"/>
      <c r="K21" s="822"/>
      <c r="L21" s="1747"/>
      <c r="M21" s="1740"/>
      <c r="N21" s="1740"/>
      <c r="O21" s="1746"/>
      <c r="P21" s="3632"/>
      <c r="Q21" s="1304"/>
      <c r="R21" s="1305"/>
      <c r="S21" s="1306"/>
      <c r="T21" s="1305"/>
      <c r="U21" s="1306"/>
      <c r="V21" s="1305"/>
      <c r="W21" s="1306"/>
      <c r="X21" s="1300"/>
      <c r="Y21" s="3632"/>
      <c r="Z21" s="1307"/>
      <c r="AA21" s="1307">
        <v>1</v>
      </c>
      <c r="AB21" s="1307">
        <v>1</v>
      </c>
      <c r="AC21" s="1307">
        <v>1</v>
      </c>
    </row>
    <row r="22" spans="1:29" ht="15">
      <c r="A22" s="466"/>
      <c r="B22" s="510" t="s">
        <v>743</v>
      </c>
      <c r="C22" s="532"/>
      <c r="D22" s="509">
        <v>100</v>
      </c>
      <c r="E22" s="532"/>
      <c r="F22" s="525">
        <f>SUMIF(71:71,E22,72:72)-SUMIF(71:71,C22,72:72)+100</f>
        <v>100</v>
      </c>
      <c r="G22" s="532"/>
      <c r="H22" s="490">
        <f>SUMIF(71:71,G22,72:72)-SUMIF(71:71,C22,72:72)+100</f>
        <v>100</v>
      </c>
      <c r="I22" s="532"/>
      <c r="J22" s="490">
        <f>SUMIF(71:71,I22,72:72)-SUMIF(71:71,C22,72:72)+100</f>
        <v>100</v>
      </c>
      <c r="K22" s="533"/>
      <c r="L22" s="1747"/>
      <c r="M22" s="1740"/>
      <c r="N22" s="1740"/>
      <c r="O22" s="1746"/>
      <c r="P22" s="3632"/>
      <c r="Q22" s="1304" t="str">
        <f>B22</f>
        <v>楼层</v>
      </c>
      <c r="R22" s="1305" t="s">
        <v>5</v>
      </c>
      <c r="S22" s="1306">
        <f>F22</f>
        <v>100</v>
      </c>
      <c r="T22" s="1305" t="s">
        <v>5</v>
      </c>
      <c r="U22" s="1306">
        <f>H22</f>
        <v>100</v>
      </c>
      <c r="V22" s="1305" t="s">
        <v>5</v>
      </c>
      <c r="W22" s="1306">
        <f>J22</f>
        <v>100</v>
      </c>
      <c r="X22" s="1300"/>
      <c r="Y22" s="3632"/>
      <c r="Z22" s="1307" t="str">
        <f>Q22</f>
        <v>楼层</v>
      </c>
      <c r="AA22" s="1307">
        <f t="shared" si="3"/>
        <v>1</v>
      </c>
      <c r="AB22" s="1307">
        <f t="shared" si="4"/>
        <v>1</v>
      </c>
      <c r="AC22" s="1307">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7"/>
      <c r="M23" s="1740"/>
      <c r="N23" s="1740"/>
      <c r="O23" s="1746"/>
      <c r="P23" s="3632"/>
      <c r="Q23" s="1304">
        <f>B23</f>
        <v>111</v>
      </c>
      <c r="R23" s="1305" t="s">
        <v>5</v>
      </c>
      <c r="S23" s="1306">
        <f>F23</f>
        <v>100</v>
      </c>
      <c r="T23" s="1305" t="s">
        <v>5</v>
      </c>
      <c r="U23" s="1306">
        <f>H23</f>
        <v>100</v>
      </c>
      <c r="V23" s="1305" t="s">
        <v>5</v>
      </c>
      <c r="W23" s="1306">
        <f>J23</f>
        <v>100</v>
      </c>
      <c r="X23" s="1300"/>
      <c r="Y23" s="3632"/>
      <c r="Z23" s="1307">
        <f>Q23</f>
        <v>111</v>
      </c>
      <c r="AA23" s="1307">
        <f t="shared" si="3"/>
        <v>1</v>
      </c>
      <c r="AB23" s="1307">
        <f t="shared" si="4"/>
        <v>1</v>
      </c>
      <c r="AC23" s="1307">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7"/>
      <c r="M24" s="1740"/>
      <c r="N24" s="1740"/>
      <c r="O24" s="1746"/>
      <c r="P24" s="3632"/>
      <c r="Q24" s="1304">
        <f t="shared" ref="Q24:Q36" si="8">B24</f>
        <v>111</v>
      </c>
      <c r="R24" s="1305" t="s">
        <v>5</v>
      </c>
      <c r="S24" s="1306">
        <f>F24</f>
        <v>100</v>
      </c>
      <c r="T24" s="1305" t="s">
        <v>5</v>
      </c>
      <c r="U24" s="1306">
        <f>H24</f>
        <v>100</v>
      </c>
      <c r="V24" s="1305" t="s">
        <v>5</v>
      </c>
      <c r="W24" s="1306">
        <f>J24</f>
        <v>100</v>
      </c>
      <c r="X24" s="1300"/>
      <c r="Y24" s="3632"/>
      <c r="Z24" s="1307">
        <f>Q24</f>
        <v>111</v>
      </c>
      <c r="AA24" s="1307">
        <f t="shared" si="3"/>
        <v>1</v>
      </c>
      <c r="AB24" s="1307">
        <f t="shared" si="4"/>
        <v>1</v>
      </c>
      <c r="AC24" s="1307">
        <f t="shared" si="5"/>
        <v>1</v>
      </c>
    </row>
    <row r="25" spans="1:29" s="1057"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1"/>
      <c r="M25" s="1638"/>
      <c r="N25" s="1638"/>
      <c r="O25" s="1742"/>
      <c r="P25" s="3632"/>
      <c r="Q25" s="817">
        <f t="shared" si="8"/>
        <v>111</v>
      </c>
      <c r="R25" s="1301" t="s">
        <v>5</v>
      </c>
      <c r="S25" s="1302">
        <f>F25</f>
        <v>100</v>
      </c>
      <c r="T25" s="1301" t="s">
        <v>5</v>
      </c>
      <c r="U25" s="1302">
        <f>H25</f>
        <v>100</v>
      </c>
      <c r="V25" s="1301" t="s">
        <v>5</v>
      </c>
      <c r="W25" s="1302">
        <f>J25</f>
        <v>100</v>
      </c>
      <c r="X25" s="1303"/>
      <c r="Y25" s="3632"/>
      <c r="Z25" s="994">
        <f>Q25</f>
        <v>111</v>
      </c>
      <c r="AA25" s="1307">
        <f>D25/F25</f>
        <v>1</v>
      </c>
      <c r="AB25" s="1307">
        <f>D25/H25</f>
        <v>1</v>
      </c>
      <c r="AC25" s="1307">
        <f>D25/J25</f>
        <v>1</v>
      </c>
    </row>
    <row r="26" spans="1:29" ht="15">
      <c r="A26" s="2202" t="s">
        <v>2035</v>
      </c>
      <c r="B26" s="154" t="s">
        <v>744</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7"/>
      <c r="M26" s="1740"/>
      <c r="N26" s="1740"/>
      <c r="O26" s="1746"/>
      <c r="P26" s="3633" t="s">
        <v>497</v>
      </c>
      <c r="Q26" s="1304" t="str">
        <f t="shared" si="8"/>
        <v>配套类型</v>
      </c>
      <c r="R26" s="1305" t="s">
        <v>5</v>
      </c>
      <c r="S26" s="1306">
        <f t="shared" ref="S26:S36" si="9">F26</f>
        <v>100</v>
      </c>
      <c r="T26" s="1305" t="s">
        <v>5</v>
      </c>
      <c r="U26" s="1306">
        <f t="shared" ref="U26:U36" si="10">H26</f>
        <v>100</v>
      </c>
      <c r="V26" s="1305" t="s">
        <v>5</v>
      </c>
      <c r="W26" s="1306">
        <f t="shared" ref="W26:W36" si="11">J26</f>
        <v>100</v>
      </c>
      <c r="X26" s="1300"/>
      <c r="Y26" s="3634" t="s">
        <v>497</v>
      </c>
      <c r="Z26" s="1307" t="str">
        <f t="shared" ref="Z26:Z36" si="12">Q26</f>
        <v>配套类型</v>
      </c>
      <c r="AA26" s="1307">
        <f t="shared" si="3"/>
        <v>1</v>
      </c>
      <c r="AB26" s="1307">
        <f t="shared" si="4"/>
        <v>1</v>
      </c>
      <c r="AC26" s="1307">
        <f t="shared" si="5"/>
        <v>1</v>
      </c>
    </row>
    <row r="27" spans="1:29" s="1131" customFormat="1" ht="15">
      <c r="A27" s="849"/>
      <c r="B27" s="235" t="s">
        <v>745</v>
      </c>
      <c r="C27" s="850"/>
      <c r="D27" s="235">
        <v>100</v>
      </c>
      <c r="E27" s="850"/>
      <c r="F27" s="525">
        <f>SUMIF(81:81,E27,82:82)-SUMIF(81:81,C27,82:82)+100</f>
        <v>100</v>
      </c>
      <c r="G27" s="850"/>
      <c r="H27" s="490">
        <f>SUMIF(81:81,G27,82:82)-SUMIF(81:81,C27,82:82)+100</f>
        <v>100</v>
      </c>
      <c r="I27" s="850"/>
      <c r="J27" s="490">
        <f>SUMIF(81:81,I27,82:82)-SUMIF(81:81,C27,82:82)+100</f>
        <v>100</v>
      </c>
      <c r="K27" s="531"/>
      <c r="L27" s="1745"/>
      <c r="M27" s="1769"/>
      <c r="N27" s="1769"/>
      <c r="O27" s="1748"/>
      <c r="P27" s="3634"/>
      <c r="Q27" s="818" t="str">
        <f t="shared" si="8"/>
        <v>项目停车位配比</v>
      </c>
      <c r="R27" s="1308" t="s">
        <v>5</v>
      </c>
      <c r="S27" s="1309">
        <f t="shared" si="9"/>
        <v>100</v>
      </c>
      <c r="T27" s="1308" t="s">
        <v>5</v>
      </c>
      <c r="U27" s="1309">
        <f t="shared" si="10"/>
        <v>100</v>
      </c>
      <c r="V27" s="1308" t="s">
        <v>5</v>
      </c>
      <c r="W27" s="1309">
        <f t="shared" si="11"/>
        <v>100</v>
      </c>
      <c r="X27" s="1310"/>
      <c r="Y27" s="3634"/>
      <c r="Z27" s="1311" t="str">
        <f t="shared" si="12"/>
        <v>项目停车位配比</v>
      </c>
      <c r="AA27" s="1307">
        <f t="shared" si="3"/>
        <v>1</v>
      </c>
      <c r="AB27" s="1307">
        <f t="shared" si="4"/>
        <v>1</v>
      </c>
      <c r="AC27" s="1307">
        <f t="shared" si="5"/>
        <v>1</v>
      </c>
    </row>
    <row r="28" spans="1:29" ht="15">
      <c r="A28" s="851"/>
      <c r="B28" s="235" t="s">
        <v>746</v>
      </c>
      <c r="C28" s="524"/>
      <c r="D28" s="490">
        <v>100</v>
      </c>
      <c r="E28" s="524"/>
      <c r="F28" s="525">
        <f>SUMIF(83:83,E28,84:84)-SUMIF(83:83,C28,84:84)+100</f>
        <v>100</v>
      </c>
      <c r="G28" s="524"/>
      <c r="H28" s="490">
        <f>SUMIF(83:83,G28,84:84)-SUMIF(83:83,C28,84:84)+100</f>
        <v>100</v>
      </c>
      <c r="I28" s="524"/>
      <c r="J28" s="490">
        <f>SUMIF(83:83,I28,84:84)-SUMIF(83:83,C28,84:84)+100</f>
        <v>100</v>
      </c>
      <c r="K28" s="533"/>
      <c r="L28" s="1747"/>
      <c r="M28" s="1740"/>
      <c r="N28" s="1740"/>
      <c r="O28" s="1746"/>
      <c r="P28" s="3634"/>
      <c r="Q28" s="1304" t="str">
        <f t="shared" si="8"/>
        <v>公共部分装修</v>
      </c>
      <c r="R28" s="1305" t="s">
        <v>5</v>
      </c>
      <c r="S28" s="1306">
        <f t="shared" si="9"/>
        <v>100</v>
      </c>
      <c r="T28" s="1305" t="s">
        <v>5</v>
      </c>
      <c r="U28" s="1306">
        <f t="shared" si="10"/>
        <v>100</v>
      </c>
      <c r="V28" s="1305" t="s">
        <v>5</v>
      </c>
      <c r="W28" s="1306">
        <f t="shared" si="11"/>
        <v>100</v>
      </c>
      <c r="X28" s="1300"/>
      <c r="Y28" s="3634"/>
      <c r="Z28" s="1307" t="str">
        <f t="shared" si="12"/>
        <v>公共部分装修</v>
      </c>
      <c r="AA28" s="1307">
        <f t="shared" si="3"/>
        <v>1</v>
      </c>
      <c r="AB28" s="1307">
        <f t="shared" si="4"/>
        <v>1</v>
      </c>
      <c r="AC28" s="1307">
        <f t="shared" si="5"/>
        <v>1</v>
      </c>
    </row>
    <row r="29" spans="1:29" ht="15">
      <c r="A29" s="851"/>
      <c r="B29" s="235" t="s">
        <v>747</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7"/>
      <c r="M29" s="1740"/>
      <c r="N29" s="1740"/>
      <c r="O29" s="1746"/>
      <c r="P29" s="3634"/>
      <c r="Q29" s="1304" t="str">
        <f t="shared" si="8"/>
        <v>成新率</v>
      </c>
      <c r="R29" s="1305" t="s">
        <v>5</v>
      </c>
      <c r="S29" s="1306" t="e">
        <f t="shared" si="9"/>
        <v>#N/A</v>
      </c>
      <c r="T29" s="1305" t="s">
        <v>5</v>
      </c>
      <c r="U29" s="1306" t="e">
        <f t="shared" si="10"/>
        <v>#N/A</v>
      </c>
      <c r="V29" s="1305" t="s">
        <v>5</v>
      </c>
      <c r="W29" s="1306" t="e">
        <f t="shared" si="11"/>
        <v>#N/A</v>
      </c>
      <c r="X29" s="1300"/>
      <c r="Y29" s="3634"/>
      <c r="Z29" s="1307" t="str">
        <f t="shared" si="12"/>
        <v>成新率</v>
      </c>
      <c r="AA29" s="1307" t="e">
        <f t="shared" si="3"/>
        <v>#N/A</v>
      </c>
      <c r="AB29" s="1307" t="e">
        <f t="shared" si="4"/>
        <v>#N/A</v>
      </c>
      <c r="AC29" s="1307" t="e">
        <f t="shared" si="5"/>
        <v>#N/A</v>
      </c>
    </row>
    <row r="30" spans="1:29" ht="15">
      <c r="A30" s="851"/>
      <c r="B30" s="235" t="s">
        <v>748</v>
      </c>
      <c r="C30" s="852"/>
      <c r="D30" s="490">
        <v>100</v>
      </c>
      <c r="E30" s="852"/>
      <c r="F30" s="525">
        <f>SUMIF(88:88,E30,89:89)-SUMIF(88:88,C30,89:89)+100</f>
        <v>100</v>
      </c>
      <c r="G30" s="852"/>
      <c r="H30" s="490">
        <f>SUMIF(88:88,E30,89:89)-SUMIF(88:88,C30,89:89)+100</f>
        <v>100</v>
      </c>
      <c r="I30" s="852"/>
      <c r="J30" s="490">
        <f>SUMIF(88:88,E30,89:89)-SUMIF(88:88,C30,89:89)+100</f>
        <v>100</v>
      </c>
      <c r="K30" s="533"/>
      <c r="L30" s="1747"/>
      <c r="M30" s="1740"/>
      <c r="N30" s="1740"/>
      <c r="O30" s="1746"/>
      <c r="P30" s="3634"/>
      <c r="Q30" s="1304" t="str">
        <f t="shared" si="8"/>
        <v>物业等级</v>
      </c>
      <c r="R30" s="1305" t="s">
        <v>5</v>
      </c>
      <c r="S30" s="1306">
        <f t="shared" si="9"/>
        <v>100</v>
      </c>
      <c r="T30" s="1305" t="s">
        <v>5</v>
      </c>
      <c r="U30" s="1306">
        <f t="shared" si="10"/>
        <v>100</v>
      </c>
      <c r="V30" s="1305" t="s">
        <v>5</v>
      </c>
      <c r="W30" s="1306">
        <f t="shared" si="11"/>
        <v>100</v>
      </c>
      <c r="X30" s="1300"/>
      <c r="Y30" s="3634"/>
      <c r="Z30" s="1307" t="str">
        <f t="shared" si="12"/>
        <v>物业等级</v>
      </c>
      <c r="AA30" s="1307">
        <f t="shared" si="3"/>
        <v>1</v>
      </c>
      <c r="AB30" s="1307">
        <f t="shared" si="4"/>
        <v>1</v>
      </c>
      <c r="AC30" s="1307">
        <f t="shared" si="5"/>
        <v>1</v>
      </c>
    </row>
    <row r="31" spans="1:29" s="1057" customFormat="1" ht="15">
      <c r="A31" s="853"/>
      <c r="B31" s="235" t="s">
        <v>749</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1"/>
      <c r="M31" s="1638"/>
      <c r="N31" s="1638"/>
      <c r="O31" s="1742"/>
      <c r="P31" s="3634"/>
      <c r="Q31" s="817" t="str">
        <f t="shared" si="8"/>
        <v>停车位面积</v>
      </c>
      <c r="R31" s="1301" t="s">
        <v>5</v>
      </c>
      <c r="S31" s="1302" t="e">
        <f t="shared" si="9"/>
        <v>#N/A</v>
      </c>
      <c r="T31" s="1301" t="s">
        <v>5</v>
      </c>
      <c r="U31" s="1302" t="e">
        <f t="shared" si="10"/>
        <v>#N/A</v>
      </c>
      <c r="V31" s="1301" t="s">
        <v>5</v>
      </c>
      <c r="W31" s="1302" t="e">
        <f t="shared" si="11"/>
        <v>#N/A</v>
      </c>
      <c r="X31" s="1303"/>
      <c r="Y31" s="3634"/>
      <c r="Z31" s="994" t="str">
        <f t="shared" si="12"/>
        <v>停车位面积</v>
      </c>
      <c r="AA31" s="994" t="e">
        <f t="shared" si="3"/>
        <v>#N/A</v>
      </c>
      <c r="AB31" s="994" t="e">
        <f t="shared" si="4"/>
        <v>#N/A</v>
      </c>
      <c r="AC31" s="994" t="e">
        <f t="shared" si="5"/>
        <v>#N/A</v>
      </c>
    </row>
    <row r="32" spans="1:29" ht="15">
      <c r="A32" s="851"/>
      <c r="B32" s="235" t="s">
        <v>750</v>
      </c>
      <c r="C32" s="524"/>
      <c r="D32" s="490">
        <v>100</v>
      </c>
      <c r="E32" s="524"/>
      <c r="F32" s="525">
        <f>SUMIF(93:93,E32,94:94)-SUMIF(93:93,C32,94:94)+100</f>
        <v>100</v>
      </c>
      <c r="G32" s="524"/>
      <c r="H32" s="490">
        <f>SUMIF(93:93,G32,94:94)-SUMIF(93:93,C32,94:94)+100</f>
        <v>100</v>
      </c>
      <c r="I32" s="524"/>
      <c r="J32" s="490">
        <f>SUMIF(93:93,I32,94:94)-SUMIF(93:93,C32,94:94)+100</f>
        <v>100</v>
      </c>
      <c r="K32" s="533"/>
      <c r="L32" s="1747"/>
      <c r="M32" s="1740"/>
      <c r="N32" s="1740"/>
      <c r="O32" s="1746"/>
      <c r="P32" s="3634" t="s">
        <v>497</v>
      </c>
      <c r="Q32" s="1304" t="str">
        <f t="shared" si="8"/>
        <v>车位类型</v>
      </c>
      <c r="R32" s="1305" t="s">
        <v>5</v>
      </c>
      <c r="S32" s="1306">
        <f t="shared" si="9"/>
        <v>100</v>
      </c>
      <c r="T32" s="1305" t="s">
        <v>5</v>
      </c>
      <c r="U32" s="1306">
        <f t="shared" si="10"/>
        <v>100</v>
      </c>
      <c r="V32" s="1305" t="s">
        <v>5</v>
      </c>
      <c r="W32" s="1306">
        <f t="shared" si="11"/>
        <v>100</v>
      </c>
      <c r="X32" s="1300"/>
      <c r="Y32" s="3634" t="s">
        <v>497</v>
      </c>
      <c r="Z32" s="1307" t="str">
        <f t="shared" si="12"/>
        <v>车位类型</v>
      </c>
      <c r="AA32" s="1307">
        <f t="shared" si="3"/>
        <v>1</v>
      </c>
      <c r="AB32" s="1307">
        <f t="shared" si="4"/>
        <v>1</v>
      </c>
      <c r="AC32" s="1307">
        <f t="shared" si="5"/>
        <v>1</v>
      </c>
    </row>
    <row r="33" spans="1:29" ht="15">
      <c r="A33" s="851"/>
      <c r="B33" s="235" t="s">
        <v>751</v>
      </c>
      <c r="C33" s="524"/>
      <c r="D33" s="490">
        <v>100</v>
      </c>
      <c r="E33" s="524"/>
      <c r="F33" s="525">
        <f>SUMIF(95:95,E33,96:96)-SUMIF(95:95,C33,96:96)+100</f>
        <v>100</v>
      </c>
      <c r="G33" s="524"/>
      <c r="H33" s="490">
        <f>SUMIF(95:95,G33,96:96)-SUMIF(95:95,C33,96:96)+100</f>
        <v>100</v>
      </c>
      <c r="I33" s="524"/>
      <c r="J33" s="490">
        <f>SUMIF(95:95,I33,96:96)-SUMIF(95:95,C33,96:96)+100</f>
        <v>100</v>
      </c>
      <c r="K33" s="533"/>
      <c r="L33" s="1747"/>
      <c r="M33" s="1740"/>
      <c r="N33" s="1740"/>
      <c r="O33" s="1746"/>
      <c r="P33" s="3634"/>
      <c r="Q33" s="1304" t="str">
        <f t="shared" si="8"/>
        <v>是否直接入户</v>
      </c>
      <c r="R33" s="1305" t="s">
        <v>5</v>
      </c>
      <c r="S33" s="1306">
        <f t="shared" si="9"/>
        <v>100</v>
      </c>
      <c r="T33" s="1305" t="s">
        <v>5</v>
      </c>
      <c r="U33" s="1306">
        <f t="shared" si="10"/>
        <v>100</v>
      </c>
      <c r="V33" s="1305" t="s">
        <v>5</v>
      </c>
      <c r="W33" s="1306">
        <f t="shared" si="11"/>
        <v>100</v>
      </c>
      <c r="X33" s="1300"/>
      <c r="Y33" s="3634"/>
      <c r="Z33" s="1307" t="str">
        <f t="shared" si="12"/>
        <v>是否直接入户</v>
      </c>
      <c r="AA33" s="1307">
        <f t="shared" si="3"/>
        <v>1</v>
      </c>
      <c r="AB33" s="1307">
        <f t="shared" si="4"/>
        <v>1</v>
      </c>
      <c r="AC33" s="1307">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7"/>
      <c r="M34" s="1740"/>
      <c r="N34" s="1740"/>
      <c r="O34" s="1746"/>
      <c r="P34" s="3634"/>
      <c r="Q34" s="1304">
        <f t="shared" si="8"/>
        <v>111</v>
      </c>
      <c r="R34" s="1305" t="s">
        <v>5</v>
      </c>
      <c r="S34" s="1306">
        <f t="shared" si="9"/>
        <v>100</v>
      </c>
      <c r="T34" s="1305" t="s">
        <v>5</v>
      </c>
      <c r="U34" s="1306">
        <f t="shared" si="10"/>
        <v>100</v>
      </c>
      <c r="V34" s="1305" t="s">
        <v>5</v>
      </c>
      <c r="W34" s="1306">
        <f t="shared" si="11"/>
        <v>100</v>
      </c>
      <c r="X34" s="1300"/>
      <c r="Y34" s="3634"/>
      <c r="Z34" s="1307">
        <f t="shared" si="12"/>
        <v>111</v>
      </c>
      <c r="AA34" s="1307">
        <f t="shared" si="3"/>
        <v>1</v>
      </c>
      <c r="AB34" s="1307">
        <f t="shared" si="4"/>
        <v>1</v>
      </c>
      <c r="AC34" s="1307">
        <f t="shared" si="5"/>
        <v>1</v>
      </c>
    </row>
    <row r="35" spans="1:29" s="1131"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5"/>
      <c r="M35" s="1769"/>
      <c r="N35" s="1769"/>
      <c r="O35" s="1748"/>
      <c r="P35" s="3634"/>
      <c r="Q35" s="818">
        <f t="shared" si="8"/>
        <v>111</v>
      </c>
      <c r="R35" s="1308" t="s">
        <v>5</v>
      </c>
      <c r="S35" s="1309">
        <f t="shared" si="9"/>
        <v>100</v>
      </c>
      <c r="T35" s="1308" t="s">
        <v>5</v>
      </c>
      <c r="U35" s="1309">
        <f t="shared" si="10"/>
        <v>100</v>
      </c>
      <c r="V35" s="1308" t="s">
        <v>5</v>
      </c>
      <c r="W35" s="1309">
        <f t="shared" si="11"/>
        <v>100</v>
      </c>
      <c r="X35" s="1310"/>
      <c r="Y35" s="3634"/>
      <c r="Z35" s="1311">
        <f t="shared" si="12"/>
        <v>111</v>
      </c>
      <c r="AA35" s="1307">
        <f t="shared" si="3"/>
        <v>1</v>
      </c>
      <c r="AB35" s="1307">
        <f t="shared" si="4"/>
        <v>1</v>
      </c>
      <c r="AC35" s="1307">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7"/>
      <c r="M36" s="1740"/>
      <c r="N36" s="1740"/>
      <c r="O36" s="1746"/>
      <c r="P36" s="3634"/>
      <c r="Q36" s="1304">
        <f t="shared" si="8"/>
        <v>111</v>
      </c>
      <c r="R36" s="1305" t="s">
        <v>5</v>
      </c>
      <c r="S36" s="1306">
        <f t="shared" si="9"/>
        <v>100</v>
      </c>
      <c r="T36" s="1305" t="s">
        <v>5</v>
      </c>
      <c r="U36" s="1306">
        <f t="shared" si="10"/>
        <v>100</v>
      </c>
      <c r="V36" s="1305" t="s">
        <v>5</v>
      </c>
      <c r="W36" s="1306">
        <f t="shared" si="11"/>
        <v>100</v>
      </c>
      <c r="X36" s="1300"/>
      <c r="Y36" s="3634"/>
      <c r="Z36" s="1307">
        <f t="shared" si="12"/>
        <v>111</v>
      </c>
      <c r="AA36" s="1307">
        <f t="shared" si="3"/>
        <v>1</v>
      </c>
      <c r="AB36" s="1307">
        <f t="shared" si="4"/>
        <v>1</v>
      </c>
      <c r="AC36" s="1307">
        <f t="shared" si="5"/>
        <v>1</v>
      </c>
    </row>
    <row r="37" spans="1:29" ht="15">
      <c r="A37" s="1533" t="s">
        <v>1593</v>
      </c>
      <c r="B37" s="1534" t="s">
        <v>1594</v>
      </c>
      <c r="C37" s="2079" t="s">
        <v>0</v>
      </c>
      <c r="D37" s="559"/>
      <c r="E37" s="560"/>
      <c r="F37" s="561"/>
      <c r="G37" s="562"/>
      <c r="H37" s="563"/>
      <c r="I37" s="560"/>
      <c r="J37" s="563"/>
      <c r="K37" s="1333"/>
      <c r="L37" s="1749"/>
      <c r="M37" s="1740"/>
      <c r="N37" s="1740"/>
      <c r="O37" s="1740"/>
      <c r="P37" s="3598" t="str">
        <f>A37</f>
        <v>成交单价</v>
      </c>
      <c r="Q37" s="3598"/>
      <c r="R37" s="3599">
        <f>E37</f>
        <v>0</v>
      </c>
      <c r="S37" s="3599"/>
      <c r="T37" s="3599">
        <f>G37</f>
        <v>0</v>
      </c>
      <c r="U37" s="3599"/>
      <c r="V37" s="3599">
        <f>I37</f>
        <v>0</v>
      </c>
      <c r="W37" s="3599"/>
      <c r="X37" s="799"/>
      <c r="Y37" s="1312"/>
      <c r="Z37" s="799"/>
      <c r="AA37" s="799"/>
      <c r="AB37" s="799"/>
      <c r="AC37" s="799"/>
    </row>
    <row r="38" spans="1:29" ht="15.75" thickBot="1">
      <c r="A38" s="564" t="s">
        <v>2040</v>
      </c>
      <c r="B38" s="812"/>
      <c r="C38" s="2080" t="e">
        <f>R39</f>
        <v>#DIV/0!</v>
      </c>
      <c r="D38" s="2548" t="s">
        <v>2249</v>
      </c>
      <c r="E38" s="2081" t="e">
        <f>R38</f>
        <v>#DIV/0!</v>
      </c>
      <c r="F38" s="2549"/>
      <c r="G38" s="2080" t="e">
        <f>T38</f>
        <v>#DIV/0!</v>
      </c>
      <c r="H38" s="2549"/>
      <c r="I38" s="2081" t="e">
        <f>V38</f>
        <v>#DIV/0!</v>
      </c>
      <c r="J38" s="2549"/>
      <c r="K38" s="2556">
        <f>F38+H38+J38</f>
        <v>0</v>
      </c>
      <c r="L38" s="1749"/>
      <c r="M38" s="1740"/>
      <c r="N38" s="1740"/>
      <c r="O38" s="1740"/>
      <c r="P38" s="3598" t="str">
        <f>A38</f>
        <v>比较价格（元/平方米）</v>
      </c>
      <c r="Q38" s="3598"/>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799"/>
      <c r="Y38" s="799"/>
      <c r="Z38" s="799"/>
      <c r="AA38" s="799"/>
      <c r="AB38" s="799"/>
      <c r="AC38" s="799"/>
    </row>
    <row r="39" spans="1:29" ht="15.75" thickBot="1">
      <c r="A39" s="568" t="s">
        <v>2186</v>
      </c>
      <c r="B39" s="569"/>
      <c r="C39" s="469" t="e">
        <f>R39</f>
        <v>#DIV/0!</v>
      </c>
      <c r="D39" s="469"/>
      <c r="E39" s="469"/>
      <c r="F39" s="469"/>
      <c r="G39" s="469"/>
      <c r="H39" s="469"/>
      <c r="I39" s="469"/>
      <c r="J39" s="469"/>
      <c r="K39" s="1334"/>
      <c r="L39" s="1749"/>
      <c r="M39" s="1740"/>
      <c r="N39" s="1740"/>
      <c r="O39" s="1740"/>
      <c r="P39" s="3635" t="str">
        <f>A39</f>
        <v>估价对象XX用房的比较价格（楼面单价，元/平方米）</v>
      </c>
      <c r="Q39" s="3636"/>
      <c r="R39" s="3723" t="e">
        <f>IF(F1="售价",ROUND(IF(D38="简单平均",AVERAGE(R38:W38),R38*F38+T38*H38+V38*J38),0),ROUND(IF(D38="简单平均",AVERAGE(R38:V38),R38*F38+T38*H38+V38*J38),1))</f>
        <v>#DIV/0!</v>
      </c>
      <c r="S39" s="3723"/>
      <c r="T39" s="3723"/>
      <c r="U39" s="3723"/>
      <c r="V39" s="3723"/>
      <c r="W39" s="3723"/>
      <c r="X39" s="799"/>
      <c r="Y39" s="799"/>
      <c r="Z39" s="799"/>
      <c r="AA39" s="799"/>
      <c r="AB39" s="799"/>
      <c r="AC39" s="799"/>
    </row>
    <row r="40" spans="1:29">
      <c r="A40" s="2719"/>
      <c r="B40" s="2719"/>
      <c r="C40" s="2719"/>
      <c r="D40" s="2719"/>
      <c r="E40" s="2719"/>
      <c r="F40" s="2719"/>
      <c r="G40" s="2721"/>
      <c r="H40" s="2719"/>
      <c r="I40" s="2719"/>
      <c r="J40" s="2719"/>
      <c r="K40" s="2722"/>
      <c r="L40" s="1753"/>
      <c r="M40" s="1740"/>
      <c r="N40" s="1740"/>
      <c r="O40" s="1740"/>
      <c r="P40" s="1740"/>
      <c r="Q40" s="1740"/>
      <c r="R40" s="1740"/>
      <c r="S40" s="1740"/>
      <c r="T40" s="1740"/>
      <c r="U40" s="1740"/>
      <c r="V40" s="1740"/>
      <c r="W40" s="1740"/>
      <c r="X40" s="1740"/>
      <c r="Y40" s="1740"/>
      <c r="Z40" s="1740"/>
      <c r="AA40" s="1740"/>
      <c r="AB40" s="1740"/>
      <c r="AC40" s="1740"/>
    </row>
    <row r="41" spans="1:29">
      <c r="A41" s="2719"/>
      <c r="B41" s="2719"/>
      <c r="C41" s="2719"/>
      <c r="D41" s="2719"/>
      <c r="E41" s="2719"/>
      <c r="F41" s="2719"/>
      <c r="G41" s="2719"/>
      <c r="H41" s="2719"/>
      <c r="I41" s="2719"/>
      <c r="J41" s="2719"/>
      <c r="K41" s="2722"/>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9"/>
      <c r="B42" s="2719"/>
      <c r="C42" s="571" t="s">
        <v>504</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2"/>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9"/>
      <c r="B43" s="2719"/>
      <c r="C43" s="571" t="s">
        <v>505</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2"/>
      <c r="L43" s="1753"/>
      <c r="M43" s="1740"/>
      <c r="N43" s="1740"/>
      <c r="O43" s="1740"/>
      <c r="P43" s="1740"/>
      <c r="Q43" s="1740"/>
      <c r="R43" s="1740"/>
      <c r="S43" s="1740"/>
      <c r="T43" s="1740"/>
      <c r="U43" s="1740"/>
      <c r="V43" s="1740"/>
      <c r="W43" s="1740"/>
      <c r="X43" s="1740"/>
      <c r="Y43" s="1740"/>
      <c r="Z43" s="1740"/>
      <c r="AA43" s="1740"/>
      <c r="AB43" s="1740"/>
      <c r="AC43" s="1740"/>
    </row>
    <row r="44" spans="1:29" s="1136" customFormat="1" ht="13.5" customHeight="1">
      <c r="A44" s="2720"/>
      <c r="B44" s="2720"/>
      <c r="C44" s="571" t="s">
        <v>506</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3"/>
      <c r="L44" s="1756"/>
      <c r="M44" s="1750"/>
      <c r="N44" s="1750"/>
      <c r="O44" s="1750"/>
      <c r="P44" s="1750"/>
      <c r="Q44" s="1750"/>
      <c r="R44" s="1750"/>
      <c r="S44" s="1750"/>
      <c r="T44" s="1750"/>
      <c r="U44" s="1750"/>
      <c r="V44" s="1750"/>
      <c r="W44" s="1750"/>
      <c r="X44" s="1750"/>
      <c r="Y44" s="1750"/>
      <c r="Z44" s="1750"/>
      <c r="AA44" s="1750"/>
      <c r="AB44" s="1750"/>
      <c r="AC44" s="1750"/>
    </row>
    <row r="45" spans="1:29" s="1136"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5" t="s">
        <v>520</v>
      </c>
      <c r="B47" s="799"/>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8" customFormat="1" ht="15">
      <c r="A48" s="592" t="s">
        <v>476</v>
      </c>
      <c r="B48" s="593"/>
      <c r="C48" s="2111" t="str">
        <f>YEAR(C7)&amp;"-"&amp;MONTH(C7)</f>
        <v>2025-6</v>
      </c>
      <c r="D48" s="2113">
        <f>EDATE(C48,-1)</f>
        <v>45778</v>
      </c>
      <c r="E48" s="2113">
        <f t="shared" ref="E48:O48" si="13">EDATE(D48,-1)</f>
        <v>45748</v>
      </c>
      <c r="F48" s="2113">
        <f t="shared" si="13"/>
        <v>45717</v>
      </c>
      <c r="G48" s="2113">
        <f t="shared" si="13"/>
        <v>45689</v>
      </c>
      <c r="H48" s="2113">
        <f t="shared" si="13"/>
        <v>45658</v>
      </c>
      <c r="I48" s="2113">
        <f t="shared" si="13"/>
        <v>45627</v>
      </c>
      <c r="J48" s="2113">
        <f t="shared" si="13"/>
        <v>45597</v>
      </c>
      <c r="K48" s="2113">
        <f t="shared" si="13"/>
        <v>45566</v>
      </c>
      <c r="L48" s="2113">
        <f t="shared" si="13"/>
        <v>45536</v>
      </c>
      <c r="M48" s="2113">
        <f t="shared" si="13"/>
        <v>45505</v>
      </c>
      <c r="N48" s="2113">
        <f t="shared" si="13"/>
        <v>45474</v>
      </c>
      <c r="O48" s="2113">
        <f t="shared" si="13"/>
        <v>45444</v>
      </c>
      <c r="P48" s="1763"/>
      <c r="Q48" s="1763"/>
      <c r="R48" s="1763"/>
      <c r="S48" s="1763"/>
      <c r="T48" s="1763"/>
      <c r="U48" s="1763"/>
      <c r="V48" s="1763"/>
      <c r="W48" s="1763"/>
      <c r="X48" s="1763"/>
      <c r="Y48" s="1763"/>
      <c r="Z48" s="1763"/>
      <c r="AA48" s="1763"/>
      <c r="AB48" s="1763"/>
      <c r="AC48" s="1763"/>
    </row>
    <row r="49" spans="1:29" s="1057" customFormat="1" ht="15">
      <c r="A49" s="527"/>
      <c r="B49" s="594"/>
      <c r="C49" s="2112">
        <v>100</v>
      </c>
      <c r="D49" s="596"/>
      <c r="E49" s="596"/>
      <c r="F49" s="596"/>
      <c r="G49" s="596"/>
      <c r="H49" s="596"/>
      <c r="I49" s="596"/>
      <c r="J49" s="596"/>
      <c r="K49" s="596"/>
      <c r="L49" s="596"/>
      <c r="M49" s="487"/>
      <c r="N49" s="596"/>
      <c r="O49" s="597"/>
      <c r="P49" s="1761"/>
      <c r="Q49" s="1638"/>
      <c r="R49" s="1638"/>
      <c r="S49" s="1638"/>
      <c r="T49" s="1638"/>
      <c r="U49" s="1638"/>
      <c r="V49" s="1638"/>
      <c r="W49" s="1638"/>
      <c r="X49" s="1638"/>
      <c r="Y49" s="1638"/>
      <c r="Z49" s="1638"/>
      <c r="AA49" s="1638"/>
      <c r="AB49" s="1638"/>
      <c r="AC49" s="1638"/>
    </row>
    <row r="50" spans="1:29" s="1057" customFormat="1" ht="15.75" thickBot="1">
      <c r="A50" s="262" t="s">
        <v>521</v>
      </c>
      <c r="B50" s="598"/>
      <c r="C50" s="599"/>
      <c r="D50" s="600"/>
      <c r="E50" s="600"/>
      <c r="F50" s="600"/>
      <c r="G50" s="600"/>
      <c r="H50" s="600"/>
      <c r="I50" s="600"/>
      <c r="J50" s="600"/>
      <c r="K50" s="600"/>
      <c r="L50" s="600"/>
      <c r="M50" s="601"/>
      <c r="N50" s="600"/>
      <c r="O50" s="602"/>
      <c r="P50" s="1761"/>
      <c r="Q50" s="1761"/>
      <c r="R50" s="1638"/>
      <c r="S50" s="1638"/>
      <c r="T50" s="1638"/>
      <c r="U50" s="1638"/>
      <c r="V50" s="1638"/>
      <c r="W50" s="1638"/>
      <c r="X50" s="1638"/>
      <c r="Y50" s="1638"/>
      <c r="Z50" s="1638"/>
      <c r="AA50" s="1638"/>
      <c r="AB50" s="1638"/>
      <c r="AC50" s="1638"/>
    </row>
    <row r="51" spans="1:29" s="1057" customFormat="1" ht="15">
      <c r="A51" s="603" t="s">
        <v>478</v>
      </c>
      <c r="B51" s="594"/>
      <c r="C51" s="604" t="s">
        <v>522</v>
      </c>
      <c r="D51" s="80"/>
      <c r="E51" s="80"/>
      <c r="F51" s="80"/>
      <c r="G51" s="80"/>
      <c r="H51" s="80"/>
      <c r="I51" s="80"/>
      <c r="J51" s="80"/>
      <c r="K51" s="80"/>
      <c r="L51" s="605"/>
      <c r="M51" s="606"/>
      <c r="N51" s="1764"/>
      <c r="O51" s="1764"/>
      <c r="P51" s="1645"/>
      <c r="Q51" s="1761"/>
      <c r="R51" s="1638"/>
      <c r="S51" s="1638"/>
      <c r="T51" s="1638"/>
      <c r="U51" s="1638"/>
      <c r="V51" s="1638"/>
      <c r="W51" s="1638"/>
      <c r="X51" s="1638"/>
      <c r="Y51" s="1638"/>
      <c r="Z51" s="1638"/>
      <c r="AA51" s="1638"/>
      <c r="AB51" s="1638"/>
      <c r="AC51" s="1638"/>
    </row>
    <row r="52" spans="1:29" s="1057" customFormat="1" ht="15.75" thickBot="1">
      <c r="A52" s="603"/>
      <c r="B52" s="594"/>
      <c r="C52" s="595">
        <v>100</v>
      </c>
      <c r="D52" s="596"/>
      <c r="E52" s="596"/>
      <c r="F52" s="596"/>
      <c r="G52" s="596"/>
      <c r="H52" s="596"/>
      <c r="I52" s="596"/>
      <c r="J52" s="596"/>
      <c r="K52" s="596"/>
      <c r="L52" s="596"/>
      <c r="M52" s="597"/>
      <c r="N52" s="1764"/>
      <c r="O52" s="1764"/>
      <c r="P52" s="1761"/>
      <c r="Q52" s="1761"/>
      <c r="R52" s="1638"/>
      <c r="S52" s="1638"/>
      <c r="T52" s="1638"/>
      <c r="U52" s="1638"/>
      <c r="V52" s="1638"/>
      <c r="W52" s="1638"/>
      <c r="X52" s="1638"/>
      <c r="Y52" s="1638"/>
      <c r="Z52" s="1638"/>
      <c r="AA52" s="1638"/>
      <c r="AB52" s="1638"/>
      <c r="AC52" s="1638"/>
    </row>
    <row r="53" spans="1:29">
      <c r="A53" s="607" t="s">
        <v>523</v>
      </c>
      <c r="B53" s="608" t="s">
        <v>481</v>
      </c>
      <c r="C53" s="645">
        <f>C9</f>
        <v>0</v>
      </c>
      <c r="D53" s="547"/>
      <c r="E53" s="547"/>
      <c r="F53" s="547"/>
      <c r="G53" s="547"/>
      <c r="H53" s="547"/>
      <c r="I53" s="547"/>
      <c r="J53" s="547"/>
      <c r="K53" s="609"/>
      <c r="L53" s="610"/>
      <c r="M53" s="611"/>
      <c r="N53" s="1765"/>
      <c r="O53" s="1765"/>
      <c r="P53" s="1764"/>
      <c r="Q53" s="1761"/>
      <c r="R53" s="1740"/>
      <c r="S53" s="1740"/>
      <c r="T53" s="1740"/>
      <c r="U53" s="1740"/>
      <c r="V53" s="1740"/>
      <c r="W53" s="1740"/>
      <c r="X53" s="1740"/>
      <c r="Y53" s="1740"/>
      <c r="Z53" s="1740"/>
      <c r="AA53" s="1740"/>
      <c r="AB53" s="1740"/>
      <c r="AC53" s="1740"/>
    </row>
    <row r="54" spans="1:29" ht="15.75" thickBot="1">
      <c r="A54" s="482"/>
      <c r="B54" s="612"/>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27.75" thickTop="1">
      <c r="A55" s="482"/>
      <c r="B55" s="615" t="s">
        <v>484</v>
      </c>
      <c r="C55" s="658"/>
      <c r="D55" s="658"/>
      <c r="E55" s="658"/>
      <c r="F55" s="658"/>
      <c r="G55" s="658"/>
      <c r="H55" s="658"/>
      <c r="I55" s="658"/>
      <c r="J55" s="658"/>
      <c r="K55" s="659"/>
      <c r="L55" s="660"/>
      <c r="M55" s="661"/>
      <c r="N55" s="1765"/>
      <c r="O55" s="1765"/>
      <c r="P55" s="1764"/>
      <c r="Q55" s="1761"/>
      <c r="R55" s="1740"/>
      <c r="S55" s="1740"/>
      <c r="T55" s="1740"/>
      <c r="U55" s="1740"/>
      <c r="V55" s="1740"/>
      <c r="W55" s="1740"/>
      <c r="X55" s="1740"/>
      <c r="Y55" s="1740"/>
      <c r="Z55" s="1740"/>
      <c r="AA55" s="1740"/>
      <c r="AB55" s="1740"/>
      <c r="AC55" s="1740"/>
    </row>
    <row r="56" spans="1:29" ht="15.75" thickBot="1">
      <c r="A56" s="482"/>
      <c r="B56" s="620"/>
      <c r="C56" s="613"/>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ht="15.75" thickTop="1">
      <c r="A57" s="482"/>
      <c r="B57" s="855">
        <f>B11</f>
        <v>111</v>
      </c>
      <c r="C57" s="491"/>
      <c r="D57" s="491"/>
      <c r="E57" s="491"/>
      <c r="F57" s="491"/>
      <c r="G57" s="491"/>
      <c r="H57" s="491"/>
      <c r="I57" s="491"/>
      <c r="J57" s="491"/>
      <c r="K57" s="626"/>
      <c r="L57" s="627"/>
      <c r="M57" s="628"/>
      <c r="N57" s="1765"/>
      <c r="O57" s="1765"/>
      <c r="P57" s="1764"/>
      <c r="Q57" s="1761"/>
      <c r="R57" s="1740"/>
      <c r="S57" s="1740"/>
      <c r="T57" s="1740"/>
      <c r="U57" s="1740"/>
      <c r="V57" s="1740"/>
      <c r="W57" s="1740"/>
      <c r="X57" s="1740"/>
      <c r="Y57" s="1740"/>
      <c r="Z57" s="1740"/>
      <c r="AA57" s="1740"/>
      <c r="AB57" s="1740"/>
      <c r="AC57" s="1740"/>
    </row>
    <row r="58" spans="1:29" ht="15.75" thickBot="1">
      <c r="A58" s="482"/>
      <c r="B58" s="612"/>
      <c r="C58" s="634"/>
      <c r="D58" s="613"/>
      <c r="E58" s="613"/>
      <c r="F58" s="613"/>
      <c r="G58" s="613"/>
      <c r="H58" s="613"/>
      <c r="I58" s="613"/>
      <c r="J58" s="613"/>
      <c r="K58" s="613"/>
      <c r="L58" s="613"/>
      <c r="M58" s="614"/>
      <c r="N58" s="1766"/>
      <c r="O58" s="1766"/>
      <c r="P58" s="1764"/>
      <c r="Q58" s="1761"/>
      <c r="R58" s="1740"/>
      <c r="S58" s="1740"/>
      <c r="T58" s="1740"/>
      <c r="U58" s="1740"/>
      <c r="V58" s="1740"/>
      <c r="W58" s="1740"/>
      <c r="X58" s="1740"/>
      <c r="Y58" s="1740"/>
      <c r="Z58" s="1740"/>
      <c r="AA58" s="1740"/>
      <c r="AB58" s="1740"/>
      <c r="AC58" s="1740"/>
    </row>
    <row r="59" spans="1:29" s="1131" customFormat="1" ht="15.75" thickTop="1">
      <c r="A59" s="629"/>
      <c r="B59" s="615">
        <f>B12</f>
        <v>111</v>
      </c>
      <c r="C59" s="491"/>
      <c r="D59" s="491"/>
      <c r="E59" s="491"/>
      <c r="F59" s="491"/>
      <c r="G59" s="630"/>
      <c r="H59" s="631"/>
      <c r="I59" s="631"/>
      <c r="J59" s="631"/>
      <c r="K59" s="631"/>
      <c r="L59" s="632"/>
      <c r="M59" s="633"/>
      <c r="N59" s="1767"/>
      <c r="O59" s="1767"/>
      <c r="P59" s="1767"/>
      <c r="Q59" s="1768"/>
      <c r="R59" s="1769"/>
      <c r="S59" s="1769"/>
      <c r="T59" s="1769"/>
      <c r="U59" s="1769"/>
      <c r="V59" s="1769"/>
      <c r="W59" s="1769"/>
      <c r="X59" s="1769"/>
      <c r="Y59" s="1769"/>
      <c r="Z59" s="1769"/>
      <c r="AA59" s="1769"/>
      <c r="AB59" s="1769"/>
      <c r="AC59" s="1769"/>
    </row>
    <row r="60" spans="1:29" s="1131" customFormat="1" ht="15.75" thickBot="1">
      <c r="A60" s="629"/>
      <c r="B60" s="620"/>
      <c r="C60" s="634"/>
      <c r="D60" s="613"/>
      <c r="E60" s="613"/>
      <c r="F60" s="613"/>
      <c r="G60" s="613"/>
      <c r="H60" s="613"/>
      <c r="I60" s="613"/>
      <c r="J60" s="613"/>
      <c r="K60" s="613"/>
      <c r="L60" s="613"/>
      <c r="M60" s="614"/>
      <c r="N60" s="1766"/>
      <c r="O60" s="1766"/>
      <c r="P60" s="1767"/>
      <c r="Q60" s="1768"/>
      <c r="R60" s="1769"/>
      <c r="S60" s="1769"/>
      <c r="T60" s="1769"/>
      <c r="U60" s="1769"/>
      <c r="V60" s="1769"/>
      <c r="W60" s="1769"/>
      <c r="X60" s="1769"/>
      <c r="Y60" s="1769"/>
      <c r="Z60" s="1769"/>
      <c r="AA60" s="1769"/>
      <c r="AB60" s="1769"/>
      <c r="AC60" s="1769"/>
    </row>
    <row r="61" spans="1:29" s="1131" customFormat="1" ht="15.75" thickTop="1">
      <c r="A61" s="629"/>
      <c r="B61" s="615">
        <f>B13</f>
        <v>111</v>
      </c>
      <c r="C61" s="630"/>
      <c r="D61" s="630"/>
      <c r="E61" s="630"/>
      <c r="F61" s="630"/>
      <c r="G61" s="630"/>
      <c r="H61" s="631"/>
      <c r="I61" s="631"/>
      <c r="J61" s="631"/>
      <c r="K61" s="631"/>
      <c r="L61" s="632"/>
      <c r="M61" s="633"/>
      <c r="N61" s="1767"/>
      <c r="O61" s="1767"/>
      <c r="P61" s="1769"/>
      <c r="Q61" s="1770"/>
      <c r="R61" s="1769"/>
      <c r="S61" s="1769"/>
      <c r="T61" s="1769"/>
      <c r="U61" s="1769"/>
      <c r="V61" s="1769"/>
      <c r="W61" s="1769"/>
      <c r="X61" s="1769"/>
      <c r="Y61" s="1769"/>
      <c r="Z61" s="1769"/>
      <c r="AA61" s="1769"/>
      <c r="AB61" s="1769"/>
      <c r="AC61" s="1769"/>
    </row>
    <row r="62" spans="1:29" s="1131" customFormat="1" ht="15.75" thickBot="1">
      <c r="A62" s="629"/>
      <c r="B62" s="620"/>
      <c r="C62" s="634"/>
      <c r="D62" s="634"/>
      <c r="E62" s="634"/>
      <c r="F62" s="634"/>
      <c r="G62" s="634"/>
      <c r="H62" s="635"/>
      <c r="I62" s="635"/>
      <c r="J62" s="635"/>
      <c r="K62" s="635"/>
      <c r="L62" s="635"/>
      <c r="M62" s="636"/>
      <c r="N62" s="1767"/>
      <c r="O62" s="1767"/>
      <c r="P62" s="1767"/>
      <c r="Q62" s="1768"/>
      <c r="R62" s="1769"/>
      <c r="S62" s="1769"/>
      <c r="T62" s="1769"/>
      <c r="U62" s="1769"/>
      <c r="V62" s="1769"/>
      <c r="W62" s="1769"/>
      <c r="X62" s="1769"/>
      <c r="Y62" s="1769"/>
      <c r="Z62" s="1769"/>
      <c r="AA62" s="1769"/>
      <c r="AB62" s="1769"/>
      <c r="AC62" s="1769"/>
    </row>
    <row r="63" spans="1:29" ht="15" thickTop="1">
      <c r="A63" s="607" t="s">
        <v>486</v>
      </c>
      <c r="B63" s="608" t="s">
        <v>532</v>
      </c>
      <c r="C63" s="143" t="s">
        <v>525</v>
      </c>
      <c r="D63" s="143" t="s">
        <v>526</v>
      </c>
      <c r="E63" s="143" t="s">
        <v>527</v>
      </c>
      <c r="F63" s="143" t="s">
        <v>528</v>
      </c>
      <c r="G63" s="143" t="s">
        <v>529</v>
      </c>
      <c r="H63" s="645"/>
      <c r="I63" s="645"/>
      <c r="J63" s="645"/>
      <c r="K63" s="646"/>
      <c r="L63" s="647"/>
      <c r="M63" s="648"/>
      <c r="N63" s="1765"/>
      <c r="O63" s="1765"/>
      <c r="P63" s="1772"/>
      <c r="Q63" s="1761"/>
      <c r="R63" s="1740"/>
      <c r="S63" s="1740"/>
      <c r="T63" s="1740"/>
      <c r="U63" s="1740"/>
      <c r="V63" s="1740"/>
      <c r="W63" s="1740"/>
      <c r="X63" s="1740"/>
      <c r="Y63" s="1740"/>
      <c r="Z63" s="1740"/>
      <c r="AA63" s="1740"/>
      <c r="AB63" s="1740"/>
      <c r="AC63" s="1740"/>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1553" t="s">
        <v>1838</v>
      </c>
      <c r="C65" s="649" t="s">
        <v>525</v>
      </c>
      <c r="D65" s="649" t="s">
        <v>526</v>
      </c>
      <c r="E65" s="649" t="s">
        <v>527</v>
      </c>
      <c r="F65" s="649" t="s">
        <v>528</v>
      </c>
      <c r="G65" s="649" t="s">
        <v>529</v>
      </c>
      <c r="H65" s="616"/>
      <c r="I65" s="616"/>
      <c r="J65" s="616"/>
      <c r="K65" s="617"/>
      <c r="L65" s="618"/>
      <c r="M65" s="619"/>
      <c r="N65" s="1765"/>
      <c r="O65" s="1765"/>
      <c r="P65" s="1764"/>
      <c r="Q65" s="1761"/>
      <c r="R65" s="1740"/>
      <c r="S65" s="1740"/>
      <c r="T65" s="1740"/>
      <c r="U65" s="1740"/>
      <c r="V65" s="1740"/>
      <c r="W65" s="1740"/>
      <c r="X65" s="1740"/>
      <c r="Y65" s="1740"/>
      <c r="Z65" s="1740"/>
      <c r="AA65" s="1740"/>
      <c r="AB65" s="1740"/>
      <c r="AC65" s="1740"/>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6"/>
      <c r="O66" s="1766"/>
      <c r="P66" s="1764"/>
      <c r="Q66" s="1761"/>
      <c r="R66" s="1740"/>
      <c r="S66" s="1740"/>
      <c r="T66" s="1740"/>
      <c r="U66" s="1740"/>
      <c r="V66" s="1740"/>
      <c r="W66" s="1740"/>
      <c r="X66" s="1740"/>
      <c r="Y66" s="1740"/>
      <c r="Z66" s="1740"/>
      <c r="AA66" s="1740"/>
      <c r="AB66" s="1740"/>
      <c r="AC66" s="1740"/>
    </row>
    <row r="67" spans="1:29" ht="15.75" thickTop="1">
      <c r="A67" s="482"/>
      <c r="B67" s="2054" t="s">
        <v>1839</v>
      </c>
      <c r="C67" s="2055" t="s">
        <v>1840</v>
      </c>
      <c r="D67" s="2055" t="s">
        <v>1841</v>
      </c>
      <c r="E67" s="2055" t="s">
        <v>1842</v>
      </c>
      <c r="F67" s="2055" t="s">
        <v>1843</v>
      </c>
      <c r="G67" s="2055" t="s">
        <v>1844</v>
      </c>
      <c r="H67" s="616"/>
      <c r="I67" s="616"/>
      <c r="J67" s="616"/>
      <c r="K67" s="616"/>
      <c r="L67" s="616"/>
      <c r="M67" s="2058"/>
      <c r="N67" s="1766"/>
      <c r="O67" s="1766"/>
      <c r="P67" s="1764"/>
      <c r="Q67" s="1761"/>
      <c r="R67" s="1740"/>
      <c r="S67" s="1740"/>
      <c r="T67" s="1740"/>
      <c r="U67" s="1740"/>
      <c r="V67" s="1740"/>
      <c r="W67" s="1740"/>
      <c r="X67" s="1740"/>
      <c r="Y67" s="1740"/>
      <c r="Z67" s="1740"/>
      <c r="AA67" s="1740"/>
      <c r="AB67" s="1740"/>
      <c r="AC67" s="1740"/>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682</v>
      </c>
      <c r="C69" s="649" t="s">
        <v>525</v>
      </c>
      <c r="D69" s="649" t="s">
        <v>526</v>
      </c>
      <c r="E69" s="649" t="s">
        <v>527</v>
      </c>
      <c r="F69" s="649" t="s">
        <v>528</v>
      </c>
      <c r="G69" s="649" t="s">
        <v>529</v>
      </c>
      <c r="H69" s="616"/>
      <c r="I69" s="616"/>
      <c r="J69" s="616"/>
      <c r="K69" s="617"/>
      <c r="L69" s="618"/>
      <c r="M69" s="619"/>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ht="15.75" thickTop="1">
      <c r="A71" s="482"/>
      <c r="B71" s="615" t="s">
        <v>683</v>
      </c>
      <c r="C71" s="630"/>
      <c r="D71" s="630"/>
      <c r="E71" s="630"/>
      <c r="F71" s="630"/>
      <c r="G71" s="630"/>
      <c r="H71" s="658"/>
      <c r="I71" s="658"/>
      <c r="J71" s="658"/>
      <c r="K71" s="659"/>
      <c r="L71" s="660"/>
      <c r="M71" s="661"/>
      <c r="N71" s="1765"/>
      <c r="O71" s="1765"/>
      <c r="P71" s="1764"/>
      <c r="Q71" s="1761"/>
      <c r="R71" s="1740"/>
      <c r="S71" s="1740"/>
      <c r="T71" s="1740"/>
      <c r="U71" s="1740"/>
      <c r="V71" s="1740"/>
      <c r="W71" s="1740"/>
      <c r="X71" s="1740"/>
      <c r="Y71" s="1740"/>
      <c r="Z71" s="1740"/>
      <c r="AA71" s="1740"/>
      <c r="AB71" s="1740"/>
      <c r="AC71" s="1740"/>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6"/>
      <c r="O72" s="1766"/>
      <c r="P72" s="1764"/>
      <c r="Q72" s="1761"/>
      <c r="R72" s="1740"/>
      <c r="S72" s="1740"/>
      <c r="T72" s="1740"/>
      <c r="U72" s="1740"/>
      <c r="V72" s="1740"/>
      <c r="W72" s="1740"/>
      <c r="X72" s="1740"/>
      <c r="Y72" s="1740"/>
      <c r="Z72" s="1740"/>
      <c r="AA72" s="1740"/>
      <c r="AB72" s="1740"/>
      <c r="AC72" s="1740"/>
    </row>
    <row r="73" spans="1:29" s="1057" customFormat="1" ht="15.75" thickTop="1">
      <c r="A73" s="486"/>
      <c r="B73" s="615">
        <f>B23</f>
        <v>111</v>
      </c>
      <c r="C73" s="491"/>
      <c r="D73" s="491"/>
      <c r="E73" s="491"/>
      <c r="F73" s="491"/>
      <c r="G73" s="630"/>
      <c r="H73" s="630"/>
      <c r="I73" s="630"/>
      <c r="J73" s="630"/>
      <c r="K73" s="630"/>
      <c r="L73" s="814"/>
      <c r="M73" s="815"/>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057" customFormat="1" ht="15.75" thickTop="1">
      <c r="A75" s="486"/>
      <c r="B75" s="615">
        <f>B24</f>
        <v>111</v>
      </c>
      <c r="C75" s="491"/>
      <c r="D75" s="491"/>
      <c r="E75" s="491"/>
      <c r="F75" s="491"/>
      <c r="G75" s="630"/>
      <c r="H75" s="630"/>
      <c r="I75" s="630"/>
      <c r="J75" s="630"/>
      <c r="K75" s="630"/>
      <c r="L75" s="630"/>
      <c r="M75" s="815"/>
      <c r="N75" s="1764"/>
      <c r="O75" s="1764"/>
      <c r="P75" s="1764"/>
      <c r="Q75" s="1761"/>
      <c r="R75" s="1638"/>
      <c r="S75" s="1638"/>
      <c r="T75" s="1638"/>
      <c r="U75" s="1638"/>
      <c r="V75" s="1638"/>
      <c r="W75" s="1638"/>
      <c r="X75" s="1638"/>
      <c r="Y75" s="1638"/>
      <c r="Z75" s="1638"/>
      <c r="AA75" s="1638"/>
      <c r="AB75" s="1638"/>
      <c r="AC75" s="1638"/>
    </row>
    <row r="76" spans="1:29" s="1057" customFormat="1" ht="15.75" thickBot="1">
      <c r="A76" s="486"/>
      <c r="B76" s="620"/>
      <c r="C76" s="634"/>
      <c r="D76" s="613"/>
      <c r="E76" s="613"/>
      <c r="F76" s="613"/>
      <c r="G76" s="613"/>
      <c r="H76" s="613"/>
      <c r="I76" s="613"/>
      <c r="J76" s="613"/>
      <c r="K76" s="613"/>
      <c r="L76" s="613"/>
      <c r="M76" s="614"/>
      <c r="N76" s="1766"/>
      <c r="O76" s="1766"/>
      <c r="P76" s="1764"/>
      <c r="Q76" s="1761"/>
      <c r="R76" s="1638"/>
      <c r="S76" s="1638"/>
      <c r="T76" s="1638"/>
      <c r="U76" s="1638"/>
      <c r="V76" s="1638"/>
      <c r="W76" s="1638"/>
      <c r="X76" s="1638"/>
      <c r="Y76" s="1638"/>
      <c r="Z76" s="1638"/>
      <c r="AA76" s="1638"/>
      <c r="AB76" s="1638"/>
      <c r="AC76" s="1638"/>
    </row>
    <row r="77" spans="1:29" s="1131" customFormat="1" ht="15.75" thickTop="1">
      <c r="A77" s="629"/>
      <c r="B77" s="615">
        <f>B25</f>
        <v>111</v>
      </c>
      <c r="C77" s="630"/>
      <c r="D77" s="630"/>
      <c r="E77" s="630"/>
      <c r="F77" s="630"/>
      <c r="G77" s="630"/>
      <c r="H77" s="631"/>
      <c r="I77" s="631"/>
      <c r="J77" s="631"/>
      <c r="K77" s="631"/>
      <c r="L77" s="632"/>
      <c r="M77" s="633"/>
      <c r="N77" s="1767"/>
      <c r="O77" s="1767"/>
      <c r="P77" s="1767"/>
      <c r="Q77" s="1768"/>
      <c r="R77" s="1769"/>
      <c r="S77" s="1769"/>
      <c r="T77" s="1769"/>
      <c r="U77" s="1769"/>
      <c r="V77" s="1769"/>
      <c r="W77" s="1769"/>
      <c r="X77" s="1769"/>
      <c r="Y77" s="1769"/>
      <c r="Z77" s="1769"/>
      <c r="AA77" s="1769"/>
      <c r="AB77" s="1769"/>
      <c r="AC77" s="1769"/>
    </row>
    <row r="78" spans="1:29" s="1131" customFormat="1" ht="15.75" thickBot="1">
      <c r="A78" s="629"/>
      <c r="B78" s="620"/>
      <c r="C78" s="634"/>
      <c r="D78" s="634"/>
      <c r="E78" s="634"/>
      <c r="F78" s="634"/>
      <c r="G78" s="613"/>
      <c r="H78" s="613"/>
      <c r="I78" s="613"/>
      <c r="J78" s="613"/>
      <c r="K78" s="613"/>
      <c r="L78" s="613"/>
      <c r="M78" s="614"/>
      <c r="N78" s="1767"/>
      <c r="O78" s="1767"/>
      <c r="P78" s="1767"/>
      <c r="Q78" s="1768"/>
      <c r="R78" s="1769"/>
      <c r="S78" s="1769"/>
      <c r="T78" s="1769"/>
      <c r="U78" s="1769"/>
      <c r="V78" s="1769"/>
      <c r="W78" s="1769"/>
      <c r="X78" s="1769"/>
      <c r="Y78" s="1769"/>
      <c r="Z78" s="1769"/>
      <c r="AA78" s="1769"/>
      <c r="AB78" s="1769"/>
      <c r="AC78" s="1769"/>
    </row>
    <row r="79" spans="1:29" ht="27.75" thickTop="1">
      <c r="A79" s="607" t="s">
        <v>498</v>
      </c>
      <c r="B79" s="608" t="s">
        <v>752</v>
      </c>
      <c r="C79" s="645">
        <f>C26</f>
        <v>0</v>
      </c>
      <c r="D79" s="547"/>
      <c r="E79" s="547"/>
      <c r="F79" s="547"/>
      <c r="G79" s="547"/>
      <c r="H79" s="547"/>
      <c r="I79" s="547"/>
      <c r="J79" s="547"/>
      <c r="K79" s="609"/>
      <c r="L79" s="610"/>
      <c r="M79" s="611"/>
      <c r="N79" s="1765"/>
      <c r="O79" s="1765"/>
      <c r="P79" s="1764"/>
      <c r="Q79" s="1761"/>
      <c r="R79" s="1740"/>
      <c r="S79" s="1740"/>
      <c r="T79" s="1740"/>
      <c r="U79" s="1740"/>
      <c r="V79" s="1740"/>
      <c r="W79" s="1740"/>
      <c r="X79" s="1740"/>
      <c r="Y79" s="1740"/>
      <c r="Z79" s="1740"/>
      <c r="AA79" s="1740"/>
      <c r="AB79" s="1740"/>
      <c r="AC79" s="1740"/>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2"/>
      <c r="B81" s="615" t="s">
        <v>753</v>
      </c>
      <c r="C81" s="856"/>
      <c r="D81" s="856"/>
      <c r="E81" s="856"/>
      <c r="F81" s="856"/>
      <c r="G81" s="856"/>
      <c r="H81" s="856"/>
      <c r="I81" s="856"/>
      <c r="J81" s="856"/>
      <c r="K81" s="857"/>
      <c r="L81" s="858"/>
      <c r="M81" s="859"/>
      <c r="N81" s="1764"/>
      <c r="O81" s="1764"/>
      <c r="P81" s="1764"/>
      <c r="Q81" s="1761"/>
      <c r="R81" s="1740"/>
      <c r="S81" s="1740"/>
      <c r="T81" s="1740"/>
      <c r="U81" s="1740"/>
      <c r="V81" s="1740"/>
      <c r="W81" s="1740"/>
      <c r="X81" s="1740"/>
      <c r="Y81" s="1740"/>
      <c r="Z81" s="1740"/>
      <c r="AA81" s="1740"/>
      <c r="AB81" s="1740"/>
      <c r="AC81" s="1740"/>
    </row>
    <row r="82" spans="1:29" s="1131" customFormat="1" ht="15.75" thickBot="1">
      <c r="A82" s="629"/>
      <c r="B82" s="620"/>
      <c r="C82" s="634"/>
      <c r="D82" s="613"/>
      <c r="E82" s="613"/>
      <c r="F82" s="613"/>
      <c r="G82" s="613"/>
      <c r="H82" s="613"/>
      <c r="I82" s="613"/>
      <c r="J82" s="613"/>
      <c r="K82" s="613"/>
      <c r="L82" s="613"/>
      <c r="M82" s="614"/>
      <c r="N82" s="1766"/>
      <c r="O82" s="1766"/>
      <c r="P82" s="1767"/>
      <c r="Q82" s="1768"/>
      <c r="R82" s="1769"/>
      <c r="S82" s="1769"/>
      <c r="T82" s="1769"/>
      <c r="U82" s="1769"/>
      <c r="V82" s="1769"/>
      <c r="W82" s="1769"/>
      <c r="X82" s="1769"/>
      <c r="Y82" s="1769"/>
      <c r="Z82" s="1769"/>
      <c r="AA82" s="1769"/>
      <c r="AB82" s="1769"/>
      <c r="AC82" s="1769"/>
    </row>
    <row r="83" spans="1:29" ht="15" thickTop="1">
      <c r="A83" s="543"/>
      <c r="B83" s="615" t="s">
        <v>689</v>
      </c>
      <c r="C83" s="630"/>
      <c r="D83" s="630"/>
      <c r="E83" s="658"/>
      <c r="F83" s="658"/>
      <c r="G83" s="658"/>
      <c r="H83" s="658"/>
      <c r="I83" s="658"/>
      <c r="J83" s="658"/>
      <c r="K83" s="659"/>
      <c r="L83" s="660"/>
      <c r="M83" s="661"/>
      <c r="N83" s="1765"/>
      <c r="O83" s="1765"/>
      <c r="P83" s="1764"/>
      <c r="Q83" s="1761"/>
      <c r="R83" s="1740"/>
      <c r="S83" s="1740"/>
      <c r="T83" s="1740"/>
      <c r="U83" s="1740"/>
      <c r="V83" s="1740"/>
      <c r="W83" s="1740"/>
      <c r="X83" s="1740"/>
      <c r="Y83" s="1740"/>
      <c r="Z83" s="1740"/>
      <c r="AA83" s="1740"/>
      <c r="AB83" s="1740"/>
      <c r="AC83" s="1740"/>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6"/>
      <c r="O84" s="1766"/>
      <c r="P84" s="1764"/>
      <c r="Q84" s="1761"/>
      <c r="R84" s="1740"/>
      <c r="S84" s="1740"/>
      <c r="T84" s="1740"/>
      <c r="U84" s="1740"/>
      <c r="V84" s="1740"/>
      <c r="W84" s="1740"/>
      <c r="X84" s="1740"/>
      <c r="Y84" s="1740"/>
      <c r="Z84" s="1740"/>
      <c r="AA84" s="1740"/>
      <c r="AB84" s="1740"/>
      <c r="AC84" s="1740"/>
    </row>
    <row r="85" spans="1:29" ht="15" thickTop="1">
      <c r="A85" s="543"/>
      <c r="B85" s="615" t="s">
        <v>754</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5"/>
      <c r="O85" s="1765"/>
      <c r="P85" s="1764"/>
      <c r="Q85" s="1761"/>
      <c r="R85" s="1740"/>
      <c r="S85" s="1740"/>
      <c r="T85" s="1740"/>
      <c r="U85" s="1740"/>
      <c r="V85" s="1740"/>
      <c r="W85" s="1740"/>
      <c r="X85" s="1740"/>
      <c r="Y85" s="1740"/>
      <c r="Z85" s="1740"/>
      <c r="AA85" s="1740"/>
      <c r="AB85" s="1740"/>
      <c r="AC85" s="1740"/>
    </row>
    <row r="86" spans="1:29">
      <c r="A86" s="543"/>
      <c r="B86" s="623"/>
      <c r="C86" s="817">
        <v>0.5</v>
      </c>
      <c r="D86" s="817">
        <v>0.6</v>
      </c>
      <c r="E86" s="817">
        <v>0.7</v>
      </c>
      <c r="F86" s="817">
        <v>0.8</v>
      </c>
      <c r="G86" s="817">
        <v>0.9</v>
      </c>
      <c r="H86" s="817">
        <v>1.0001</v>
      </c>
      <c r="I86" s="827"/>
      <c r="J86" s="827"/>
      <c r="K86" s="828"/>
      <c r="L86" s="829"/>
      <c r="M86" s="830"/>
      <c r="N86" s="1765"/>
      <c r="O86" s="1765"/>
      <c r="P86" s="1764"/>
      <c r="Q86" s="1761"/>
      <c r="R86" s="1740"/>
      <c r="S86" s="1740"/>
      <c r="T86" s="1740"/>
      <c r="U86" s="1740"/>
      <c r="V86" s="1740"/>
      <c r="W86" s="1740"/>
      <c r="X86" s="1740"/>
      <c r="Y86" s="1740"/>
      <c r="Z86" s="1740"/>
      <c r="AA86" s="1740"/>
      <c r="AB86" s="1740"/>
      <c r="AC86" s="1740"/>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6"/>
      <c r="O87" s="1766"/>
      <c r="P87" s="1764"/>
      <c r="Q87" s="1761"/>
      <c r="R87" s="1740"/>
      <c r="S87" s="1740"/>
      <c r="T87" s="1740"/>
      <c r="U87" s="1740"/>
      <c r="V87" s="1740"/>
      <c r="W87" s="1740"/>
      <c r="X87" s="1740"/>
      <c r="Y87" s="1740"/>
      <c r="Z87" s="1740"/>
      <c r="AA87" s="1740"/>
      <c r="AB87" s="1740"/>
      <c r="AC87" s="1740"/>
    </row>
    <row r="88" spans="1:29" ht="15" thickTop="1">
      <c r="A88" s="543"/>
      <c r="B88" s="623" t="s">
        <v>755</v>
      </c>
      <c r="C88" s="547"/>
      <c r="D88" s="547"/>
      <c r="E88" s="547"/>
      <c r="F88" s="547"/>
      <c r="G88" s="547"/>
      <c r="H88" s="547"/>
      <c r="I88" s="547"/>
      <c r="J88" s="547"/>
      <c r="K88" s="609"/>
      <c r="L88" s="610"/>
      <c r="M88" s="611"/>
      <c r="N88" s="1765"/>
      <c r="O88" s="1765"/>
      <c r="P88" s="1764"/>
      <c r="Q88" s="1761"/>
      <c r="R88" s="1740"/>
      <c r="S88" s="1740"/>
      <c r="T88" s="1740"/>
      <c r="U88" s="1740"/>
      <c r="V88" s="1740"/>
      <c r="W88" s="1740"/>
      <c r="X88" s="1740"/>
      <c r="Y88" s="1740"/>
      <c r="Z88" s="1740"/>
      <c r="AA88" s="1740"/>
      <c r="AB88" s="1740"/>
      <c r="AC88" s="1740"/>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6"/>
      <c r="O89" s="1766"/>
      <c r="P89" s="1764"/>
      <c r="Q89" s="1761"/>
      <c r="R89" s="1740"/>
      <c r="S89" s="1740"/>
      <c r="T89" s="1740"/>
      <c r="U89" s="1740"/>
      <c r="V89" s="1740"/>
      <c r="W89" s="1740"/>
      <c r="X89" s="1740"/>
      <c r="Y89" s="1740"/>
      <c r="Z89" s="1740"/>
      <c r="AA89" s="1740"/>
      <c r="AB89" s="1740"/>
      <c r="AC89" s="1740"/>
    </row>
    <row r="90" spans="1:29" s="1131" customFormat="1" ht="15" thickTop="1">
      <c r="A90" s="552"/>
      <c r="B90" s="615" t="s">
        <v>756</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7"/>
      <c r="O90" s="1767"/>
      <c r="P90" s="1767"/>
      <c r="Q90" s="1768"/>
      <c r="R90" s="1769"/>
      <c r="S90" s="1769"/>
      <c r="T90" s="1769"/>
      <c r="U90" s="1769"/>
      <c r="V90" s="1769"/>
      <c r="W90" s="1769"/>
      <c r="X90" s="1769"/>
      <c r="Y90" s="1769"/>
      <c r="Z90" s="1769"/>
      <c r="AA90" s="1769"/>
      <c r="AB90" s="1769"/>
      <c r="AC90" s="1769"/>
    </row>
    <row r="91" spans="1:29" s="1131" customFormat="1">
      <c r="A91" s="552"/>
      <c r="B91" s="623"/>
      <c r="C91" s="79"/>
      <c r="D91" s="79"/>
      <c r="E91" s="79"/>
      <c r="F91" s="79"/>
      <c r="G91" s="79"/>
      <c r="H91" s="79"/>
      <c r="I91" s="79"/>
      <c r="J91" s="669"/>
      <c r="K91" s="669"/>
      <c r="L91" s="670"/>
      <c r="M91" s="671"/>
      <c r="N91" s="1767"/>
      <c r="O91" s="1767"/>
      <c r="P91" s="1767"/>
      <c r="Q91" s="1768"/>
      <c r="R91" s="1769"/>
      <c r="S91" s="1769"/>
      <c r="T91" s="1769"/>
      <c r="U91" s="1769"/>
      <c r="V91" s="1769"/>
      <c r="W91" s="1769"/>
      <c r="X91" s="1769"/>
      <c r="Y91" s="1769"/>
      <c r="Z91" s="1769"/>
      <c r="AA91" s="1769"/>
      <c r="AB91" s="1769"/>
      <c r="AC91" s="1769"/>
    </row>
    <row r="92" spans="1:29" s="1131" customFormat="1" ht="15.75" thickBot="1">
      <c r="A92" s="629"/>
      <c r="B92" s="620"/>
      <c r="C92" s="634"/>
      <c r="D92" s="613"/>
      <c r="E92" s="613"/>
      <c r="F92" s="613"/>
      <c r="G92" s="613"/>
      <c r="H92" s="613"/>
      <c r="I92" s="613"/>
      <c r="J92" s="613"/>
      <c r="K92" s="613"/>
      <c r="L92" s="613"/>
      <c r="M92" s="614"/>
      <c r="N92" s="1767"/>
      <c r="O92" s="1767"/>
      <c r="P92" s="1767"/>
      <c r="Q92" s="1768"/>
      <c r="R92" s="1769"/>
      <c r="S92" s="1769"/>
      <c r="T92" s="1769"/>
      <c r="U92" s="1769"/>
      <c r="V92" s="1769"/>
      <c r="W92" s="1769"/>
      <c r="X92" s="1769"/>
      <c r="Y92" s="1769"/>
      <c r="Z92" s="1769"/>
      <c r="AA92" s="1769"/>
      <c r="AB92" s="1769"/>
      <c r="AC92" s="1769"/>
    </row>
    <row r="93" spans="1:29" ht="15" thickTop="1">
      <c r="A93" s="543"/>
      <c r="B93" s="615" t="s">
        <v>757</v>
      </c>
      <c r="C93" s="630"/>
      <c r="D93" s="630"/>
      <c r="E93" s="658"/>
      <c r="F93" s="658"/>
      <c r="G93" s="658"/>
      <c r="H93" s="658"/>
      <c r="I93" s="658"/>
      <c r="J93" s="658"/>
      <c r="K93" s="659"/>
      <c r="L93" s="660"/>
      <c r="M93" s="661"/>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6"/>
      <c r="O94" s="1766"/>
      <c r="P94" s="1764"/>
      <c r="Q94" s="1761"/>
      <c r="R94" s="1740"/>
      <c r="S94" s="1740"/>
      <c r="T94" s="1740"/>
      <c r="U94" s="1740"/>
      <c r="V94" s="1740"/>
      <c r="W94" s="1740"/>
      <c r="X94" s="1740"/>
      <c r="Y94" s="1740"/>
      <c r="Z94" s="1740"/>
      <c r="AA94" s="1740"/>
      <c r="AB94" s="1740"/>
      <c r="AC94" s="1740"/>
    </row>
    <row r="95" spans="1:29" ht="15" thickTop="1">
      <c r="A95" s="543"/>
      <c r="B95" s="615" t="s">
        <v>758</v>
      </c>
      <c r="C95" s="547"/>
      <c r="D95" s="547"/>
      <c r="E95" s="547"/>
      <c r="F95" s="547"/>
      <c r="G95" s="547"/>
      <c r="H95" s="547"/>
      <c r="I95" s="547"/>
      <c r="J95" s="547"/>
      <c r="K95" s="609"/>
      <c r="L95" s="610"/>
      <c r="M95" s="611"/>
      <c r="N95" s="1765"/>
      <c r="O95" s="1765"/>
      <c r="P95" s="1764"/>
      <c r="Q95" s="1761"/>
      <c r="R95" s="1740"/>
      <c r="S95" s="1740"/>
      <c r="T95" s="1740"/>
      <c r="U95" s="1740"/>
      <c r="V95" s="1740"/>
      <c r="W95" s="1740"/>
      <c r="X95" s="1740"/>
      <c r="Y95" s="1740"/>
      <c r="Z95" s="1740"/>
      <c r="AA95" s="1740"/>
      <c r="AB95" s="1740"/>
      <c r="AC95" s="1740"/>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6"/>
      <c r="O96" s="1766"/>
      <c r="P96" s="1764"/>
      <c r="Q96" s="1761"/>
      <c r="R96" s="1740"/>
      <c r="S96" s="1740"/>
      <c r="T96" s="1740"/>
      <c r="U96" s="1740"/>
      <c r="V96" s="1740"/>
      <c r="W96" s="1740"/>
      <c r="X96" s="1740"/>
      <c r="Y96" s="1740"/>
      <c r="Z96" s="1740"/>
      <c r="AA96" s="1740"/>
      <c r="AB96" s="1740"/>
      <c r="AC96" s="1740"/>
    </row>
    <row r="97" spans="1:29" ht="15" thickTop="1">
      <c r="A97" s="543"/>
      <c r="B97" s="838">
        <f>B34</f>
        <v>111</v>
      </c>
      <c r="C97" s="491"/>
      <c r="D97" s="491"/>
      <c r="E97" s="491"/>
      <c r="F97" s="491"/>
      <c r="G97" s="630"/>
      <c r="H97" s="631"/>
      <c r="I97" s="631"/>
      <c r="J97" s="631"/>
      <c r="K97" s="631"/>
      <c r="L97" s="632"/>
      <c r="M97" s="633"/>
      <c r="N97" s="1766"/>
      <c r="O97" s="1766"/>
      <c r="P97" s="1766"/>
      <c r="Q97" s="1801"/>
      <c r="R97" s="1740"/>
      <c r="S97" s="1740"/>
      <c r="T97" s="1740"/>
      <c r="U97" s="1740"/>
      <c r="V97" s="1740"/>
      <c r="W97" s="1740"/>
      <c r="X97" s="1740"/>
      <c r="Y97" s="1740"/>
      <c r="Z97" s="1740"/>
      <c r="AA97" s="1740"/>
      <c r="AB97" s="1740"/>
      <c r="AC97" s="1740"/>
    </row>
    <row r="98" spans="1:29" ht="15.75" thickBot="1">
      <c r="A98" s="482"/>
      <c r="B98" s="620"/>
      <c r="C98" s="634"/>
      <c r="D98" s="613"/>
      <c r="E98" s="613"/>
      <c r="F98" s="613"/>
      <c r="G98" s="634"/>
      <c r="H98" s="635"/>
      <c r="I98" s="635"/>
      <c r="J98" s="635"/>
      <c r="K98" s="635"/>
      <c r="L98" s="635"/>
      <c r="M98" s="636"/>
      <c r="N98" s="1766"/>
      <c r="O98" s="1766"/>
      <c r="P98" s="1764"/>
      <c r="Q98" s="1761"/>
      <c r="R98" s="1740"/>
      <c r="S98" s="1740"/>
      <c r="T98" s="1740"/>
      <c r="U98" s="1740"/>
      <c r="V98" s="1740"/>
      <c r="W98" s="1740"/>
      <c r="X98" s="1740"/>
      <c r="Y98" s="1740"/>
      <c r="Z98" s="1740"/>
      <c r="AA98" s="1740"/>
      <c r="AB98" s="1740"/>
      <c r="AC98" s="1740"/>
    </row>
    <row r="99" spans="1:29" s="1131" customFormat="1" ht="15" thickTop="1">
      <c r="A99" s="552"/>
      <c r="B99" s="615">
        <f>B35</f>
        <v>111</v>
      </c>
      <c r="C99" s="491"/>
      <c r="D99" s="491"/>
      <c r="E99" s="491"/>
      <c r="F99" s="491"/>
      <c r="G99" s="630"/>
      <c r="H99" s="631"/>
      <c r="I99" s="631"/>
      <c r="J99" s="631"/>
      <c r="K99" s="631"/>
      <c r="L99" s="632"/>
      <c r="M99" s="633"/>
      <c r="N99" s="1767"/>
      <c r="O99" s="1767"/>
      <c r="P99" s="1767"/>
      <c r="Q99" s="1768"/>
      <c r="R99" s="1769"/>
      <c r="S99" s="1769"/>
      <c r="T99" s="1769"/>
      <c r="U99" s="1769"/>
      <c r="V99" s="1769"/>
      <c r="W99" s="1769"/>
      <c r="X99" s="1769"/>
      <c r="Y99" s="1769"/>
      <c r="Z99" s="1769"/>
      <c r="AA99" s="1769"/>
      <c r="AB99" s="1769"/>
      <c r="AC99" s="1769"/>
    </row>
    <row r="100" spans="1:29" s="1131" customFormat="1" ht="15.75" thickBot="1">
      <c r="A100" s="629"/>
      <c r="B100" s="612"/>
      <c r="C100" s="634"/>
      <c r="D100" s="613"/>
      <c r="E100" s="613"/>
      <c r="F100" s="613"/>
      <c r="G100" s="634"/>
      <c r="H100" s="635"/>
      <c r="I100" s="635"/>
      <c r="J100" s="635"/>
      <c r="K100" s="635"/>
      <c r="L100" s="635"/>
      <c r="M100" s="636"/>
      <c r="N100" s="1767"/>
      <c r="O100" s="1767"/>
      <c r="P100" s="1767"/>
      <c r="Q100" s="1768"/>
      <c r="R100" s="1769"/>
      <c r="S100" s="1769"/>
      <c r="T100" s="1769"/>
      <c r="U100" s="1769"/>
      <c r="V100" s="1769"/>
      <c r="W100" s="1769"/>
      <c r="X100" s="1769"/>
      <c r="Y100" s="1769"/>
      <c r="Z100" s="1769"/>
      <c r="AA100" s="1769"/>
      <c r="AB100" s="1769"/>
      <c r="AC100" s="1769"/>
    </row>
    <row r="101" spans="1:29" ht="15" thickTop="1">
      <c r="A101" s="543"/>
      <c r="B101" s="615">
        <f>B36</f>
        <v>111</v>
      </c>
      <c r="C101" s="630"/>
      <c r="D101" s="630"/>
      <c r="E101" s="630"/>
      <c r="F101" s="630"/>
      <c r="G101" s="630"/>
      <c r="H101" s="631"/>
      <c r="I101" s="631"/>
      <c r="J101" s="631"/>
      <c r="K101" s="631"/>
      <c r="L101" s="632"/>
      <c r="M101" s="633"/>
      <c r="N101" s="1765"/>
      <c r="O101" s="1765"/>
      <c r="P101" s="1764"/>
      <c r="Q101" s="1761"/>
      <c r="R101" s="1740"/>
      <c r="S101" s="1740"/>
      <c r="T101" s="1740"/>
      <c r="U101" s="1740"/>
      <c r="V101" s="1740"/>
      <c r="W101" s="1740"/>
      <c r="X101" s="1740"/>
      <c r="Y101" s="1740"/>
      <c r="Z101" s="1740"/>
      <c r="AA101" s="1740"/>
      <c r="AB101" s="1740"/>
      <c r="AC101" s="1740"/>
    </row>
    <row r="102" spans="1:29" ht="15.75" thickBot="1">
      <c r="A102" s="482"/>
      <c r="B102" s="620"/>
      <c r="C102" s="634"/>
      <c r="D102" s="634"/>
      <c r="E102" s="634"/>
      <c r="F102" s="634"/>
      <c r="G102" s="634"/>
      <c r="H102" s="635"/>
      <c r="I102" s="635"/>
      <c r="J102" s="635"/>
      <c r="K102" s="635"/>
      <c r="L102" s="635"/>
      <c r="M102" s="636"/>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4" customWidth="1"/>
    <col min="12" max="12" width="12.25" style="1135"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pans="1:29" s="1128" customFormat="1" ht="28.5" customHeight="1">
      <c r="A1" s="453" t="s">
        <v>663</v>
      </c>
      <c r="B1" s="844"/>
      <c r="C1" s="455" t="s">
        <v>730</v>
      </c>
      <c r="D1" s="783"/>
      <c r="E1" s="457"/>
      <c r="F1" s="2116"/>
      <c r="G1" s="1326" t="s">
        <v>731</v>
      </c>
      <c r="H1" s="457"/>
      <c r="I1" s="457"/>
      <c r="J1" s="457"/>
      <c r="K1" s="458"/>
      <c r="L1" s="2716"/>
      <c r="M1" s="2717"/>
      <c r="N1" s="2717"/>
      <c r="O1" s="2717"/>
      <c r="P1" s="1738"/>
      <c r="Q1" s="1738"/>
      <c r="R1" s="1738"/>
      <c r="S1" s="1738"/>
      <c r="T1" s="1738"/>
      <c r="U1" s="1738"/>
      <c r="V1" s="1738"/>
      <c r="W1" s="1738"/>
      <c r="X1" s="1738"/>
      <c r="Y1" s="1738"/>
      <c r="Z1" s="1738"/>
      <c r="AA1" s="1738"/>
      <c r="AB1" s="1738"/>
      <c r="AC1" s="1672"/>
    </row>
    <row r="2" spans="1:29" s="1128" customFormat="1" ht="28.5" customHeight="1">
      <c r="A2" s="393" t="s">
        <v>732</v>
      </c>
      <c r="B2" s="784"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8" customFormat="1" ht="28.5" customHeight="1" thickBot="1">
      <c r="A3" s="460" t="s">
        <v>733</v>
      </c>
      <c r="B3" s="461" t="e">
        <f>C37</f>
        <v>#DIV/0!</v>
      </c>
      <c r="C3" s="786" t="s">
        <v>734</v>
      </c>
      <c r="D3" s="785">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8"/>
      <c r="AC3" s="1672"/>
    </row>
    <row r="4" spans="1:29" ht="15">
      <c r="A4" s="463" t="s">
        <v>735</v>
      </c>
      <c r="B4" s="464"/>
      <c r="C4" s="3604" t="s">
        <v>736</v>
      </c>
      <c r="D4" s="3605"/>
      <c r="E4" s="3639" t="s">
        <v>737</v>
      </c>
      <c r="F4" s="3640"/>
      <c r="G4" s="3604" t="s">
        <v>738</v>
      </c>
      <c r="H4" s="3605"/>
      <c r="I4" s="3604" t="s">
        <v>739</v>
      </c>
      <c r="J4" s="3605"/>
      <c r="K4" s="465" t="s">
        <v>740</v>
      </c>
      <c r="L4" s="1739"/>
      <c r="M4" s="1740"/>
      <c r="N4" s="1740"/>
      <c r="O4" s="1740"/>
      <c r="P4" s="3606" t="s">
        <v>741</v>
      </c>
      <c r="Q4" s="3607"/>
      <c r="R4" s="3612" t="s">
        <v>737</v>
      </c>
      <c r="S4" s="3613"/>
      <c r="T4" s="3612" t="s">
        <v>738</v>
      </c>
      <c r="U4" s="3613"/>
      <c r="V4" s="3599" t="s">
        <v>739</v>
      </c>
      <c r="W4" s="3599"/>
      <c r="X4" s="1300"/>
      <c r="Y4" s="3612" t="s">
        <v>741</v>
      </c>
      <c r="Z4" s="3613"/>
      <c r="AA4" s="3601" t="s">
        <v>737</v>
      </c>
      <c r="AB4" s="3602" t="s">
        <v>738</v>
      </c>
      <c r="AC4" s="3601" t="s">
        <v>739</v>
      </c>
    </row>
    <row r="5" spans="1:29" ht="15">
      <c r="A5" s="466"/>
      <c r="B5" s="467"/>
      <c r="C5" s="3620" t="s">
        <v>2180</v>
      </c>
      <c r="D5" s="3621"/>
      <c r="E5" s="3641" t="s">
        <v>2181</v>
      </c>
      <c r="F5" s="3642"/>
      <c r="G5" s="3620" t="s">
        <v>2182</v>
      </c>
      <c r="H5" s="3621"/>
      <c r="I5" s="3620" t="s">
        <v>2183</v>
      </c>
      <c r="J5" s="3621"/>
      <c r="K5" s="465"/>
      <c r="L5" s="1739"/>
      <c r="M5" s="1740"/>
      <c r="N5" s="1740"/>
      <c r="O5" s="1740"/>
      <c r="P5" s="3608"/>
      <c r="Q5" s="3609"/>
      <c r="R5" s="3614"/>
      <c r="S5" s="3615"/>
      <c r="T5" s="3614"/>
      <c r="U5" s="3615"/>
      <c r="V5" s="3599"/>
      <c r="W5" s="3599"/>
      <c r="X5" s="1300"/>
      <c r="Y5" s="3614"/>
      <c r="Z5" s="3615"/>
      <c r="AA5" s="3602"/>
      <c r="AB5" s="3602"/>
      <c r="AC5" s="3602"/>
    </row>
    <row r="6" spans="1:29" ht="15.75" thickBot="1">
      <c r="A6" s="468"/>
      <c r="B6" s="469"/>
      <c r="C6" s="3618" t="s">
        <v>2184</v>
      </c>
      <c r="D6" s="3619"/>
      <c r="E6" s="3637" t="s">
        <v>2184</v>
      </c>
      <c r="F6" s="3638"/>
      <c r="G6" s="3618" t="s">
        <v>2184</v>
      </c>
      <c r="H6" s="3619"/>
      <c r="I6" s="3618" t="s">
        <v>2184</v>
      </c>
      <c r="J6" s="3619"/>
      <c r="K6" s="465" t="s">
        <v>475</v>
      </c>
      <c r="L6" s="1739"/>
      <c r="M6" s="1740"/>
      <c r="N6" s="1740"/>
      <c r="O6" s="1740"/>
      <c r="P6" s="3610"/>
      <c r="Q6" s="3611"/>
      <c r="R6" s="3614"/>
      <c r="S6" s="3615"/>
      <c r="T6" s="3616"/>
      <c r="U6" s="3617"/>
      <c r="V6" s="3599"/>
      <c r="W6" s="3599"/>
      <c r="X6" s="1300"/>
      <c r="Y6" s="3616"/>
      <c r="Z6" s="3617"/>
      <c r="AA6" s="3603"/>
      <c r="AB6" s="3603"/>
      <c r="AC6" s="3603"/>
    </row>
    <row r="7" spans="1:29" s="1057" customFormat="1" ht="15.75" thickBot="1">
      <c r="A7" s="2207"/>
      <c r="B7" s="2214" t="s">
        <v>476</v>
      </c>
      <c r="C7" s="470">
        <f>'数据-取费表'!B2</f>
        <v>45817</v>
      </c>
      <c r="D7" s="471">
        <v>100</v>
      </c>
      <c r="E7" s="472"/>
      <c r="F7" s="473">
        <f>SUMIF(46:46,YEAR(E7)&amp;"-"&amp;MONTH(E7),47:47)</f>
        <v>0</v>
      </c>
      <c r="G7" s="474"/>
      <c r="H7" s="471">
        <f>SUMIF(46:46,YEAR(G7)&amp;"-"&amp;MONTH(G7),47:47)</f>
        <v>0</v>
      </c>
      <c r="I7" s="474"/>
      <c r="J7" s="471">
        <f>SUMIF(46:46,YEAR(I7)&amp;"-"&amp;MONTH(I7),47:47)</f>
        <v>0</v>
      </c>
      <c r="K7" s="88"/>
      <c r="L7" s="1741"/>
      <c r="M7" s="1638"/>
      <c r="N7" s="1638"/>
      <c r="O7" s="1638"/>
      <c r="P7" s="3628" t="s">
        <v>477</v>
      </c>
      <c r="Q7" s="3630"/>
      <c r="R7" s="1301" t="s">
        <v>5</v>
      </c>
      <c r="S7" s="1302">
        <f t="shared" ref="S7:S14" si="0">F7</f>
        <v>0</v>
      </c>
      <c r="T7" s="1301" t="s">
        <v>5</v>
      </c>
      <c r="U7" s="1302">
        <f t="shared" ref="U7:U14" si="1">H7</f>
        <v>0</v>
      </c>
      <c r="V7" s="1301" t="s">
        <v>5</v>
      </c>
      <c r="W7" s="1302">
        <f t="shared" ref="W7:W14" si="2">J7</f>
        <v>0</v>
      </c>
      <c r="X7" s="1303"/>
      <c r="Y7" s="3628" t="s">
        <v>477</v>
      </c>
      <c r="Z7" s="3629"/>
      <c r="AA7" s="994" t="e">
        <f>D7/F7</f>
        <v>#DIV/0!</v>
      </c>
      <c r="AB7" s="994" t="e">
        <f>D7/H7</f>
        <v>#DIV/0!</v>
      </c>
      <c r="AC7" s="994" t="e">
        <f>D7/J7</f>
        <v>#DIV/0!</v>
      </c>
    </row>
    <row r="8" spans="1:29" s="1057" customFormat="1" ht="15.75" thickBot="1">
      <c r="A8" s="2208"/>
      <c r="B8" s="2215" t="s">
        <v>478</v>
      </c>
      <c r="C8" s="475" t="s">
        <v>522</v>
      </c>
      <c r="D8" s="471">
        <v>100</v>
      </c>
      <c r="E8" s="475"/>
      <c r="F8" s="473">
        <f>SUMIF(49:49,E8,50:50)-SUMIF(49:49,C8,50:50)+100</f>
        <v>0</v>
      </c>
      <c r="G8" s="475"/>
      <c r="H8" s="471">
        <f>SUMIF(49:49,G8,50:50)-SUMIF(49:49,C8,50:50)+100</f>
        <v>0</v>
      </c>
      <c r="I8" s="475"/>
      <c r="J8" s="471">
        <f>SUMIF(49:49,I8,50:50)-SUMIF(49:49,C8,50:50)+100</f>
        <v>0</v>
      </c>
      <c r="K8" s="88"/>
      <c r="L8" s="1741"/>
      <c r="M8" s="1638"/>
      <c r="N8" s="1638"/>
      <c r="O8" s="1638"/>
      <c r="P8" s="3628" t="s">
        <v>480</v>
      </c>
      <c r="Q8" s="3629"/>
      <c r="R8" s="1301" t="s">
        <v>5</v>
      </c>
      <c r="S8" s="1302">
        <f t="shared" si="0"/>
        <v>0</v>
      </c>
      <c r="T8" s="1301" t="s">
        <v>5</v>
      </c>
      <c r="U8" s="1302">
        <f t="shared" si="1"/>
        <v>0</v>
      </c>
      <c r="V8" s="1301" t="s">
        <v>5</v>
      </c>
      <c r="W8" s="1302">
        <f t="shared" si="2"/>
        <v>0</v>
      </c>
      <c r="X8" s="1303"/>
      <c r="Y8" s="3628" t="s">
        <v>480</v>
      </c>
      <c r="Z8" s="3629"/>
      <c r="AA8" s="994" t="e">
        <f t="shared" ref="AA8:AA34" si="3">D8/F8</f>
        <v>#DIV/0!</v>
      </c>
      <c r="AB8" s="994" t="e">
        <f t="shared" ref="AB8:AB34" si="4">D8/H8</f>
        <v>#DIV/0!</v>
      </c>
      <c r="AC8" s="994" t="e">
        <f t="shared" ref="AC8:AC34" si="5">D8/J8</f>
        <v>#DIV/0!</v>
      </c>
    </row>
    <row r="9" spans="1:29" s="1057" customFormat="1" ht="15">
      <c r="A9" s="2209"/>
      <c r="B9" s="2216" t="s">
        <v>2036</v>
      </c>
      <c r="C9" s="791"/>
      <c r="D9" s="154">
        <v>100</v>
      </c>
      <c r="E9" s="793"/>
      <c r="F9" s="154">
        <f>SUMIF(51:51,E9,52:52)-SUMIF(51:51,C9,52:52)+100</f>
        <v>100</v>
      </c>
      <c r="G9" s="793"/>
      <c r="H9" s="154">
        <f>SUMIF(51:51,G9,52:52)-SUMIF(51:51,C9,52:52)+100</f>
        <v>100</v>
      </c>
      <c r="I9" s="793"/>
      <c r="J9" s="154">
        <f>SUMIF(51:51,I9,52:52)-SUMIF(51:51,C9,52:52)+100</f>
        <v>100</v>
      </c>
      <c r="K9" s="88"/>
      <c r="L9" s="1741"/>
      <c r="M9" s="1638"/>
      <c r="N9" s="1638"/>
      <c r="O9" s="1742"/>
      <c r="P9" s="3598" t="s">
        <v>482</v>
      </c>
      <c r="Q9" s="817" t="str">
        <f t="shared" ref="Q9:Q14" si="6">B9</f>
        <v>用途</v>
      </c>
      <c r="R9" s="1301" t="s">
        <v>5</v>
      </c>
      <c r="S9" s="1302">
        <f t="shared" si="0"/>
        <v>100</v>
      </c>
      <c r="T9" s="1301" t="s">
        <v>5</v>
      </c>
      <c r="U9" s="1302">
        <f t="shared" si="1"/>
        <v>100</v>
      </c>
      <c r="V9" s="1301" t="s">
        <v>5</v>
      </c>
      <c r="W9" s="1302">
        <f t="shared" si="2"/>
        <v>100</v>
      </c>
      <c r="X9" s="1303"/>
      <c r="Y9" s="3540" t="s">
        <v>483</v>
      </c>
      <c r="Z9" s="994" t="str">
        <f t="shared" ref="Z9:Z14" si="7">Q9</f>
        <v>用途</v>
      </c>
      <c r="AA9" s="994">
        <f t="shared" si="3"/>
        <v>1</v>
      </c>
      <c r="AB9" s="994">
        <f t="shared" si="4"/>
        <v>1</v>
      </c>
      <c r="AC9" s="994">
        <f t="shared" si="5"/>
        <v>1</v>
      </c>
    </row>
    <row r="10" spans="1:29" s="1130" customFormat="1" ht="27">
      <c r="A10" s="2210"/>
      <c r="B10" s="2215" t="s">
        <v>2037</v>
      </c>
      <c r="C10" s="3385"/>
      <c r="D10" s="235">
        <v>100</v>
      </c>
      <c r="E10" s="3385"/>
      <c r="F10" s="235">
        <f>SUMIF(53:53,E10,54:54)-SUMIF(53:53,C10,54:54)+100</f>
        <v>100</v>
      </c>
      <c r="G10" s="3386"/>
      <c r="H10" s="235">
        <f>SUMIF(53:53,G10,54:54)-SUMIF(53:53,C10,54:54)+100</f>
        <v>100</v>
      </c>
      <c r="I10" s="3385"/>
      <c r="J10" s="235">
        <f>SUMIF(53:53,I10,54:54)-SUMIF(53:53,C10,54:54)+100</f>
        <v>100</v>
      </c>
      <c r="K10" s="88"/>
      <c r="L10" s="1743"/>
      <c r="M10" s="1776"/>
      <c r="N10" s="1776"/>
      <c r="O10" s="1744"/>
      <c r="P10" s="3598"/>
      <c r="Q10" s="817" t="str">
        <f t="shared" si="6"/>
        <v>土地使用年限（年）</v>
      </c>
      <c r="R10" s="1301" t="s">
        <v>5</v>
      </c>
      <c r="S10" s="1302">
        <f t="shared" si="0"/>
        <v>100</v>
      </c>
      <c r="T10" s="1301" t="s">
        <v>5</v>
      </c>
      <c r="U10" s="1302">
        <f t="shared" si="1"/>
        <v>100</v>
      </c>
      <c r="V10" s="1301" t="s">
        <v>5</v>
      </c>
      <c r="W10" s="1302">
        <f t="shared" si="2"/>
        <v>100</v>
      </c>
      <c r="X10" s="1303"/>
      <c r="Y10" s="3540"/>
      <c r="Z10" s="994" t="str">
        <f t="shared" si="7"/>
        <v>土地使用年限（年）</v>
      </c>
      <c r="AA10" s="994">
        <f t="shared" si="3"/>
        <v>1</v>
      </c>
      <c r="AB10" s="994">
        <f t="shared" si="4"/>
        <v>1</v>
      </c>
      <c r="AC10" s="994">
        <f t="shared" si="5"/>
        <v>1</v>
      </c>
    </row>
    <row r="11" spans="1:29" ht="15">
      <c r="A11" s="2212"/>
      <c r="B11" s="2218">
        <v>111</v>
      </c>
      <c r="C11" s="478"/>
      <c r="D11" s="235">
        <v>100</v>
      </c>
      <c r="E11" s="805"/>
      <c r="F11" s="235">
        <f>SUMIF(55:55,E11,56:56)-SUMIF(55:55,C11,56:56)+100</f>
        <v>100</v>
      </c>
      <c r="G11" s="805"/>
      <c r="H11" s="235">
        <f>SUMIF(55:55,G11,56:56)-SUMIF(55:55,C11,56:56)+100</f>
        <v>100</v>
      </c>
      <c r="I11" s="805"/>
      <c r="J11" s="235">
        <f>SUMIF(55:55,I11,56:56)-SUMIF(55:55,C11,56:56)+100</f>
        <v>100</v>
      </c>
      <c r="K11" s="531"/>
      <c r="L11" s="1745"/>
      <c r="M11" s="1740"/>
      <c r="N11" s="1740"/>
      <c r="O11" s="1746"/>
      <c r="P11" s="3598"/>
      <c r="Q11" s="817">
        <f t="shared" si="6"/>
        <v>111</v>
      </c>
      <c r="R11" s="1301" t="s">
        <v>5</v>
      </c>
      <c r="S11" s="1302">
        <f t="shared" si="0"/>
        <v>100</v>
      </c>
      <c r="T11" s="1301" t="s">
        <v>5</v>
      </c>
      <c r="U11" s="1302">
        <f t="shared" si="1"/>
        <v>100</v>
      </c>
      <c r="V11" s="1301" t="s">
        <v>5</v>
      </c>
      <c r="W11" s="1302">
        <f t="shared" si="2"/>
        <v>100</v>
      </c>
      <c r="X11" s="1303"/>
      <c r="Y11" s="3540"/>
      <c r="Z11" s="994">
        <f t="shared" si="7"/>
        <v>111</v>
      </c>
      <c r="AA11" s="994">
        <f t="shared" si="3"/>
        <v>1</v>
      </c>
      <c r="AB11" s="994">
        <f t="shared" si="4"/>
        <v>1</v>
      </c>
      <c r="AC11" s="994">
        <f t="shared" si="5"/>
        <v>1</v>
      </c>
    </row>
    <row r="12" spans="1:29" s="1057" customFormat="1" ht="15">
      <c r="A12" s="2212"/>
      <c r="B12" s="2218">
        <v>111</v>
      </c>
      <c r="C12" s="478"/>
      <c r="D12" s="488">
        <v>100</v>
      </c>
      <c r="E12" s="805"/>
      <c r="F12" s="235">
        <f>SUMIF(57:57,E12,58:58)-SUMIF(57:57,C12,58:58)+100</f>
        <v>100</v>
      </c>
      <c r="G12" s="805"/>
      <c r="H12" s="235">
        <f>SUMIF(57:57,G12,58:58)-SUMIF(57:57,C12,58:58)+100</f>
        <v>100</v>
      </c>
      <c r="I12" s="805"/>
      <c r="J12" s="235">
        <f>SUMIF(57:57,I12,58:58)-SUMIF(57:57,C12,58:58)+100</f>
        <v>100</v>
      </c>
      <c r="K12" s="531"/>
      <c r="L12" s="1741"/>
      <c r="M12" s="1638"/>
      <c r="N12" s="1638"/>
      <c r="O12" s="1742"/>
      <c r="P12" s="3598"/>
      <c r="Q12" s="817">
        <f t="shared" si="6"/>
        <v>111</v>
      </c>
      <c r="R12" s="1301" t="s">
        <v>5</v>
      </c>
      <c r="S12" s="1302">
        <f t="shared" si="0"/>
        <v>100</v>
      </c>
      <c r="T12" s="1301" t="s">
        <v>5</v>
      </c>
      <c r="U12" s="1302">
        <f t="shared" si="1"/>
        <v>100</v>
      </c>
      <c r="V12" s="1301" t="s">
        <v>5</v>
      </c>
      <c r="W12" s="1302">
        <f t="shared" si="2"/>
        <v>100</v>
      </c>
      <c r="X12" s="1303"/>
      <c r="Y12" s="3540"/>
      <c r="Z12" s="994">
        <f t="shared" si="7"/>
        <v>111</v>
      </c>
      <c r="AA12" s="994">
        <f>D12/F12</f>
        <v>1</v>
      </c>
      <c r="AB12" s="994">
        <f>D12/H12</f>
        <v>1</v>
      </c>
      <c r="AC12" s="994">
        <f>D12/J12</f>
        <v>1</v>
      </c>
    </row>
    <row r="13" spans="1:29" ht="15.75" thickBot="1">
      <c r="A13" s="2213"/>
      <c r="B13" s="2219">
        <v>111</v>
      </c>
      <c r="C13" s="489"/>
      <c r="D13" s="490">
        <v>100</v>
      </c>
      <c r="E13" s="805"/>
      <c r="F13" s="235">
        <f>SUMIF(59:59,E13,60:60)-SUMIF(59:59,C13,60:60)+100</f>
        <v>100</v>
      </c>
      <c r="G13" s="805"/>
      <c r="H13" s="490">
        <f>SUMIF(59:59,G13,60:60)-SUMIF(59:59,C13,60:60)+100</f>
        <v>100</v>
      </c>
      <c r="I13" s="805"/>
      <c r="J13" s="490">
        <f>SUMIF(59:59,I13,60:60)-SUMIF(59:59,C13,60:60)+100</f>
        <v>100</v>
      </c>
      <c r="K13" s="531"/>
      <c r="L13" s="1747"/>
      <c r="M13" s="1740"/>
      <c r="N13" s="1740"/>
      <c r="O13" s="1746"/>
      <c r="P13" s="3598"/>
      <c r="Q13" s="817">
        <f t="shared" si="6"/>
        <v>111</v>
      </c>
      <c r="R13" s="1301" t="s">
        <v>5</v>
      </c>
      <c r="S13" s="1302">
        <f t="shared" si="0"/>
        <v>100</v>
      </c>
      <c r="T13" s="1301" t="s">
        <v>5</v>
      </c>
      <c r="U13" s="1302">
        <f t="shared" si="1"/>
        <v>100</v>
      </c>
      <c r="V13" s="1301" t="s">
        <v>5</v>
      </c>
      <c r="W13" s="1302">
        <f t="shared" si="2"/>
        <v>100</v>
      </c>
      <c r="X13" s="1303"/>
      <c r="Y13" s="3540"/>
      <c r="Z13" s="994">
        <f t="shared" si="7"/>
        <v>111</v>
      </c>
      <c r="AA13" s="994">
        <f t="shared" si="3"/>
        <v>1</v>
      </c>
      <c r="AB13" s="994">
        <f t="shared" si="4"/>
        <v>1</v>
      </c>
      <c r="AC13" s="994">
        <f t="shared" si="5"/>
        <v>1</v>
      </c>
    </row>
    <row r="14" spans="1:29" ht="15">
      <c r="A14" s="2205" t="s">
        <v>2034</v>
      </c>
      <c r="B14" s="150" t="s">
        <v>490</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7"/>
      <c r="M14" s="1740"/>
      <c r="N14" s="1740"/>
      <c r="O14" s="1746"/>
      <c r="P14" s="3631" t="s">
        <v>487</v>
      </c>
      <c r="Q14" s="1304" t="str">
        <f t="shared" si="6"/>
        <v>交通便捷度</v>
      </c>
      <c r="R14" s="1305" t="s">
        <v>5</v>
      </c>
      <c r="S14" s="1306">
        <f t="shared" si="0"/>
        <v>100</v>
      </c>
      <c r="T14" s="1305" t="s">
        <v>5</v>
      </c>
      <c r="U14" s="1306">
        <f t="shared" si="1"/>
        <v>100</v>
      </c>
      <c r="V14" s="1305" t="s">
        <v>5</v>
      </c>
      <c r="W14" s="1306">
        <f t="shared" si="2"/>
        <v>100</v>
      </c>
      <c r="X14" s="1300"/>
      <c r="Y14" s="3631" t="s">
        <v>487</v>
      </c>
      <c r="Z14" s="1307" t="str">
        <f t="shared" si="7"/>
        <v>交通便捷度</v>
      </c>
      <c r="AA14" s="1307">
        <f t="shared" si="3"/>
        <v>1</v>
      </c>
      <c r="AB14" s="1307">
        <f t="shared" si="4"/>
        <v>1</v>
      </c>
      <c r="AC14" s="1307">
        <f t="shared" si="5"/>
        <v>1</v>
      </c>
    </row>
    <row r="15" spans="1:29" ht="15">
      <c r="A15" s="482"/>
      <c r="B15" s="799"/>
      <c r="C15" s="526"/>
      <c r="D15" s="505"/>
      <c r="E15" s="526"/>
      <c r="F15" s="507"/>
      <c r="G15" s="526"/>
      <c r="H15" s="509"/>
      <c r="I15" s="526"/>
      <c r="J15" s="505"/>
      <c r="K15" s="822"/>
      <c r="L15" s="1747"/>
      <c r="M15" s="1740"/>
      <c r="N15" s="1740"/>
      <c r="O15" s="1746"/>
      <c r="P15" s="3632"/>
      <c r="Q15" s="1304"/>
      <c r="R15" s="1305"/>
      <c r="S15" s="1306"/>
      <c r="T15" s="1305"/>
      <c r="U15" s="1306"/>
      <c r="V15" s="1305"/>
      <c r="W15" s="1306"/>
      <c r="X15" s="1300"/>
      <c r="Y15" s="3632"/>
      <c r="Z15" s="1307"/>
      <c r="AA15" s="1307">
        <v>1</v>
      </c>
      <c r="AB15" s="1307">
        <v>1</v>
      </c>
      <c r="AC15" s="1307">
        <v>1</v>
      </c>
    </row>
    <row r="16" spans="1:29" ht="15">
      <c r="A16" s="482"/>
      <c r="B16" s="2060" t="s">
        <v>1827</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7"/>
      <c r="M16" s="1740"/>
      <c r="N16" s="1740"/>
      <c r="O16" s="1746"/>
      <c r="P16" s="3632"/>
      <c r="Q16" s="1304" t="str">
        <f>B16</f>
        <v>公共配套设施</v>
      </c>
      <c r="R16" s="1305" t="s">
        <v>5</v>
      </c>
      <c r="S16" s="1306">
        <f>F16</f>
        <v>100</v>
      </c>
      <c r="T16" s="1305" t="s">
        <v>5</v>
      </c>
      <c r="U16" s="1306">
        <f>H16</f>
        <v>100</v>
      </c>
      <c r="V16" s="1305" t="s">
        <v>5</v>
      </c>
      <c r="W16" s="1306">
        <f>J16</f>
        <v>100</v>
      </c>
      <c r="X16" s="1300"/>
      <c r="Y16" s="3632"/>
      <c r="Z16" s="1307" t="str">
        <f>Q16</f>
        <v>公共配套设施</v>
      </c>
      <c r="AA16" s="1307">
        <f t="shared" si="3"/>
        <v>1</v>
      </c>
      <c r="AB16" s="1307">
        <f t="shared" si="4"/>
        <v>1</v>
      </c>
      <c r="AC16" s="1307">
        <f t="shared" si="5"/>
        <v>1</v>
      </c>
    </row>
    <row r="17" spans="1:29" ht="15">
      <c r="A17" s="482"/>
      <c r="B17" s="516"/>
      <c r="C17" s="802"/>
      <c r="D17" s="505"/>
      <c r="E17" s="526"/>
      <c r="F17" s="507"/>
      <c r="G17" s="526"/>
      <c r="H17" s="505"/>
      <c r="I17" s="526"/>
      <c r="J17" s="505"/>
      <c r="K17" s="822"/>
      <c r="L17" s="1747"/>
      <c r="M17" s="1740"/>
      <c r="N17" s="1740"/>
      <c r="O17" s="1746"/>
      <c r="P17" s="3632"/>
      <c r="Q17" s="1304"/>
      <c r="R17" s="1305"/>
      <c r="S17" s="1306"/>
      <c r="T17" s="1305"/>
      <c r="U17" s="1306"/>
      <c r="V17" s="1305"/>
      <c r="W17" s="1306"/>
      <c r="X17" s="1300"/>
      <c r="Y17" s="3632"/>
      <c r="Z17" s="1307"/>
      <c r="AA17" s="1307">
        <v>1</v>
      </c>
      <c r="AB17" s="1307">
        <v>1</v>
      </c>
      <c r="AC17" s="1307">
        <v>1</v>
      </c>
    </row>
    <row r="18" spans="1:29" ht="15">
      <c r="A18" s="482"/>
      <c r="B18" s="2048" t="s">
        <v>1839</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7"/>
      <c r="M18" s="1740"/>
      <c r="N18" s="1740"/>
      <c r="O18" s="1746"/>
      <c r="P18" s="3632"/>
      <c r="Q18" s="1304" t="str">
        <f>B18</f>
        <v>基础设施水平</v>
      </c>
      <c r="R18" s="1305" t="s">
        <v>5</v>
      </c>
      <c r="S18" s="1306">
        <f>F18</f>
        <v>100</v>
      </c>
      <c r="T18" s="1305" t="s">
        <v>5</v>
      </c>
      <c r="U18" s="1306">
        <f>H18</f>
        <v>100</v>
      </c>
      <c r="V18" s="1305" t="s">
        <v>5</v>
      </c>
      <c r="W18" s="1306">
        <f>J18</f>
        <v>100</v>
      </c>
      <c r="X18" s="1300"/>
      <c r="Y18" s="3632"/>
      <c r="Z18" s="1307" t="str">
        <f>Q18</f>
        <v>基础设施水平</v>
      </c>
      <c r="AA18" s="1307">
        <f>D18/F18</f>
        <v>1</v>
      </c>
      <c r="AB18" s="1307">
        <f>D18/H18</f>
        <v>1</v>
      </c>
      <c r="AC18" s="1307">
        <f>D18/J18</f>
        <v>1</v>
      </c>
    </row>
    <row r="19" spans="1:29" ht="15">
      <c r="A19" s="482"/>
      <c r="B19" s="528"/>
      <c r="C19" s="802"/>
      <c r="D19" s="509"/>
      <c r="E19" s="802"/>
      <c r="F19" s="513"/>
      <c r="G19" s="802"/>
      <c r="H19" s="505"/>
      <c r="I19" s="526"/>
      <c r="J19" s="505"/>
      <c r="K19" s="2059"/>
      <c r="L19" s="1747"/>
      <c r="M19" s="1740"/>
      <c r="N19" s="1740"/>
      <c r="O19" s="1746"/>
      <c r="P19" s="3632"/>
      <c r="Q19" s="1304"/>
      <c r="R19" s="1305"/>
      <c r="S19" s="1306"/>
      <c r="T19" s="1305"/>
      <c r="U19" s="1306"/>
      <c r="V19" s="1305"/>
      <c r="W19" s="1306"/>
      <c r="X19" s="1300"/>
      <c r="Y19" s="3632"/>
      <c r="Z19" s="1307"/>
      <c r="AA19" s="1307">
        <v>1</v>
      </c>
      <c r="AB19" s="1307">
        <v>1</v>
      </c>
      <c r="AC19" s="1307">
        <v>1</v>
      </c>
    </row>
    <row r="20" spans="1:29" ht="15">
      <c r="A20" s="482"/>
      <c r="B20" s="677" t="s">
        <v>742</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7"/>
      <c r="M20" s="1740"/>
      <c r="N20" s="1740"/>
      <c r="O20" s="1746"/>
      <c r="P20" s="3632"/>
      <c r="Q20" s="1304" t="str">
        <f>B20</f>
        <v>自然及人文环境</v>
      </c>
      <c r="R20" s="1305" t="s">
        <v>5</v>
      </c>
      <c r="S20" s="1306">
        <f>F20</f>
        <v>100</v>
      </c>
      <c r="T20" s="1305" t="s">
        <v>5</v>
      </c>
      <c r="U20" s="1306">
        <f>H20</f>
        <v>100</v>
      </c>
      <c r="V20" s="1305" t="s">
        <v>5</v>
      </c>
      <c r="W20" s="1306">
        <f>J20</f>
        <v>100</v>
      </c>
      <c r="X20" s="1300"/>
      <c r="Y20" s="3632"/>
      <c r="Z20" s="1307" t="str">
        <f>Q20</f>
        <v>自然及人文环境</v>
      </c>
      <c r="AA20" s="1307">
        <f t="shared" si="3"/>
        <v>1</v>
      </c>
      <c r="AB20" s="1307">
        <f t="shared" si="4"/>
        <v>1</v>
      </c>
      <c r="AC20" s="1307">
        <f t="shared" si="5"/>
        <v>1</v>
      </c>
    </row>
    <row r="21" spans="1:29" ht="15">
      <c r="A21" s="482"/>
      <c r="B21" s="544"/>
      <c r="C21" s="526"/>
      <c r="D21" s="505"/>
      <c r="E21" s="526"/>
      <c r="F21" s="507"/>
      <c r="G21" s="526"/>
      <c r="H21" s="505"/>
      <c r="I21" s="526"/>
      <c r="J21" s="505"/>
      <c r="K21" s="822"/>
      <c r="L21" s="1747"/>
      <c r="M21" s="1740"/>
      <c r="N21" s="1740"/>
      <c r="O21" s="1746"/>
      <c r="P21" s="3632"/>
      <c r="Q21" s="1304"/>
      <c r="R21" s="1305"/>
      <c r="S21" s="1306"/>
      <c r="T21" s="1305"/>
      <c r="U21" s="1306"/>
      <c r="V21" s="1305"/>
      <c r="W21" s="1306"/>
      <c r="X21" s="1300"/>
      <c r="Y21" s="3632"/>
      <c r="Z21" s="1307"/>
      <c r="AA21" s="1307">
        <v>1</v>
      </c>
      <c r="AB21" s="1307">
        <v>1</v>
      </c>
      <c r="AC21" s="1307">
        <v>1</v>
      </c>
    </row>
    <row r="22" spans="1:29" ht="15">
      <c r="A22" s="482"/>
      <c r="B22" s="677" t="s">
        <v>743</v>
      </c>
      <c r="C22" s="532"/>
      <c r="D22" s="509">
        <v>100</v>
      </c>
      <c r="E22" s="532"/>
      <c r="F22" s="525">
        <f>SUMIF(69:69,E22,70:70)-SUMIF(69:69,C22,70:70)+100</f>
        <v>100</v>
      </c>
      <c r="G22" s="532"/>
      <c r="H22" s="490">
        <f>SUMIF(69:69,G22,70:70)-SUMIF(69:69,C22,70:70)+100</f>
        <v>100</v>
      </c>
      <c r="I22" s="532"/>
      <c r="J22" s="490">
        <f>SUMIF(69:69,I22,70:70)-SUMIF(69:69,C22,70:70)+100</f>
        <v>100</v>
      </c>
      <c r="K22" s="533"/>
      <c r="L22" s="1747"/>
      <c r="M22" s="1740"/>
      <c r="N22" s="1740"/>
      <c r="O22" s="1746"/>
      <c r="P22" s="3632"/>
      <c r="Q22" s="1304" t="str">
        <f>B22</f>
        <v>楼层</v>
      </c>
      <c r="R22" s="1305" t="s">
        <v>5</v>
      </c>
      <c r="S22" s="1306">
        <f>F22</f>
        <v>100</v>
      </c>
      <c r="T22" s="1305" t="s">
        <v>5</v>
      </c>
      <c r="U22" s="1306">
        <f>H22</f>
        <v>100</v>
      </c>
      <c r="V22" s="1305" t="s">
        <v>5</v>
      </c>
      <c r="W22" s="1306">
        <f>J22</f>
        <v>100</v>
      </c>
      <c r="X22" s="1300"/>
      <c r="Y22" s="3632"/>
      <c r="Z22" s="1307" t="str">
        <f>Q22</f>
        <v>楼层</v>
      </c>
      <c r="AA22" s="1307">
        <f t="shared" si="3"/>
        <v>1</v>
      </c>
      <c r="AB22" s="1307">
        <f t="shared" si="4"/>
        <v>1</v>
      </c>
      <c r="AC22" s="1307">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7"/>
      <c r="M23" s="1740"/>
      <c r="N23" s="1740"/>
      <c r="O23" s="1746"/>
      <c r="P23" s="3632"/>
      <c r="Q23" s="1304">
        <f>B23</f>
        <v>111</v>
      </c>
      <c r="R23" s="1305" t="s">
        <v>5</v>
      </c>
      <c r="S23" s="1306">
        <f>F23</f>
        <v>100</v>
      </c>
      <c r="T23" s="1305" t="s">
        <v>5</v>
      </c>
      <c r="U23" s="1306">
        <f>H23</f>
        <v>100</v>
      </c>
      <c r="V23" s="1305" t="s">
        <v>5</v>
      </c>
      <c r="W23" s="1306">
        <f>J23</f>
        <v>100</v>
      </c>
      <c r="X23" s="1300"/>
      <c r="Y23" s="3632"/>
      <c r="Z23" s="1307">
        <f>Q23</f>
        <v>111</v>
      </c>
      <c r="AA23" s="1307">
        <f t="shared" si="3"/>
        <v>1</v>
      </c>
      <c r="AB23" s="1307">
        <f t="shared" si="4"/>
        <v>1</v>
      </c>
      <c r="AC23" s="1307">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7"/>
      <c r="M24" s="1740"/>
      <c r="N24" s="1740"/>
      <c r="O24" s="1746"/>
      <c r="P24" s="3632"/>
      <c r="Q24" s="1304">
        <f t="shared" ref="Q24:Q34" si="8">B24</f>
        <v>111</v>
      </c>
      <c r="R24" s="1305" t="s">
        <v>5</v>
      </c>
      <c r="S24" s="1306">
        <f>F24</f>
        <v>100</v>
      </c>
      <c r="T24" s="1305" t="s">
        <v>5</v>
      </c>
      <c r="U24" s="1306">
        <f>H24</f>
        <v>100</v>
      </c>
      <c r="V24" s="1305" t="s">
        <v>5</v>
      </c>
      <c r="W24" s="1306">
        <f>J24</f>
        <v>100</v>
      </c>
      <c r="X24" s="1300"/>
      <c r="Y24" s="3632"/>
      <c r="Z24" s="1307">
        <f>Q24</f>
        <v>111</v>
      </c>
      <c r="AA24" s="1307">
        <f t="shared" si="3"/>
        <v>1</v>
      </c>
      <c r="AB24" s="1307">
        <f t="shared" si="4"/>
        <v>1</v>
      </c>
      <c r="AC24" s="1307">
        <f t="shared" si="5"/>
        <v>1</v>
      </c>
    </row>
    <row r="25" spans="1:29" s="1057"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1"/>
      <c r="M25" s="1638"/>
      <c r="N25" s="1638"/>
      <c r="O25" s="1742"/>
      <c r="P25" s="3632"/>
      <c r="Q25" s="817">
        <f t="shared" si="8"/>
        <v>111</v>
      </c>
      <c r="R25" s="1301" t="s">
        <v>5</v>
      </c>
      <c r="S25" s="1302">
        <f>F25</f>
        <v>100</v>
      </c>
      <c r="T25" s="1301" t="s">
        <v>5</v>
      </c>
      <c r="U25" s="1302">
        <f>H25</f>
        <v>100</v>
      </c>
      <c r="V25" s="1301" t="s">
        <v>5</v>
      </c>
      <c r="W25" s="1302">
        <f>J25</f>
        <v>100</v>
      </c>
      <c r="X25" s="1303"/>
      <c r="Y25" s="3632"/>
      <c r="Z25" s="994">
        <f>Q25</f>
        <v>111</v>
      </c>
      <c r="AA25" s="1307">
        <f>D25/F25</f>
        <v>1</v>
      </c>
      <c r="AB25" s="1307">
        <f>D25/H25</f>
        <v>1</v>
      </c>
      <c r="AC25" s="1307">
        <f>D25/J25</f>
        <v>1</v>
      </c>
    </row>
    <row r="26" spans="1:29" ht="15">
      <c r="A26" s="2202" t="s">
        <v>2035</v>
      </c>
      <c r="B26" s="156" t="s">
        <v>746</v>
      </c>
      <c r="C26" s="804"/>
      <c r="D26" s="546">
        <v>100</v>
      </c>
      <c r="E26" s="804"/>
      <c r="F26" s="861">
        <f>SUMIF(77:77,E26,78:78)-SUMIF(77:77,C26,78:78)+100</f>
        <v>100</v>
      </c>
      <c r="G26" s="804"/>
      <c r="H26" s="546">
        <f>SUMIF(77:77,G26,78:78)-SUMIF(77:77,C26,78:78)+100</f>
        <v>100</v>
      </c>
      <c r="I26" s="804"/>
      <c r="J26" s="546">
        <f>SUMIF(77:77,I26,78:78)-SUMIF(77:77,C26,78:78)+100</f>
        <v>100</v>
      </c>
      <c r="K26" s="533"/>
      <c r="L26" s="1747"/>
      <c r="M26" s="1740"/>
      <c r="N26" s="1740"/>
      <c r="O26" s="1746"/>
      <c r="P26" s="3633" t="s">
        <v>759</v>
      </c>
      <c r="Q26" s="1304" t="str">
        <f t="shared" si="8"/>
        <v>公共部分装修</v>
      </c>
      <c r="R26" s="1305" t="s">
        <v>5</v>
      </c>
      <c r="S26" s="1306">
        <f t="shared" ref="S26:S34" si="9">F26</f>
        <v>100</v>
      </c>
      <c r="T26" s="1305" t="s">
        <v>5</v>
      </c>
      <c r="U26" s="1306">
        <f t="shared" ref="U26:U34" si="10">H26</f>
        <v>100</v>
      </c>
      <c r="V26" s="1305" t="s">
        <v>5</v>
      </c>
      <c r="W26" s="1306">
        <f t="shared" ref="W26:W34" si="11">J26</f>
        <v>100</v>
      </c>
      <c r="X26" s="1300"/>
      <c r="Y26" s="3634" t="s">
        <v>759</v>
      </c>
      <c r="Z26" s="1307" t="str">
        <f t="shared" ref="Z26:Z34" si="12">Q26</f>
        <v>公共部分装修</v>
      </c>
      <c r="AA26" s="1307">
        <f t="shared" si="3"/>
        <v>1</v>
      </c>
      <c r="AB26" s="1307">
        <f t="shared" si="4"/>
        <v>1</v>
      </c>
      <c r="AC26" s="1307">
        <f t="shared" si="5"/>
        <v>1</v>
      </c>
    </row>
    <row r="27" spans="1:29" s="1131" customFormat="1" ht="15">
      <c r="A27" s="552"/>
      <c r="B27" s="477" t="s">
        <v>747</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5"/>
      <c r="M27" s="1769"/>
      <c r="N27" s="1769"/>
      <c r="O27" s="1748"/>
      <c r="P27" s="3634"/>
      <c r="Q27" s="818" t="str">
        <f t="shared" si="8"/>
        <v>成新率</v>
      </c>
      <c r="R27" s="1308" t="s">
        <v>5</v>
      </c>
      <c r="S27" s="1309" t="e">
        <f t="shared" si="9"/>
        <v>#N/A</v>
      </c>
      <c r="T27" s="1308" t="s">
        <v>5</v>
      </c>
      <c r="U27" s="1309" t="e">
        <f t="shared" si="10"/>
        <v>#N/A</v>
      </c>
      <c r="V27" s="1308" t="s">
        <v>5</v>
      </c>
      <c r="W27" s="1309" t="e">
        <f t="shared" si="11"/>
        <v>#N/A</v>
      </c>
      <c r="X27" s="1310"/>
      <c r="Y27" s="3634"/>
      <c r="Z27" s="1311" t="str">
        <f t="shared" si="12"/>
        <v>成新率</v>
      </c>
      <c r="AA27" s="1307" t="e">
        <f t="shared" si="3"/>
        <v>#N/A</v>
      </c>
      <c r="AB27" s="1307" t="e">
        <f t="shared" si="4"/>
        <v>#N/A</v>
      </c>
      <c r="AC27" s="1307" t="e">
        <f t="shared" si="5"/>
        <v>#N/A</v>
      </c>
    </row>
    <row r="28" spans="1:29" ht="15">
      <c r="A28" s="543"/>
      <c r="B28" s="477" t="s">
        <v>748</v>
      </c>
      <c r="C28" s="524"/>
      <c r="D28" s="490">
        <v>100</v>
      </c>
      <c r="E28" s="524"/>
      <c r="F28" s="525">
        <f>SUMIF(82:82,E28,83:83)-SUMIF(82:82,C28,83:83)+100</f>
        <v>100</v>
      </c>
      <c r="G28" s="524"/>
      <c r="H28" s="490">
        <f>SUMIF(82:82,G28,83:83)-SUMIF(82:82,C28,83:83)+100</f>
        <v>100</v>
      </c>
      <c r="I28" s="524"/>
      <c r="J28" s="490">
        <f>SUMIF(82:82,I28,83:83)-SUMIF(82:82,C28,83:83)+100</f>
        <v>100</v>
      </c>
      <c r="K28" s="533"/>
      <c r="L28" s="1747"/>
      <c r="M28" s="1740"/>
      <c r="N28" s="1740"/>
      <c r="O28" s="1746"/>
      <c r="P28" s="3634"/>
      <c r="Q28" s="1304" t="str">
        <f t="shared" si="8"/>
        <v>物业等级</v>
      </c>
      <c r="R28" s="1305" t="s">
        <v>5</v>
      </c>
      <c r="S28" s="1306">
        <f t="shared" si="9"/>
        <v>100</v>
      </c>
      <c r="T28" s="1305" t="s">
        <v>5</v>
      </c>
      <c r="U28" s="1306">
        <f t="shared" si="10"/>
        <v>100</v>
      </c>
      <c r="V28" s="1305" t="s">
        <v>5</v>
      </c>
      <c r="W28" s="1306">
        <f t="shared" si="11"/>
        <v>100</v>
      </c>
      <c r="X28" s="1300"/>
      <c r="Y28" s="3634"/>
      <c r="Z28" s="1307" t="str">
        <f t="shared" si="12"/>
        <v>物业等级</v>
      </c>
      <c r="AA28" s="1307">
        <f t="shared" si="3"/>
        <v>1</v>
      </c>
      <c r="AB28" s="1307">
        <f t="shared" si="4"/>
        <v>1</v>
      </c>
      <c r="AC28" s="1307">
        <f t="shared" si="5"/>
        <v>1</v>
      </c>
    </row>
    <row r="29" spans="1:29" ht="15">
      <c r="A29" s="543"/>
      <c r="B29" s="477" t="s">
        <v>760</v>
      </c>
      <c r="C29" s="852"/>
      <c r="D29" s="490">
        <v>100</v>
      </c>
      <c r="E29" s="852"/>
      <c r="F29" s="525">
        <f>SUMIF(84:84,E29,85:85)-SUMIF(84:84,C29,85:85)+100</f>
        <v>100</v>
      </c>
      <c r="G29" s="852"/>
      <c r="H29" s="490">
        <f>SUMIF(84:84,G29,85:85)-SUMIF(84:84,C29,85:85)+100</f>
        <v>100</v>
      </c>
      <c r="I29" s="852"/>
      <c r="J29" s="490">
        <f>SUMIF(84:84,I29,85:85)-SUMIF(84:84,C29,85:85)+100</f>
        <v>100</v>
      </c>
      <c r="K29" s="533"/>
      <c r="L29" s="1747"/>
      <c r="M29" s="1740"/>
      <c r="N29" s="1740"/>
      <c r="O29" s="1746"/>
      <c r="P29" s="3634"/>
      <c r="Q29" s="1304" t="str">
        <f t="shared" si="8"/>
        <v>有无电梯</v>
      </c>
      <c r="R29" s="1305" t="s">
        <v>5</v>
      </c>
      <c r="S29" s="1306">
        <f t="shared" si="9"/>
        <v>100</v>
      </c>
      <c r="T29" s="1305" t="s">
        <v>5</v>
      </c>
      <c r="U29" s="1306">
        <f t="shared" si="10"/>
        <v>100</v>
      </c>
      <c r="V29" s="1305" t="s">
        <v>5</v>
      </c>
      <c r="W29" s="1306">
        <f t="shared" si="11"/>
        <v>100</v>
      </c>
      <c r="X29" s="1300"/>
      <c r="Y29" s="3634"/>
      <c r="Z29" s="1307" t="str">
        <f t="shared" si="12"/>
        <v>有无电梯</v>
      </c>
      <c r="AA29" s="1307">
        <f t="shared" si="3"/>
        <v>1</v>
      </c>
      <c r="AB29" s="1307">
        <f t="shared" si="4"/>
        <v>1</v>
      </c>
      <c r="AC29" s="1307">
        <f t="shared" si="5"/>
        <v>1</v>
      </c>
    </row>
    <row r="30" spans="1:29" ht="15">
      <c r="A30" s="543"/>
      <c r="B30" s="477" t="s">
        <v>761</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7"/>
      <c r="M30" s="1740"/>
      <c r="N30" s="1740"/>
      <c r="O30" s="1746"/>
      <c r="P30" s="3634"/>
      <c r="Q30" s="1304" t="str">
        <f t="shared" si="8"/>
        <v>建筑面积</v>
      </c>
      <c r="R30" s="1305" t="s">
        <v>5</v>
      </c>
      <c r="S30" s="1306" t="e">
        <f t="shared" si="9"/>
        <v>#N/A</v>
      </c>
      <c r="T30" s="1305" t="s">
        <v>5</v>
      </c>
      <c r="U30" s="1306" t="e">
        <f t="shared" si="10"/>
        <v>#N/A</v>
      </c>
      <c r="V30" s="1305" t="s">
        <v>5</v>
      </c>
      <c r="W30" s="1306" t="e">
        <f t="shared" si="11"/>
        <v>#N/A</v>
      </c>
      <c r="X30" s="1300"/>
      <c r="Y30" s="3634"/>
      <c r="Z30" s="1307" t="str">
        <f t="shared" si="12"/>
        <v>建筑面积</v>
      </c>
      <c r="AA30" s="1307" t="e">
        <f t="shared" si="3"/>
        <v>#N/A</v>
      </c>
      <c r="AB30" s="1307" t="e">
        <f t="shared" si="4"/>
        <v>#N/A</v>
      </c>
      <c r="AC30" s="1307" t="e">
        <f t="shared" si="5"/>
        <v>#N/A</v>
      </c>
    </row>
    <row r="31" spans="1:29" s="1057" customFormat="1" ht="15">
      <c r="A31" s="549"/>
      <c r="B31" s="477" t="s">
        <v>762</v>
      </c>
      <c r="C31" s="852"/>
      <c r="D31" s="235">
        <v>100</v>
      </c>
      <c r="E31" s="852"/>
      <c r="F31" s="525">
        <f>SUMIF(89:89,E31,90:90)-SUMIF(89:89,C31,90:90)+100</f>
        <v>100</v>
      </c>
      <c r="G31" s="852"/>
      <c r="H31" s="490">
        <f>SUMIF(89:89,G31,90:90)-SUMIF(89:89,C31,90:90)+100</f>
        <v>100</v>
      </c>
      <c r="I31" s="852"/>
      <c r="J31" s="490">
        <f>SUMIF(89:89,I31,90:90)-SUMIF(89:89,C31,90:90)+100</f>
        <v>100</v>
      </c>
      <c r="K31" s="533"/>
      <c r="L31" s="1741"/>
      <c r="M31" s="1638"/>
      <c r="N31" s="1638"/>
      <c r="O31" s="1742"/>
      <c r="P31" s="3634"/>
      <c r="Q31" s="817" t="str">
        <f t="shared" si="8"/>
        <v>是否封闭</v>
      </c>
      <c r="R31" s="1301" t="s">
        <v>5</v>
      </c>
      <c r="S31" s="1302">
        <f t="shared" si="9"/>
        <v>100</v>
      </c>
      <c r="T31" s="1301" t="s">
        <v>5</v>
      </c>
      <c r="U31" s="1302">
        <f t="shared" si="10"/>
        <v>100</v>
      </c>
      <c r="V31" s="1301" t="s">
        <v>5</v>
      </c>
      <c r="W31" s="1302">
        <f t="shared" si="11"/>
        <v>100</v>
      </c>
      <c r="X31" s="1303"/>
      <c r="Y31" s="3634"/>
      <c r="Z31" s="994" t="str">
        <f t="shared" si="12"/>
        <v>是否封闭</v>
      </c>
      <c r="AA31" s="994">
        <f t="shared" si="3"/>
        <v>1</v>
      </c>
      <c r="AB31" s="994">
        <f t="shared" si="4"/>
        <v>1</v>
      </c>
      <c r="AC31" s="994">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7"/>
      <c r="M32" s="1740"/>
      <c r="N32" s="1740"/>
      <c r="O32" s="1746"/>
      <c r="P32" s="3634" t="s">
        <v>497</v>
      </c>
      <c r="Q32" s="1304">
        <f t="shared" si="8"/>
        <v>111</v>
      </c>
      <c r="R32" s="1305" t="s">
        <v>5</v>
      </c>
      <c r="S32" s="1306">
        <f t="shared" si="9"/>
        <v>100</v>
      </c>
      <c r="T32" s="1305" t="s">
        <v>5</v>
      </c>
      <c r="U32" s="1306">
        <f t="shared" si="10"/>
        <v>100</v>
      </c>
      <c r="V32" s="1305" t="s">
        <v>5</v>
      </c>
      <c r="W32" s="1306">
        <f t="shared" si="11"/>
        <v>100</v>
      </c>
      <c r="X32" s="1300"/>
      <c r="Y32" s="3634" t="s">
        <v>497</v>
      </c>
      <c r="Z32" s="1307">
        <f t="shared" si="12"/>
        <v>111</v>
      </c>
      <c r="AA32" s="1307">
        <f t="shared" si="3"/>
        <v>1</v>
      </c>
      <c r="AB32" s="1307">
        <f t="shared" si="4"/>
        <v>1</v>
      </c>
      <c r="AC32" s="1307">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7"/>
      <c r="M33" s="1740"/>
      <c r="N33" s="1740"/>
      <c r="O33" s="1746"/>
      <c r="P33" s="3634"/>
      <c r="Q33" s="1304">
        <f t="shared" si="8"/>
        <v>111</v>
      </c>
      <c r="R33" s="1305" t="s">
        <v>5</v>
      </c>
      <c r="S33" s="1306">
        <f t="shared" si="9"/>
        <v>100</v>
      </c>
      <c r="T33" s="1305" t="s">
        <v>5</v>
      </c>
      <c r="U33" s="1306">
        <f t="shared" si="10"/>
        <v>100</v>
      </c>
      <c r="V33" s="1305" t="s">
        <v>5</v>
      </c>
      <c r="W33" s="1306">
        <f t="shared" si="11"/>
        <v>100</v>
      </c>
      <c r="X33" s="1300"/>
      <c r="Y33" s="3634"/>
      <c r="Z33" s="1307">
        <f t="shared" si="12"/>
        <v>111</v>
      </c>
      <c r="AA33" s="1307">
        <f t="shared" si="3"/>
        <v>1</v>
      </c>
      <c r="AB33" s="1307">
        <f t="shared" si="4"/>
        <v>1</v>
      </c>
      <c r="AC33" s="1307">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7"/>
      <c r="M34" s="1740"/>
      <c r="N34" s="1740"/>
      <c r="O34" s="1746"/>
      <c r="P34" s="3634"/>
      <c r="Q34" s="1304">
        <f t="shared" si="8"/>
        <v>111</v>
      </c>
      <c r="R34" s="1305" t="s">
        <v>5</v>
      </c>
      <c r="S34" s="1306">
        <f t="shared" si="9"/>
        <v>100</v>
      </c>
      <c r="T34" s="1305" t="s">
        <v>5</v>
      </c>
      <c r="U34" s="1306">
        <f t="shared" si="10"/>
        <v>100</v>
      </c>
      <c r="V34" s="1305" t="s">
        <v>5</v>
      </c>
      <c r="W34" s="1306">
        <f t="shared" si="11"/>
        <v>100</v>
      </c>
      <c r="X34" s="1300"/>
      <c r="Y34" s="3634"/>
      <c r="Z34" s="1307">
        <f t="shared" si="12"/>
        <v>111</v>
      </c>
      <c r="AA34" s="1307">
        <f t="shared" si="3"/>
        <v>1</v>
      </c>
      <c r="AB34" s="1307">
        <f t="shared" si="4"/>
        <v>1</v>
      </c>
      <c r="AC34" s="1307">
        <f t="shared" si="5"/>
        <v>1</v>
      </c>
    </row>
    <row r="35" spans="1:29" ht="15">
      <c r="A35" s="556" t="s">
        <v>681</v>
      </c>
      <c r="B35" s="811"/>
      <c r="C35" s="2079" t="s">
        <v>0</v>
      </c>
      <c r="D35" s="559"/>
      <c r="E35" s="560"/>
      <c r="F35" s="561"/>
      <c r="G35" s="562"/>
      <c r="H35" s="563"/>
      <c r="I35" s="560"/>
      <c r="J35" s="563"/>
      <c r="K35" s="1333"/>
      <c r="L35" s="1749"/>
      <c r="M35" s="1740"/>
      <c r="N35" s="1740"/>
      <c r="O35" s="1740"/>
      <c r="P35" s="3598" t="str">
        <f>A35</f>
        <v>成交单价（元/平方米）</v>
      </c>
      <c r="Q35" s="3598"/>
      <c r="R35" s="3599">
        <f>E35</f>
        <v>0</v>
      </c>
      <c r="S35" s="3599"/>
      <c r="T35" s="3599">
        <f>G35</f>
        <v>0</v>
      </c>
      <c r="U35" s="3599"/>
      <c r="V35" s="3599">
        <f>I35</f>
        <v>0</v>
      </c>
      <c r="W35" s="3599"/>
      <c r="X35" s="799"/>
      <c r="Y35" s="1312"/>
      <c r="Z35" s="799"/>
      <c r="AA35" s="799"/>
      <c r="AB35" s="799"/>
      <c r="AC35" s="799"/>
    </row>
    <row r="36" spans="1:29" ht="15.75" thickBot="1">
      <c r="A36" s="564" t="s">
        <v>2040</v>
      </c>
      <c r="B36" s="812"/>
      <c r="C36" s="2080" t="e">
        <f>R37</f>
        <v>#DIV/0!</v>
      </c>
      <c r="D36" s="2548" t="s">
        <v>2250</v>
      </c>
      <c r="E36" s="2081" t="e">
        <f>R36</f>
        <v>#DIV/0!</v>
      </c>
      <c r="F36" s="2549"/>
      <c r="G36" s="2080" t="e">
        <f>T36</f>
        <v>#DIV/0!</v>
      </c>
      <c r="H36" s="2549"/>
      <c r="I36" s="2081" t="e">
        <f>V36</f>
        <v>#DIV/0!</v>
      </c>
      <c r="J36" s="2549"/>
      <c r="K36" s="2556">
        <f>F36+H36+J36</f>
        <v>0</v>
      </c>
      <c r="L36" s="1749"/>
      <c r="M36" s="1740"/>
      <c r="N36" s="1740"/>
      <c r="O36" s="1740"/>
      <c r="P36" s="3598" t="str">
        <f>A36</f>
        <v>比较价格（元/平方米）</v>
      </c>
      <c r="Q36" s="3598"/>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799"/>
      <c r="Y36" s="799"/>
      <c r="Z36" s="799"/>
      <c r="AA36" s="799"/>
      <c r="AB36" s="799"/>
      <c r="AC36" s="799"/>
    </row>
    <row r="37" spans="1:29" ht="15.75" thickBot="1">
      <c r="A37" s="568" t="s">
        <v>2186</v>
      </c>
      <c r="B37" s="569"/>
      <c r="C37" s="469" t="e">
        <f>R37</f>
        <v>#DIV/0!</v>
      </c>
      <c r="D37" s="469"/>
      <c r="E37" s="469"/>
      <c r="F37" s="469"/>
      <c r="G37" s="469"/>
      <c r="H37" s="469"/>
      <c r="I37" s="469"/>
      <c r="J37" s="469"/>
      <c r="K37" s="1334"/>
      <c r="L37" s="1749"/>
      <c r="M37" s="1740"/>
      <c r="N37" s="1740"/>
      <c r="O37" s="1740"/>
      <c r="P37" s="3635" t="str">
        <f>A37</f>
        <v>估价对象XX用房的比较价格（楼面单价，元/平方米）</v>
      </c>
      <c r="Q37" s="3636"/>
      <c r="R37" s="3723" t="e">
        <f>IF(F1="售价",ROUND(IF(D36="简单平均",AVERAGE(R36:W36),R36*F36+T36*H36+V36*J36),0),ROUND(IF(D36="简单平均",AVERAGE(R36:V36),R36*F36+T36*H36+V36*J36),1))</f>
        <v>#DIV/0!</v>
      </c>
      <c r="S37" s="3723"/>
      <c r="T37" s="3723"/>
      <c r="U37" s="3723"/>
      <c r="V37" s="3723"/>
      <c r="W37" s="3723"/>
      <c r="X37" s="799"/>
      <c r="Y37" s="799"/>
      <c r="Z37" s="799"/>
      <c r="AA37" s="799"/>
      <c r="AB37" s="799"/>
      <c r="AC37" s="799"/>
    </row>
    <row r="38" spans="1:29">
      <c r="A38" s="2719"/>
      <c r="B38" s="2719"/>
      <c r="C38" s="2719"/>
      <c r="D38" s="2719"/>
      <c r="E38" s="2719"/>
      <c r="F38" s="2719"/>
      <c r="G38" s="2721"/>
      <c r="H38" s="2719"/>
      <c r="I38" s="2719"/>
      <c r="J38" s="2719"/>
      <c r="K38" s="2722"/>
      <c r="L38" s="1753"/>
      <c r="M38" s="1740"/>
      <c r="N38" s="1740"/>
      <c r="O38" s="1740"/>
      <c r="P38" s="1740"/>
      <c r="Q38" s="1740"/>
      <c r="R38" s="1740"/>
      <c r="S38" s="1740"/>
      <c r="T38" s="1740"/>
      <c r="U38" s="1740"/>
      <c r="V38" s="1740"/>
      <c r="W38" s="1740"/>
      <c r="X38" s="1740"/>
      <c r="Y38" s="1740"/>
      <c r="Z38" s="1740"/>
      <c r="AA38" s="1740"/>
      <c r="AB38" s="1740"/>
      <c r="AC38" s="1740"/>
    </row>
    <row r="39" spans="1:29">
      <c r="A39" s="2719"/>
      <c r="B39" s="2719"/>
      <c r="C39" s="2719"/>
      <c r="D39" s="2719"/>
      <c r="E39" s="2719"/>
      <c r="F39" s="2719"/>
      <c r="G39" s="2719"/>
      <c r="H39" s="2719"/>
      <c r="I39" s="2719"/>
      <c r="J39" s="2719"/>
      <c r="K39" s="2722"/>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9"/>
      <c r="B40" s="2719"/>
      <c r="C40" s="571" t="s">
        <v>504</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2"/>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9"/>
      <c r="B41" s="2719"/>
      <c r="C41" s="571" t="s">
        <v>505</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2"/>
      <c r="L41" s="1753"/>
      <c r="M41" s="1740"/>
      <c r="N41" s="1740"/>
      <c r="O41" s="1740"/>
      <c r="P41" s="1740"/>
      <c r="Q41" s="1740"/>
      <c r="R41" s="1740"/>
      <c r="S41" s="1740"/>
      <c r="T41" s="1740"/>
      <c r="U41" s="1740"/>
      <c r="V41" s="1740"/>
      <c r="W41" s="1740"/>
      <c r="X41" s="1740"/>
      <c r="Y41" s="1740"/>
      <c r="Z41" s="1740"/>
      <c r="AA41" s="1740"/>
      <c r="AB41" s="1740"/>
      <c r="AC41" s="1740"/>
    </row>
    <row r="42" spans="1:29" s="1136" customFormat="1" ht="13.5" customHeight="1">
      <c r="A42" s="2720"/>
      <c r="B42" s="2720"/>
      <c r="C42" s="571" t="s">
        <v>506</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3"/>
      <c r="L42" s="1756"/>
      <c r="M42" s="1750"/>
      <c r="N42" s="1750"/>
      <c r="O42" s="1750"/>
      <c r="P42" s="1750"/>
      <c r="Q42" s="1750"/>
      <c r="R42" s="1750"/>
      <c r="S42" s="1750"/>
      <c r="T42" s="1750"/>
      <c r="U42" s="1750"/>
      <c r="V42" s="1750"/>
      <c r="W42" s="1750"/>
      <c r="X42" s="1750"/>
      <c r="Y42" s="1750"/>
      <c r="Z42" s="1750"/>
      <c r="AA42" s="1750"/>
      <c r="AB42" s="1750"/>
      <c r="AC42" s="1750"/>
    </row>
    <row r="43" spans="1:29" s="1136"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5" t="s">
        <v>520</v>
      </c>
      <c r="B45" s="799"/>
      <c r="C45" s="1314"/>
      <c r="D45" s="1314"/>
      <c r="E45" s="1314"/>
      <c r="F45" s="1316"/>
      <c r="G45" s="1316"/>
      <c r="H45" s="1314"/>
      <c r="I45" s="1314"/>
      <c r="J45" s="1314"/>
      <c r="K45" s="1317"/>
      <c r="L45" s="1313"/>
      <c r="M45" s="1314"/>
      <c r="N45" s="1760"/>
      <c r="O45" s="1760"/>
      <c r="P45" s="1760"/>
      <c r="Q45" s="1761"/>
      <c r="R45" s="1740"/>
      <c r="S45" s="1740"/>
      <c r="T45" s="1740"/>
      <c r="U45" s="1740"/>
      <c r="V45" s="1740"/>
      <c r="W45" s="1740"/>
      <c r="X45" s="1740"/>
      <c r="Y45" s="1740"/>
      <c r="Z45" s="1740"/>
      <c r="AA45" s="1740"/>
      <c r="AB45" s="1740"/>
      <c r="AC45" s="1740"/>
    </row>
    <row r="46" spans="1:29" s="1138" customFormat="1" ht="15">
      <c r="A46" s="592" t="s">
        <v>476</v>
      </c>
      <c r="B46" s="593"/>
      <c r="C46" s="2111" t="str">
        <f>YEAR(C7)&amp;"-"&amp;MONTH(C7)</f>
        <v>2025-6</v>
      </c>
      <c r="D46" s="2113">
        <f>EDATE(C46,-1)</f>
        <v>45778</v>
      </c>
      <c r="E46" s="2113">
        <f t="shared" ref="E46:O46" si="13">EDATE(D46,-1)</f>
        <v>45748</v>
      </c>
      <c r="F46" s="2113">
        <f t="shared" si="13"/>
        <v>45717</v>
      </c>
      <c r="G46" s="2113">
        <f t="shared" si="13"/>
        <v>45689</v>
      </c>
      <c r="H46" s="2113">
        <f t="shared" si="13"/>
        <v>45658</v>
      </c>
      <c r="I46" s="2113">
        <f t="shared" si="13"/>
        <v>45627</v>
      </c>
      <c r="J46" s="2113">
        <f t="shared" si="13"/>
        <v>45597</v>
      </c>
      <c r="K46" s="2113">
        <f t="shared" si="13"/>
        <v>45566</v>
      </c>
      <c r="L46" s="2113">
        <f t="shared" si="13"/>
        <v>45536</v>
      </c>
      <c r="M46" s="2113">
        <f t="shared" si="13"/>
        <v>45505</v>
      </c>
      <c r="N46" s="2113">
        <f t="shared" si="13"/>
        <v>45474</v>
      </c>
      <c r="O46" s="2113">
        <f t="shared" si="13"/>
        <v>45444</v>
      </c>
      <c r="P46" s="1763"/>
      <c r="Q46" s="1763"/>
      <c r="R46" s="1763"/>
      <c r="S46" s="1763"/>
      <c r="T46" s="1763"/>
      <c r="U46" s="1763"/>
      <c r="V46" s="1763"/>
      <c r="W46" s="1763"/>
      <c r="X46" s="1763"/>
      <c r="Y46" s="1763"/>
      <c r="Z46" s="1763"/>
      <c r="AA46" s="1763"/>
      <c r="AB46" s="1763"/>
      <c r="AC46" s="1763"/>
    </row>
    <row r="47" spans="1:29" s="1057" customFormat="1" ht="15">
      <c r="A47" s="527"/>
      <c r="B47" s="594"/>
      <c r="C47" s="595">
        <v>100</v>
      </c>
      <c r="D47" s="596"/>
      <c r="E47" s="596"/>
      <c r="F47" s="596"/>
      <c r="G47" s="596"/>
      <c r="H47" s="596"/>
      <c r="I47" s="596"/>
      <c r="J47" s="596"/>
      <c r="K47" s="596"/>
      <c r="L47" s="596"/>
      <c r="M47" s="487"/>
      <c r="N47" s="596"/>
      <c r="O47" s="597"/>
      <c r="P47" s="1761"/>
      <c r="Q47" s="1638"/>
      <c r="R47" s="1638"/>
      <c r="S47" s="1638"/>
      <c r="T47" s="1638"/>
      <c r="U47" s="1638"/>
      <c r="V47" s="1638"/>
      <c r="W47" s="1638"/>
      <c r="X47" s="1638"/>
      <c r="Y47" s="1638"/>
      <c r="Z47" s="1638"/>
      <c r="AA47" s="1638"/>
      <c r="AB47" s="1638"/>
      <c r="AC47" s="1638"/>
    </row>
    <row r="48" spans="1:29" s="1057" customFormat="1" ht="15.75" thickBot="1">
      <c r="A48" s="262" t="s">
        <v>521</v>
      </c>
      <c r="B48" s="598"/>
      <c r="C48" s="599"/>
      <c r="D48" s="600"/>
      <c r="E48" s="600"/>
      <c r="F48" s="600"/>
      <c r="G48" s="600"/>
      <c r="H48" s="600"/>
      <c r="I48" s="600"/>
      <c r="J48" s="600"/>
      <c r="K48" s="600"/>
      <c r="L48" s="600"/>
      <c r="M48" s="601"/>
      <c r="N48" s="600"/>
      <c r="O48" s="602"/>
      <c r="P48" s="1761"/>
      <c r="Q48" s="1761"/>
      <c r="R48" s="1638"/>
      <c r="S48" s="1638"/>
      <c r="T48" s="1638"/>
      <c r="U48" s="1638"/>
      <c r="V48" s="1638"/>
      <c r="W48" s="1638"/>
      <c r="X48" s="1638"/>
      <c r="Y48" s="1638"/>
      <c r="Z48" s="1638"/>
      <c r="AA48" s="1638"/>
      <c r="AB48" s="1638"/>
      <c r="AC48" s="1638"/>
    </row>
    <row r="49" spans="1:29" s="1057" customFormat="1" ht="15">
      <c r="A49" s="603" t="s">
        <v>478</v>
      </c>
      <c r="B49" s="594"/>
      <c r="C49" s="604" t="s">
        <v>522</v>
      </c>
      <c r="D49" s="80"/>
      <c r="E49" s="80"/>
      <c r="F49" s="80"/>
      <c r="G49" s="80"/>
      <c r="H49" s="80"/>
      <c r="I49" s="80"/>
      <c r="J49" s="80"/>
      <c r="K49" s="80"/>
      <c r="L49" s="605"/>
      <c r="M49" s="606"/>
      <c r="N49" s="1764"/>
      <c r="O49" s="1764"/>
      <c r="P49" s="1645"/>
      <c r="Q49" s="1761"/>
      <c r="R49" s="1638"/>
      <c r="S49" s="1638"/>
      <c r="T49" s="1638"/>
      <c r="U49" s="1638"/>
      <c r="V49" s="1638"/>
      <c r="W49" s="1638"/>
      <c r="X49" s="1638"/>
      <c r="Y49" s="1638"/>
      <c r="Z49" s="1638"/>
      <c r="AA49" s="1638"/>
      <c r="AB49" s="1638"/>
      <c r="AC49" s="1638"/>
    </row>
    <row r="50" spans="1:29" s="1057" customFormat="1" ht="15.75" thickBot="1">
      <c r="A50" s="603"/>
      <c r="B50" s="594"/>
      <c r="C50" s="595">
        <v>100</v>
      </c>
      <c r="D50" s="596"/>
      <c r="E50" s="596"/>
      <c r="F50" s="596"/>
      <c r="G50" s="596"/>
      <c r="H50" s="596"/>
      <c r="I50" s="596"/>
      <c r="J50" s="596"/>
      <c r="K50" s="596"/>
      <c r="L50" s="596"/>
      <c r="M50" s="597"/>
      <c r="N50" s="1764"/>
      <c r="O50" s="1764"/>
      <c r="P50" s="1761"/>
      <c r="Q50" s="1761"/>
      <c r="R50" s="1638"/>
      <c r="S50" s="1638"/>
      <c r="T50" s="1638"/>
      <c r="U50" s="1638"/>
      <c r="V50" s="1638"/>
      <c r="W50" s="1638"/>
      <c r="X50" s="1638"/>
      <c r="Y50" s="1638"/>
      <c r="Z50" s="1638"/>
      <c r="AA50" s="1638"/>
      <c r="AB50" s="1638"/>
      <c r="AC50" s="1638"/>
    </row>
    <row r="51" spans="1:29">
      <c r="A51" s="607" t="s">
        <v>523</v>
      </c>
      <c r="B51" s="608" t="s">
        <v>481</v>
      </c>
      <c r="C51" s="645">
        <f>C9</f>
        <v>0</v>
      </c>
      <c r="D51" s="547"/>
      <c r="E51" s="547"/>
      <c r="F51" s="547"/>
      <c r="G51" s="547"/>
      <c r="H51" s="547"/>
      <c r="I51" s="547"/>
      <c r="J51" s="547"/>
      <c r="K51" s="609"/>
      <c r="L51" s="610"/>
      <c r="M51" s="611"/>
      <c r="N51" s="1765"/>
      <c r="O51" s="1765"/>
      <c r="P51" s="1764"/>
      <c r="Q51" s="1761"/>
      <c r="R51" s="1740"/>
      <c r="S51" s="1740"/>
      <c r="T51" s="1740"/>
      <c r="U51" s="1740"/>
      <c r="V51" s="1740"/>
      <c r="W51" s="1740"/>
      <c r="X51" s="1740"/>
      <c r="Y51" s="1740"/>
      <c r="Z51" s="1740"/>
      <c r="AA51" s="1740"/>
      <c r="AB51" s="1740"/>
      <c r="AC51" s="1740"/>
    </row>
    <row r="52" spans="1:29" ht="15.75" thickBot="1">
      <c r="A52" s="482"/>
      <c r="B52" s="612"/>
      <c r="C52" s="613">
        <v>100</v>
      </c>
      <c r="D52" s="613"/>
      <c r="E52" s="613"/>
      <c r="F52" s="613"/>
      <c r="G52" s="613"/>
      <c r="H52" s="613"/>
      <c r="I52" s="613"/>
      <c r="J52" s="613"/>
      <c r="K52" s="613"/>
      <c r="L52" s="613"/>
      <c r="M52" s="614"/>
      <c r="N52" s="1766"/>
      <c r="O52" s="1766"/>
      <c r="P52" s="1764"/>
      <c r="Q52" s="1761"/>
      <c r="R52" s="1740"/>
      <c r="S52" s="1740"/>
      <c r="T52" s="1740"/>
      <c r="U52" s="1740"/>
      <c r="V52" s="1740"/>
      <c r="W52" s="1740"/>
      <c r="X52" s="1740"/>
      <c r="Y52" s="1740"/>
      <c r="Z52" s="1740"/>
      <c r="AA52" s="1740"/>
      <c r="AB52" s="1740"/>
      <c r="AC52" s="1740"/>
    </row>
    <row r="53" spans="1:29" ht="27.75" thickTop="1">
      <c r="A53" s="482"/>
      <c r="B53" s="615" t="s">
        <v>484</v>
      </c>
      <c r="C53" s="658"/>
      <c r="D53" s="658"/>
      <c r="E53" s="658"/>
      <c r="F53" s="658"/>
      <c r="G53" s="658"/>
      <c r="H53" s="658"/>
      <c r="I53" s="658"/>
      <c r="J53" s="658"/>
      <c r="K53" s="659"/>
      <c r="L53" s="660"/>
      <c r="M53" s="661"/>
      <c r="N53" s="1765"/>
      <c r="O53" s="1765"/>
      <c r="P53" s="1764"/>
      <c r="Q53" s="1761"/>
      <c r="R53" s="1740"/>
      <c r="S53" s="1740"/>
      <c r="T53" s="1740"/>
      <c r="U53" s="1740"/>
      <c r="V53" s="1740"/>
      <c r="W53" s="1740"/>
      <c r="X53" s="1740"/>
      <c r="Y53" s="1740"/>
      <c r="Z53" s="1740"/>
      <c r="AA53" s="1740"/>
      <c r="AB53" s="1740"/>
      <c r="AC53" s="1740"/>
    </row>
    <row r="54" spans="1:29" ht="15.75" thickBot="1">
      <c r="A54" s="482"/>
      <c r="B54" s="620"/>
      <c r="C54" s="613"/>
      <c r="D54" s="613"/>
      <c r="E54" s="613"/>
      <c r="F54" s="613"/>
      <c r="G54" s="613"/>
      <c r="H54" s="613"/>
      <c r="I54" s="613"/>
      <c r="J54" s="613"/>
      <c r="K54" s="613"/>
      <c r="L54" s="613"/>
      <c r="M54" s="614"/>
      <c r="N54" s="1766"/>
      <c r="O54" s="1766"/>
      <c r="P54" s="1764"/>
      <c r="Q54" s="1761"/>
      <c r="R54" s="1740"/>
      <c r="S54" s="1740"/>
      <c r="T54" s="1740"/>
      <c r="U54" s="1740"/>
      <c r="V54" s="1740"/>
      <c r="W54" s="1740"/>
      <c r="X54" s="1740"/>
      <c r="Y54" s="1740"/>
      <c r="Z54" s="1740"/>
      <c r="AA54" s="1740"/>
      <c r="AB54" s="1740"/>
      <c r="AC54" s="1740"/>
    </row>
    <row r="55" spans="1:29" ht="15.75" thickTop="1">
      <c r="A55" s="482"/>
      <c r="B55" s="855">
        <f>B11</f>
        <v>111</v>
      </c>
      <c r="C55" s="491"/>
      <c r="D55" s="491"/>
      <c r="E55" s="491"/>
      <c r="F55" s="491"/>
      <c r="G55" s="491"/>
      <c r="H55" s="491"/>
      <c r="I55" s="491"/>
      <c r="J55" s="491"/>
      <c r="K55" s="626"/>
      <c r="L55" s="627"/>
      <c r="M55" s="628"/>
      <c r="N55" s="1765"/>
      <c r="O55" s="1765"/>
      <c r="P55" s="1764"/>
      <c r="Q55" s="1761"/>
      <c r="R55" s="1740"/>
      <c r="S55" s="1740"/>
      <c r="T55" s="1740"/>
      <c r="U55" s="1740"/>
      <c r="V55" s="1740"/>
      <c r="W55" s="1740"/>
      <c r="X55" s="1740"/>
      <c r="Y55" s="1740"/>
      <c r="Z55" s="1740"/>
      <c r="AA55" s="1740"/>
      <c r="AB55" s="1740"/>
      <c r="AC55" s="1740"/>
    </row>
    <row r="56" spans="1:29" ht="15.75" thickBot="1">
      <c r="A56" s="482"/>
      <c r="B56" s="612"/>
      <c r="C56" s="634"/>
      <c r="D56" s="613"/>
      <c r="E56" s="613"/>
      <c r="F56" s="613"/>
      <c r="G56" s="613"/>
      <c r="H56" s="613"/>
      <c r="I56" s="613"/>
      <c r="J56" s="613"/>
      <c r="K56" s="613"/>
      <c r="L56" s="613"/>
      <c r="M56" s="614"/>
      <c r="N56" s="1766"/>
      <c r="O56" s="1766"/>
      <c r="P56" s="1764"/>
      <c r="Q56" s="1761"/>
      <c r="R56" s="1740"/>
      <c r="S56" s="1740"/>
      <c r="T56" s="1740"/>
      <c r="U56" s="1740"/>
      <c r="V56" s="1740"/>
      <c r="W56" s="1740"/>
      <c r="X56" s="1740"/>
      <c r="Y56" s="1740"/>
      <c r="Z56" s="1740"/>
      <c r="AA56" s="1740"/>
      <c r="AB56" s="1740"/>
      <c r="AC56" s="1740"/>
    </row>
    <row r="57" spans="1:29" s="1131" customFormat="1" ht="15.75" thickTop="1">
      <c r="A57" s="629"/>
      <c r="B57" s="615">
        <f>B12</f>
        <v>111</v>
      </c>
      <c r="C57" s="491"/>
      <c r="D57" s="491"/>
      <c r="E57" s="491"/>
      <c r="F57" s="491"/>
      <c r="G57" s="630"/>
      <c r="H57" s="631"/>
      <c r="I57" s="631"/>
      <c r="J57" s="631"/>
      <c r="K57" s="631"/>
      <c r="L57" s="632"/>
      <c r="M57" s="633"/>
      <c r="N57" s="1767"/>
      <c r="O57" s="1767"/>
      <c r="P57" s="1767"/>
      <c r="Q57" s="1768"/>
      <c r="R57" s="1769"/>
      <c r="S57" s="1769"/>
      <c r="T57" s="1769"/>
      <c r="U57" s="1769"/>
      <c r="V57" s="1769"/>
      <c r="W57" s="1769"/>
      <c r="X57" s="1769"/>
      <c r="Y57" s="1769"/>
      <c r="Z57" s="1769"/>
      <c r="AA57" s="1769"/>
      <c r="AB57" s="1769"/>
      <c r="AC57" s="1769"/>
    </row>
    <row r="58" spans="1:29" s="1131" customFormat="1" ht="15.75" thickBot="1">
      <c r="A58" s="629"/>
      <c r="B58" s="620"/>
      <c r="C58" s="634"/>
      <c r="D58" s="613"/>
      <c r="E58" s="613"/>
      <c r="F58" s="613"/>
      <c r="G58" s="613"/>
      <c r="H58" s="613"/>
      <c r="I58" s="613"/>
      <c r="J58" s="613"/>
      <c r="K58" s="613"/>
      <c r="L58" s="613"/>
      <c r="M58" s="614"/>
      <c r="N58" s="1766"/>
      <c r="O58" s="1766"/>
      <c r="P58" s="1767"/>
      <c r="Q58" s="1768"/>
      <c r="R58" s="1769"/>
      <c r="S58" s="1769"/>
      <c r="T58" s="1769"/>
      <c r="U58" s="1769"/>
      <c r="V58" s="1769"/>
      <c r="W58" s="1769"/>
      <c r="X58" s="1769"/>
      <c r="Y58" s="1769"/>
      <c r="Z58" s="1769"/>
      <c r="AA58" s="1769"/>
      <c r="AB58" s="1769"/>
      <c r="AC58" s="1769"/>
    </row>
    <row r="59" spans="1:29" s="1131" customFormat="1" ht="15.75" thickTop="1">
      <c r="A59" s="629"/>
      <c r="B59" s="615">
        <f>B13</f>
        <v>111</v>
      </c>
      <c r="C59" s="491"/>
      <c r="D59" s="491"/>
      <c r="E59" s="491"/>
      <c r="F59" s="491"/>
      <c r="G59" s="630"/>
      <c r="H59" s="631"/>
      <c r="I59" s="631"/>
      <c r="J59" s="631"/>
      <c r="K59" s="631"/>
      <c r="L59" s="632"/>
      <c r="M59" s="633"/>
      <c r="N59" s="1767"/>
      <c r="O59" s="1767"/>
      <c r="P59" s="1769"/>
      <c r="Q59" s="1770"/>
      <c r="R59" s="1769"/>
      <c r="S59" s="1769"/>
      <c r="T59" s="1769"/>
      <c r="U59" s="1769"/>
      <c r="V59" s="1769"/>
      <c r="W59" s="1769"/>
      <c r="X59" s="1769"/>
      <c r="Y59" s="1769"/>
      <c r="Z59" s="1769"/>
      <c r="AA59" s="1769"/>
      <c r="AB59" s="1769"/>
      <c r="AC59" s="1769"/>
    </row>
    <row r="60" spans="1:29" s="1131" customFormat="1" ht="15.75" thickBot="1">
      <c r="A60" s="629"/>
      <c r="B60" s="620"/>
      <c r="C60" s="634"/>
      <c r="D60" s="634"/>
      <c r="E60" s="634"/>
      <c r="F60" s="634"/>
      <c r="G60" s="634"/>
      <c r="H60" s="635"/>
      <c r="I60" s="635"/>
      <c r="J60" s="635"/>
      <c r="K60" s="635"/>
      <c r="L60" s="635"/>
      <c r="M60" s="636"/>
      <c r="N60" s="1767"/>
      <c r="O60" s="1767"/>
      <c r="P60" s="1767"/>
      <c r="Q60" s="1768"/>
      <c r="R60" s="1769"/>
      <c r="S60" s="1769"/>
      <c r="T60" s="1769"/>
      <c r="U60" s="1769"/>
      <c r="V60" s="1769"/>
      <c r="W60" s="1769"/>
      <c r="X60" s="1769"/>
      <c r="Y60" s="1769"/>
      <c r="Z60" s="1769"/>
      <c r="AA60" s="1769"/>
      <c r="AB60" s="1769"/>
      <c r="AC60" s="1769"/>
    </row>
    <row r="61" spans="1:29" ht="15" thickTop="1">
      <c r="A61" s="607" t="s">
        <v>486</v>
      </c>
      <c r="B61" s="608" t="s">
        <v>532</v>
      </c>
      <c r="C61" s="143" t="s">
        <v>525</v>
      </c>
      <c r="D61" s="143" t="s">
        <v>526</v>
      </c>
      <c r="E61" s="143" t="s">
        <v>527</v>
      </c>
      <c r="F61" s="143" t="s">
        <v>528</v>
      </c>
      <c r="G61" s="143" t="s">
        <v>529</v>
      </c>
      <c r="H61" s="645"/>
      <c r="I61" s="645"/>
      <c r="J61" s="645"/>
      <c r="K61" s="646"/>
      <c r="L61" s="647"/>
      <c r="M61" s="648"/>
      <c r="N61" s="1765"/>
      <c r="O61" s="1765"/>
      <c r="P61" s="1772"/>
      <c r="Q61" s="1761"/>
      <c r="R61" s="1740"/>
      <c r="S61" s="1740"/>
      <c r="T61" s="1740"/>
      <c r="U61" s="1740"/>
      <c r="V61" s="1740"/>
      <c r="W61" s="1740"/>
      <c r="X61" s="1740"/>
      <c r="Y61" s="1740"/>
      <c r="Z61" s="1740"/>
      <c r="AA61" s="1740"/>
      <c r="AB61" s="1740"/>
      <c r="AC61" s="1740"/>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6"/>
      <c r="O62" s="1766"/>
      <c r="P62" s="1764"/>
      <c r="Q62" s="1761"/>
      <c r="R62" s="1740"/>
      <c r="S62" s="1740"/>
      <c r="T62" s="1740"/>
      <c r="U62" s="1740"/>
      <c r="V62" s="1740"/>
      <c r="W62" s="1740"/>
      <c r="X62" s="1740"/>
      <c r="Y62" s="1740"/>
      <c r="Z62" s="1740"/>
      <c r="AA62" s="1740"/>
      <c r="AB62" s="1740"/>
      <c r="AC62" s="1740"/>
    </row>
    <row r="63" spans="1:29" ht="15.75" thickTop="1">
      <c r="A63" s="482"/>
      <c r="B63" s="1553" t="s">
        <v>1838</v>
      </c>
      <c r="C63" s="649" t="s">
        <v>525</v>
      </c>
      <c r="D63" s="649" t="s">
        <v>526</v>
      </c>
      <c r="E63" s="649" t="s">
        <v>527</v>
      </c>
      <c r="F63" s="649" t="s">
        <v>528</v>
      </c>
      <c r="G63" s="649" t="s">
        <v>529</v>
      </c>
      <c r="H63" s="616"/>
      <c r="I63" s="616"/>
      <c r="J63" s="616"/>
      <c r="K63" s="617"/>
      <c r="L63" s="618"/>
      <c r="M63" s="619"/>
      <c r="N63" s="1765"/>
      <c r="O63" s="1765"/>
      <c r="P63" s="1764"/>
      <c r="Q63" s="1761"/>
      <c r="R63" s="1740"/>
      <c r="S63" s="1740"/>
      <c r="T63" s="1740"/>
      <c r="U63" s="1740"/>
      <c r="V63" s="1740"/>
      <c r="W63" s="1740"/>
      <c r="X63" s="1740"/>
      <c r="Y63" s="1740"/>
      <c r="Z63" s="1740"/>
      <c r="AA63" s="1740"/>
      <c r="AB63" s="1740"/>
      <c r="AC63" s="1740"/>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6"/>
      <c r="O64" s="1766"/>
      <c r="P64" s="1764"/>
      <c r="Q64" s="1761"/>
      <c r="R64" s="1740"/>
      <c r="S64" s="1740"/>
      <c r="T64" s="1740"/>
      <c r="U64" s="1740"/>
      <c r="V64" s="1740"/>
      <c r="W64" s="1740"/>
      <c r="X64" s="1740"/>
      <c r="Y64" s="1740"/>
      <c r="Z64" s="1740"/>
      <c r="AA64" s="1740"/>
      <c r="AB64" s="1740"/>
      <c r="AC64" s="1740"/>
    </row>
    <row r="65" spans="1:29" ht="15.75" thickTop="1">
      <c r="A65" s="482"/>
      <c r="B65" s="2054" t="s">
        <v>1839</v>
      </c>
      <c r="C65" s="2055" t="s">
        <v>1840</v>
      </c>
      <c r="D65" s="2055" t="s">
        <v>1841</v>
      </c>
      <c r="E65" s="2055" t="s">
        <v>1842</v>
      </c>
      <c r="F65" s="2055" t="s">
        <v>1843</v>
      </c>
      <c r="G65" s="2055" t="s">
        <v>1844</v>
      </c>
      <c r="H65" s="616"/>
      <c r="I65" s="616"/>
      <c r="J65" s="616"/>
      <c r="K65" s="616"/>
      <c r="L65" s="616"/>
      <c r="M65" s="2058"/>
      <c r="N65" s="1766"/>
      <c r="O65" s="1766"/>
      <c r="P65" s="1764"/>
      <c r="Q65" s="1761"/>
      <c r="R65" s="1740"/>
      <c r="S65" s="1740"/>
      <c r="T65" s="1740"/>
      <c r="U65" s="1740"/>
      <c r="V65" s="1740"/>
      <c r="W65" s="1740"/>
      <c r="X65" s="1740"/>
      <c r="Y65" s="1740"/>
      <c r="Z65" s="1740"/>
      <c r="AA65" s="1740"/>
      <c r="AB65" s="1740"/>
      <c r="AC65" s="1740"/>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6"/>
      <c r="O66" s="1766"/>
      <c r="P66" s="1764"/>
      <c r="Q66" s="1761"/>
      <c r="R66" s="1740"/>
      <c r="S66" s="1740"/>
      <c r="T66" s="1740"/>
      <c r="U66" s="1740"/>
      <c r="V66" s="1740"/>
      <c r="W66" s="1740"/>
      <c r="X66" s="1740"/>
      <c r="Y66" s="1740"/>
      <c r="Z66" s="1740"/>
      <c r="AA66" s="1740"/>
      <c r="AB66" s="1740"/>
      <c r="AC66" s="1740"/>
    </row>
    <row r="67" spans="1:29" ht="15.75" thickTop="1">
      <c r="A67" s="482"/>
      <c r="B67" s="615" t="s">
        <v>682</v>
      </c>
      <c r="C67" s="649" t="s">
        <v>525</v>
      </c>
      <c r="D67" s="649" t="s">
        <v>526</v>
      </c>
      <c r="E67" s="649" t="s">
        <v>527</v>
      </c>
      <c r="F67" s="649" t="s">
        <v>528</v>
      </c>
      <c r="G67" s="649" t="s">
        <v>529</v>
      </c>
      <c r="H67" s="616"/>
      <c r="I67" s="616"/>
      <c r="J67" s="616"/>
      <c r="K67" s="617"/>
      <c r="L67" s="618"/>
      <c r="M67" s="619"/>
      <c r="N67" s="1765"/>
      <c r="O67" s="1765"/>
      <c r="P67" s="1764"/>
      <c r="Q67" s="1761"/>
      <c r="R67" s="1740"/>
      <c r="S67" s="1740"/>
      <c r="T67" s="1740"/>
      <c r="U67" s="1740"/>
      <c r="V67" s="1740"/>
      <c r="W67" s="1740"/>
      <c r="X67" s="1740"/>
      <c r="Y67" s="1740"/>
      <c r="Z67" s="1740"/>
      <c r="AA67" s="1740"/>
      <c r="AB67" s="1740"/>
      <c r="AC67" s="1740"/>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6"/>
      <c r="O68" s="1766"/>
      <c r="P68" s="1764"/>
      <c r="Q68" s="1761"/>
      <c r="R68" s="1740"/>
      <c r="S68" s="1740"/>
      <c r="T68" s="1740"/>
      <c r="U68" s="1740"/>
      <c r="V68" s="1740"/>
      <c r="W68" s="1740"/>
      <c r="X68" s="1740"/>
      <c r="Y68" s="1740"/>
      <c r="Z68" s="1740"/>
      <c r="AA68" s="1740"/>
      <c r="AB68" s="1740"/>
      <c r="AC68" s="1740"/>
    </row>
    <row r="69" spans="1:29" ht="15.75" thickTop="1">
      <c r="A69" s="482"/>
      <c r="B69" s="615" t="s">
        <v>683</v>
      </c>
      <c r="C69" s="630"/>
      <c r="D69" s="630"/>
      <c r="E69" s="630"/>
      <c r="F69" s="630"/>
      <c r="G69" s="630"/>
      <c r="H69" s="658"/>
      <c r="I69" s="658"/>
      <c r="J69" s="658"/>
      <c r="K69" s="659"/>
      <c r="L69" s="660"/>
      <c r="M69" s="661"/>
      <c r="N69" s="1765"/>
      <c r="O69" s="1765"/>
      <c r="P69" s="1764"/>
      <c r="Q69" s="1761"/>
      <c r="R69" s="1740"/>
      <c r="S69" s="1740"/>
      <c r="T69" s="1740"/>
      <c r="U69" s="1740"/>
      <c r="V69" s="1740"/>
      <c r="W69" s="1740"/>
      <c r="X69" s="1740"/>
      <c r="Y69" s="1740"/>
      <c r="Z69" s="1740"/>
      <c r="AA69" s="1740"/>
      <c r="AB69" s="1740"/>
      <c r="AC69" s="1740"/>
    </row>
    <row r="70" spans="1:29" ht="15.75" thickBot="1">
      <c r="A70" s="482"/>
      <c r="B70" s="620"/>
      <c r="C70" s="621">
        <v>100</v>
      </c>
      <c r="D70" s="621">
        <f>C70-$K22</f>
        <v>100</v>
      </c>
      <c r="E70" s="621"/>
      <c r="F70" s="621"/>
      <c r="G70" s="621"/>
      <c r="H70" s="621"/>
      <c r="I70" s="621"/>
      <c r="J70" s="621"/>
      <c r="K70" s="621"/>
      <c r="L70" s="621"/>
      <c r="M70" s="622"/>
      <c r="N70" s="1766"/>
      <c r="O70" s="1766"/>
      <c r="P70" s="1764"/>
      <c r="Q70" s="1761"/>
      <c r="R70" s="1740"/>
      <c r="S70" s="1740"/>
      <c r="T70" s="1740"/>
      <c r="U70" s="1740"/>
      <c r="V70" s="1740"/>
      <c r="W70" s="1740"/>
      <c r="X70" s="1740"/>
      <c r="Y70" s="1740"/>
      <c r="Z70" s="1740"/>
      <c r="AA70" s="1740"/>
      <c r="AB70" s="1740"/>
      <c r="AC70" s="1740"/>
    </row>
    <row r="71" spans="1:29" s="1057" customFormat="1" ht="15.75" thickTop="1">
      <c r="A71" s="486"/>
      <c r="B71" s="615">
        <f>B23</f>
        <v>111</v>
      </c>
      <c r="C71" s="491"/>
      <c r="D71" s="491"/>
      <c r="E71" s="491"/>
      <c r="F71" s="491"/>
      <c r="G71" s="630"/>
      <c r="H71" s="630"/>
      <c r="I71" s="630"/>
      <c r="J71" s="630"/>
      <c r="K71" s="630"/>
      <c r="L71" s="814"/>
      <c r="M71" s="815"/>
      <c r="N71" s="1764"/>
      <c r="O71" s="1764"/>
      <c r="P71" s="1764"/>
      <c r="Q71" s="1761"/>
      <c r="R71" s="1638"/>
      <c r="S71" s="1638"/>
      <c r="T71" s="1638"/>
      <c r="U71" s="1638"/>
      <c r="V71" s="1638"/>
      <c r="W71" s="1638"/>
      <c r="X71" s="1638"/>
      <c r="Y71" s="1638"/>
      <c r="Z71" s="1638"/>
      <c r="AA71" s="1638"/>
      <c r="AB71" s="1638"/>
      <c r="AC71" s="1638"/>
    </row>
    <row r="72" spans="1:29" s="1057" customFormat="1" ht="15.75" thickBot="1">
      <c r="A72" s="486"/>
      <c r="B72" s="620"/>
      <c r="C72" s="634"/>
      <c r="D72" s="613"/>
      <c r="E72" s="613"/>
      <c r="F72" s="613"/>
      <c r="G72" s="613"/>
      <c r="H72" s="613"/>
      <c r="I72" s="613"/>
      <c r="J72" s="613"/>
      <c r="K72" s="613"/>
      <c r="L72" s="613"/>
      <c r="M72" s="614"/>
      <c r="N72" s="1766"/>
      <c r="O72" s="1766"/>
      <c r="P72" s="1764"/>
      <c r="Q72" s="1761"/>
      <c r="R72" s="1638"/>
      <c r="S72" s="1638"/>
      <c r="T72" s="1638"/>
      <c r="U72" s="1638"/>
      <c r="V72" s="1638"/>
      <c r="W72" s="1638"/>
      <c r="X72" s="1638"/>
      <c r="Y72" s="1638"/>
      <c r="Z72" s="1638"/>
      <c r="AA72" s="1638"/>
      <c r="AB72" s="1638"/>
      <c r="AC72" s="1638"/>
    </row>
    <row r="73" spans="1:29" s="1057" customFormat="1" ht="15.75" thickTop="1">
      <c r="A73" s="486"/>
      <c r="B73" s="615">
        <f>B24</f>
        <v>111</v>
      </c>
      <c r="C73" s="491"/>
      <c r="D73" s="491"/>
      <c r="E73" s="491"/>
      <c r="F73" s="491"/>
      <c r="G73" s="630"/>
      <c r="H73" s="630"/>
      <c r="I73" s="630"/>
      <c r="J73" s="630"/>
      <c r="K73" s="630"/>
      <c r="L73" s="630"/>
      <c r="M73" s="815"/>
      <c r="N73" s="1764"/>
      <c r="O73" s="1764"/>
      <c r="P73" s="1764"/>
      <c r="Q73" s="1761"/>
      <c r="R73" s="1638"/>
      <c r="S73" s="1638"/>
      <c r="T73" s="1638"/>
      <c r="U73" s="1638"/>
      <c r="V73" s="1638"/>
      <c r="W73" s="1638"/>
      <c r="X73" s="1638"/>
      <c r="Y73" s="1638"/>
      <c r="Z73" s="1638"/>
      <c r="AA73" s="1638"/>
      <c r="AB73" s="1638"/>
      <c r="AC73" s="1638"/>
    </row>
    <row r="74" spans="1:29" s="1057" customFormat="1" ht="15.75" thickBot="1">
      <c r="A74" s="486"/>
      <c r="B74" s="620"/>
      <c r="C74" s="634"/>
      <c r="D74" s="613"/>
      <c r="E74" s="613"/>
      <c r="F74" s="613"/>
      <c r="G74" s="613"/>
      <c r="H74" s="613"/>
      <c r="I74" s="613"/>
      <c r="J74" s="613"/>
      <c r="K74" s="613"/>
      <c r="L74" s="613"/>
      <c r="M74" s="614"/>
      <c r="N74" s="1766"/>
      <c r="O74" s="1766"/>
      <c r="P74" s="1764"/>
      <c r="Q74" s="1761"/>
      <c r="R74" s="1638"/>
      <c r="S74" s="1638"/>
      <c r="T74" s="1638"/>
      <c r="U74" s="1638"/>
      <c r="V74" s="1638"/>
      <c r="W74" s="1638"/>
      <c r="X74" s="1638"/>
      <c r="Y74" s="1638"/>
      <c r="Z74" s="1638"/>
      <c r="AA74" s="1638"/>
      <c r="AB74" s="1638"/>
      <c r="AC74" s="1638"/>
    </row>
    <row r="75" spans="1:29" s="1131" customFormat="1" ht="15.75" thickTop="1">
      <c r="A75" s="629"/>
      <c r="B75" s="615">
        <f>B25</f>
        <v>111</v>
      </c>
      <c r="C75" s="491"/>
      <c r="D75" s="491"/>
      <c r="E75" s="491"/>
      <c r="F75" s="491"/>
      <c r="G75" s="630"/>
      <c r="H75" s="631"/>
      <c r="I75" s="631"/>
      <c r="J75" s="631"/>
      <c r="K75" s="631"/>
      <c r="L75" s="632"/>
      <c r="M75" s="633"/>
      <c r="N75" s="1767"/>
      <c r="O75" s="1767"/>
      <c r="P75" s="1767"/>
      <c r="Q75" s="1768"/>
      <c r="R75" s="1769"/>
      <c r="S75" s="1769"/>
      <c r="T75" s="1769"/>
      <c r="U75" s="1769"/>
      <c r="V75" s="1769"/>
      <c r="W75" s="1769"/>
      <c r="X75" s="1769"/>
      <c r="Y75" s="1769"/>
      <c r="Z75" s="1769"/>
      <c r="AA75" s="1769"/>
      <c r="AB75" s="1769"/>
      <c r="AC75" s="1769"/>
    </row>
    <row r="76" spans="1:29" s="1131" customFormat="1" ht="15.75" thickBot="1">
      <c r="A76" s="629"/>
      <c r="B76" s="620"/>
      <c r="C76" s="634"/>
      <c r="D76" s="634"/>
      <c r="E76" s="634"/>
      <c r="F76" s="634"/>
      <c r="G76" s="613"/>
      <c r="H76" s="613"/>
      <c r="I76" s="613"/>
      <c r="J76" s="613"/>
      <c r="K76" s="613"/>
      <c r="L76" s="613"/>
      <c r="M76" s="614"/>
      <c r="N76" s="1767"/>
      <c r="O76" s="1767"/>
      <c r="P76" s="1767"/>
      <c r="Q76" s="1768"/>
      <c r="R76" s="1769"/>
      <c r="S76" s="1769"/>
      <c r="T76" s="1769"/>
      <c r="U76" s="1769"/>
      <c r="V76" s="1769"/>
      <c r="W76" s="1769"/>
      <c r="X76" s="1769"/>
      <c r="Y76" s="1769"/>
      <c r="Z76" s="1769"/>
      <c r="AA76" s="1769"/>
      <c r="AB76" s="1769"/>
      <c r="AC76" s="1769"/>
    </row>
    <row r="77" spans="1:29" ht="15" thickTop="1">
      <c r="A77" s="607" t="s">
        <v>498</v>
      </c>
      <c r="B77" s="608" t="s">
        <v>689</v>
      </c>
      <c r="C77" s="630"/>
      <c r="D77" s="630"/>
      <c r="E77" s="547"/>
      <c r="F77" s="547"/>
      <c r="G77" s="547"/>
      <c r="H77" s="547"/>
      <c r="I77" s="547"/>
      <c r="J77" s="547"/>
      <c r="K77" s="609"/>
      <c r="L77" s="610"/>
      <c r="M77" s="611"/>
      <c r="N77" s="1765"/>
      <c r="O77" s="1765"/>
      <c r="P77" s="1764"/>
      <c r="Q77" s="1761"/>
      <c r="R77" s="1740"/>
      <c r="S77" s="1740"/>
      <c r="T77" s="1740"/>
      <c r="U77" s="1740"/>
      <c r="V77" s="1740"/>
      <c r="W77" s="1740"/>
      <c r="X77" s="1740"/>
      <c r="Y77" s="1740"/>
      <c r="Z77" s="1740"/>
      <c r="AA77" s="1740"/>
      <c r="AB77" s="1740"/>
      <c r="AC77" s="1740"/>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82"/>
      <c r="B79" s="615" t="s">
        <v>754</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4"/>
      <c r="O79" s="1764"/>
      <c r="P79" s="1764"/>
      <c r="Q79" s="1761"/>
      <c r="R79" s="1740"/>
      <c r="S79" s="1740"/>
      <c r="T79" s="1740"/>
      <c r="U79" s="1740"/>
      <c r="V79" s="1740"/>
      <c r="W79" s="1740"/>
      <c r="X79" s="1740"/>
      <c r="Y79" s="1740"/>
      <c r="Z79" s="1740"/>
      <c r="AA79" s="1740"/>
      <c r="AB79" s="1740"/>
      <c r="AC79" s="1740"/>
    </row>
    <row r="80" spans="1:29" ht="15">
      <c r="A80" s="482"/>
      <c r="B80" s="623"/>
      <c r="C80" s="817">
        <v>0.5</v>
      </c>
      <c r="D80" s="817">
        <v>0.6</v>
      </c>
      <c r="E80" s="817">
        <v>0.7</v>
      </c>
      <c r="F80" s="817">
        <v>0.8</v>
      </c>
      <c r="G80" s="817">
        <v>0.9</v>
      </c>
      <c r="H80" s="817">
        <v>1.0001</v>
      </c>
      <c r="I80" s="855"/>
      <c r="J80" s="855"/>
      <c r="K80" s="863"/>
      <c r="L80" s="864"/>
      <c r="M80" s="865"/>
      <c r="N80" s="1764"/>
      <c r="O80" s="1764"/>
      <c r="P80" s="1764"/>
      <c r="Q80" s="1761"/>
      <c r="R80" s="1740"/>
      <c r="S80" s="1740"/>
      <c r="T80" s="1740"/>
      <c r="U80" s="1740"/>
      <c r="V80" s="1740"/>
      <c r="W80" s="1740"/>
      <c r="X80" s="1740"/>
      <c r="Y80" s="1740"/>
      <c r="Z80" s="1740"/>
      <c r="AA80" s="1740"/>
      <c r="AB80" s="1740"/>
      <c r="AC80" s="1740"/>
    </row>
    <row r="81" spans="1:29" s="1131"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3"/>
      <c r="B82" s="623" t="s">
        <v>755</v>
      </c>
      <c r="C82" s="630"/>
      <c r="D82" s="630"/>
      <c r="E82" s="658"/>
      <c r="F82" s="658"/>
      <c r="G82" s="658"/>
      <c r="H82" s="658"/>
      <c r="I82" s="658"/>
      <c r="J82" s="658"/>
      <c r="K82" s="659"/>
      <c r="L82" s="660"/>
      <c r="M82" s="661"/>
      <c r="N82" s="1765"/>
      <c r="O82" s="1765"/>
      <c r="P82" s="1764"/>
      <c r="Q82" s="1761"/>
      <c r="R82" s="1740"/>
      <c r="S82" s="1740"/>
      <c r="T82" s="1740"/>
      <c r="U82" s="1740"/>
      <c r="V82" s="1740"/>
      <c r="W82" s="1740"/>
      <c r="X82" s="1740"/>
      <c r="Y82" s="1740"/>
      <c r="Z82" s="1740"/>
      <c r="AA82" s="1740"/>
      <c r="AB82" s="1740"/>
      <c r="AC82" s="1740"/>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3"/>
      <c r="B84" s="615" t="s">
        <v>763</v>
      </c>
      <c r="C84" s="630"/>
      <c r="D84" s="630"/>
      <c r="E84" s="630"/>
      <c r="F84" s="630"/>
      <c r="G84" s="630"/>
      <c r="H84" s="630"/>
      <c r="I84" s="658"/>
      <c r="J84" s="658"/>
      <c r="K84" s="659"/>
      <c r="L84" s="660"/>
      <c r="M84" s="661"/>
      <c r="N84" s="1765"/>
      <c r="O84" s="1765"/>
      <c r="P84" s="1764"/>
      <c r="Q84" s="1761"/>
      <c r="R84" s="1740"/>
      <c r="S84" s="1740"/>
      <c r="T84" s="1740"/>
      <c r="U84" s="1740"/>
      <c r="V84" s="1740"/>
      <c r="W84" s="1740"/>
      <c r="X84" s="1740"/>
      <c r="Y84" s="1740"/>
      <c r="Z84" s="1740"/>
      <c r="AA84" s="1740"/>
      <c r="AB84" s="1740"/>
      <c r="AC84" s="1740"/>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3"/>
      <c r="B86" s="623" t="s">
        <v>764</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5"/>
      <c r="O86" s="1765"/>
      <c r="P86" s="1764"/>
      <c r="Q86" s="1761"/>
      <c r="R86" s="1740"/>
      <c r="S86" s="1740"/>
      <c r="T86" s="1740"/>
      <c r="U86" s="1740"/>
      <c r="V86" s="1740"/>
      <c r="W86" s="1740"/>
      <c r="X86" s="1740"/>
      <c r="Y86" s="1740"/>
      <c r="Z86" s="1740"/>
      <c r="AA86" s="1740"/>
      <c r="AB86" s="1740"/>
      <c r="AC86" s="1740"/>
    </row>
    <row r="87" spans="1:29">
      <c r="A87" s="543"/>
      <c r="B87" s="623"/>
      <c r="C87" s="79"/>
      <c r="D87" s="79"/>
      <c r="E87" s="79"/>
      <c r="F87" s="79"/>
      <c r="G87" s="79"/>
      <c r="H87" s="79"/>
      <c r="I87" s="79"/>
      <c r="J87" s="669"/>
      <c r="K87" s="669"/>
      <c r="L87" s="670"/>
      <c r="M87" s="671"/>
      <c r="N87" s="1765"/>
      <c r="O87" s="1765"/>
      <c r="P87" s="1764"/>
      <c r="Q87" s="1761"/>
      <c r="R87" s="1740"/>
      <c r="S87" s="1740"/>
      <c r="T87" s="1740"/>
      <c r="U87" s="1740"/>
      <c r="V87" s="1740"/>
      <c r="W87" s="1740"/>
      <c r="X87" s="1740"/>
      <c r="Y87" s="1740"/>
      <c r="Z87" s="1740"/>
      <c r="AA87" s="1740"/>
      <c r="AB87" s="1740"/>
      <c r="AC87" s="1740"/>
    </row>
    <row r="88" spans="1:29" ht="15.75" thickBot="1">
      <c r="A88" s="482"/>
      <c r="B88" s="620"/>
      <c r="C88" s="634"/>
      <c r="D88" s="613"/>
      <c r="E88" s="613"/>
      <c r="F88" s="613"/>
      <c r="G88" s="613"/>
      <c r="H88" s="613"/>
      <c r="I88" s="613"/>
      <c r="J88" s="613"/>
      <c r="K88" s="613"/>
      <c r="L88" s="613"/>
      <c r="M88" s="613"/>
      <c r="N88" s="1766"/>
      <c r="O88" s="1766"/>
      <c r="P88" s="1764"/>
      <c r="Q88" s="1761"/>
      <c r="R88" s="1740"/>
      <c r="S88" s="1740"/>
      <c r="T88" s="1740"/>
      <c r="U88" s="1740"/>
      <c r="V88" s="1740"/>
      <c r="W88" s="1740"/>
      <c r="X88" s="1740"/>
      <c r="Y88" s="1740"/>
      <c r="Z88" s="1740"/>
      <c r="AA88" s="1740"/>
      <c r="AB88" s="1740"/>
      <c r="AC88" s="1740"/>
    </row>
    <row r="89" spans="1:29" s="1131" customFormat="1" ht="15" thickTop="1">
      <c r="A89" s="552"/>
      <c r="B89" s="615" t="s">
        <v>765</v>
      </c>
      <c r="C89" s="630"/>
      <c r="D89" s="630"/>
      <c r="E89" s="630"/>
      <c r="F89" s="630"/>
      <c r="G89" s="630"/>
      <c r="H89" s="630"/>
      <c r="I89" s="630"/>
      <c r="J89" s="630"/>
      <c r="K89" s="630"/>
      <c r="L89" s="630"/>
      <c r="M89" s="815"/>
      <c r="N89" s="1767"/>
      <c r="O89" s="1767"/>
      <c r="P89" s="1767"/>
      <c r="Q89" s="1768"/>
      <c r="R89" s="1769"/>
      <c r="S89" s="1769"/>
      <c r="T89" s="1769"/>
      <c r="U89" s="1769"/>
      <c r="V89" s="1769"/>
      <c r="W89" s="1769"/>
      <c r="X89" s="1769"/>
      <c r="Y89" s="1769"/>
      <c r="Z89" s="1769"/>
      <c r="AA89" s="1769"/>
      <c r="AB89" s="1769"/>
      <c r="AC89" s="1769"/>
    </row>
    <row r="90" spans="1:29" s="1131" customFormat="1" ht="15.75" thickBot="1">
      <c r="A90" s="629"/>
      <c r="B90" s="620"/>
      <c r="C90" s="634"/>
      <c r="D90" s="613"/>
      <c r="E90" s="613"/>
      <c r="F90" s="613"/>
      <c r="G90" s="613"/>
      <c r="H90" s="613"/>
      <c r="I90" s="613"/>
      <c r="J90" s="613"/>
      <c r="K90" s="613"/>
      <c r="L90" s="613"/>
      <c r="M90" s="614"/>
      <c r="N90" s="1767"/>
      <c r="O90" s="1767"/>
      <c r="P90" s="1767"/>
      <c r="Q90" s="1768"/>
      <c r="R90" s="1769"/>
      <c r="S90" s="1769"/>
      <c r="T90" s="1769"/>
      <c r="U90" s="1769"/>
      <c r="V90" s="1769"/>
      <c r="W90" s="1769"/>
      <c r="X90" s="1769"/>
      <c r="Y90" s="1769"/>
      <c r="Z90" s="1769"/>
      <c r="AA90" s="1769"/>
      <c r="AB90" s="1769"/>
      <c r="AC90" s="1769"/>
    </row>
    <row r="91" spans="1:29" ht="15" thickTop="1">
      <c r="A91" s="543"/>
      <c r="B91" s="615">
        <f>B32</f>
        <v>111</v>
      </c>
      <c r="C91" s="491"/>
      <c r="D91" s="491"/>
      <c r="E91" s="491"/>
      <c r="F91" s="491"/>
      <c r="G91" s="630"/>
      <c r="H91" s="631"/>
      <c r="I91" s="631"/>
      <c r="J91" s="631"/>
      <c r="K91" s="631"/>
      <c r="L91" s="632"/>
      <c r="M91" s="633"/>
      <c r="N91" s="1765"/>
      <c r="O91" s="1765"/>
      <c r="P91" s="1764"/>
      <c r="Q91" s="1761"/>
      <c r="R91" s="1740"/>
      <c r="S91" s="1740"/>
      <c r="T91" s="1740"/>
      <c r="U91" s="1740"/>
      <c r="V91" s="1740"/>
      <c r="W91" s="1740"/>
      <c r="X91" s="1740"/>
      <c r="Y91" s="1740"/>
      <c r="Z91" s="1740"/>
      <c r="AA91" s="1740"/>
      <c r="AB91" s="1740"/>
      <c r="AC91" s="1740"/>
    </row>
    <row r="92" spans="1:29" ht="15.75" thickBot="1">
      <c r="A92" s="482"/>
      <c r="B92" s="620"/>
      <c r="C92" s="634"/>
      <c r="D92" s="613"/>
      <c r="E92" s="613"/>
      <c r="F92" s="613"/>
      <c r="G92" s="634"/>
      <c r="H92" s="635"/>
      <c r="I92" s="635"/>
      <c r="J92" s="635"/>
      <c r="K92" s="635"/>
      <c r="L92" s="635"/>
      <c r="M92" s="636"/>
      <c r="N92" s="1766"/>
      <c r="O92" s="1766"/>
      <c r="P92" s="1764"/>
      <c r="Q92" s="1761"/>
      <c r="R92" s="1740"/>
      <c r="S92" s="1740"/>
      <c r="T92" s="1740"/>
      <c r="U92" s="1740"/>
      <c r="V92" s="1740"/>
      <c r="W92" s="1740"/>
      <c r="X92" s="1740"/>
      <c r="Y92" s="1740"/>
      <c r="Z92" s="1740"/>
      <c r="AA92" s="1740"/>
      <c r="AB92" s="1740"/>
      <c r="AC92" s="1740"/>
    </row>
    <row r="93" spans="1:29" ht="15" thickTop="1">
      <c r="A93" s="543"/>
      <c r="B93" s="615">
        <f>B33</f>
        <v>111</v>
      </c>
      <c r="C93" s="491"/>
      <c r="D93" s="491"/>
      <c r="E93" s="491"/>
      <c r="F93" s="491"/>
      <c r="G93" s="630"/>
      <c r="H93" s="631"/>
      <c r="I93" s="631"/>
      <c r="J93" s="631"/>
      <c r="K93" s="631"/>
      <c r="L93" s="632"/>
      <c r="M93" s="633"/>
      <c r="N93" s="1765"/>
      <c r="O93" s="1765"/>
      <c r="P93" s="1764"/>
      <c r="Q93" s="1761"/>
      <c r="R93" s="1740"/>
      <c r="S93" s="1740"/>
      <c r="T93" s="1740"/>
      <c r="U93" s="1740"/>
      <c r="V93" s="1740"/>
      <c r="W93" s="1740"/>
      <c r="X93" s="1740"/>
      <c r="Y93" s="1740"/>
      <c r="Z93" s="1740"/>
      <c r="AA93" s="1740"/>
      <c r="AB93" s="1740"/>
      <c r="AC93" s="1740"/>
    </row>
    <row r="94" spans="1:29" ht="15.75" thickBot="1">
      <c r="A94" s="482"/>
      <c r="B94" s="620"/>
      <c r="C94" s="634"/>
      <c r="D94" s="613"/>
      <c r="E94" s="613"/>
      <c r="F94" s="613"/>
      <c r="G94" s="634"/>
      <c r="H94" s="635"/>
      <c r="I94" s="635"/>
      <c r="J94" s="635"/>
      <c r="K94" s="635"/>
      <c r="L94" s="635"/>
      <c r="M94" s="636"/>
      <c r="N94" s="1766"/>
      <c r="O94" s="1766"/>
      <c r="P94" s="1764"/>
      <c r="Q94" s="1761"/>
      <c r="R94" s="1740"/>
      <c r="S94" s="1740"/>
      <c r="T94" s="1740"/>
      <c r="U94" s="1740"/>
      <c r="V94" s="1740"/>
      <c r="W94" s="1740"/>
      <c r="X94" s="1740"/>
      <c r="Y94" s="1740"/>
      <c r="Z94" s="1740"/>
      <c r="AA94" s="1740"/>
      <c r="AB94" s="1740"/>
      <c r="AC94" s="1740"/>
    </row>
    <row r="95" spans="1:29" ht="15" thickTop="1">
      <c r="A95" s="543"/>
      <c r="B95" s="838">
        <f>B34</f>
        <v>111</v>
      </c>
      <c r="C95" s="491"/>
      <c r="D95" s="491"/>
      <c r="E95" s="491"/>
      <c r="F95" s="491"/>
      <c r="G95" s="630"/>
      <c r="H95" s="631"/>
      <c r="I95" s="631"/>
      <c r="J95" s="631"/>
      <c r="K95" s="631"/>
      <c r="L95" s="632"/>
      <c r="M95" s="633"/>
      <c r="N95" s="1766"/>
      <c r="O95" s="1766"/>
      <c r="P95" s="1766"/>
      <c r="Q95" s="1801"/>
      <c r="R95" s="1740"/>
      <c r="S95" s="1740"/>
      <c r="T95" s="1740"/>
      <c r="U95" s="1740"/>
      <c r="V95" s="1740"/>
      <c r="W95" s="1740"/>
      <c r="X95" s="1740"/>
      <c r="Y95" s="1740"/>
      <c r="Z95" s="1740"/>
      <c r="AA95" s="1740"/>
      <c r="AB95" s="1740"/>
      <c r="AC95" s="1740"/>
    </row>
    <row r="96" spans="1:29" ht="15.75" thickBot="1">
      <c r="A96" s="482"/>
      <c r="B96" s="620"/>
      <c r="C96" s="634"/>
      <c r="D96" s="634"/>
      <c r="E96" s="634"/>
      <c r="F96" s="634"/>
      <c r="G96" s="634"/>
      <c r="H96" s="635"/>
      <c r="I96" s="635"/>
      <c r="J96" s="635"/>
      <c r="K96" s="635"/>
      <c r="L96" s="635"/>
      <c r="M96" s="636"/>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2" customWidth="1"/>
    <col min="2" max="2" width="9.25" style="1055" customWidth="1"/>
    <col min="3" max="3" width="5" style="1055" customWidth="1"/>
    <col min="4" max="4" width="9" style="1055"/>
    <col min="5" max="5" width="5" style="1055" customWidth="1"/>
    <col min="6" max="6" width="9" style="1055"/>
    <col min="7" max="7" width="5" style="1055" customWidth="1"/>
    <col min="8" max="8" width="9" style="1055"/>
    <col min="9" max="9" width="5" style="1055" customWidth="1"/>
    <col min="10" max="10" width="9" style="1055"/>
    <col min="11" max="11" width="5" style="1055" customWidth="1"/>
    <col min="12" max="12" width="9" style="1055"/>
    <col min="13" max="13" width="5" style="1055" customWidth="1"/>
    <col min="14" max="14" width="9" style="1055"/>
    <col min="15" max="15" width="5" style="1055" customWidth="1"/>
    <col min="16" max="16" width="9" style="1055"/>
    <col min="17" max="17" width="5" style="1055" customWidth="1"/>
    <col min="18" max="18" width="9" style="1055"/>
    <col min="19" max="19" width="9" style="1042"/>
    <col min="20" max="35" width="9" style="237"/>
    <col min="36" max="16384" width="9" style="1042"/>
  </cols>
  <sheetData>
    <row r="1" spans="1:45" s="237" customFormat="1" ht="14.25" customHeight="1" thickBot="1">
      <c r="A1" s="339"/>
      <c r="B1" s="1826" t="s">
        <v>1658</v>
      </c>
      <c r="C1" s="3737" t="s">
        <v>1659</v>
      </c>
      <c r="D1" s="3738"/>
      <c r="E1" s="3738"/>
      <c r="F1" s="3738"/>
      <c r="G1" s="3738"/>
      <c r="H1" s="3738"/>
      <c r="I1" s="3738"/>
      <c r="J1" s="3738"/>
      <c r="K1" s="3738"/>
      <c r="L1" s="3738"/>
      <c r="M1" s="3738"/>
      <c r="N1" s="3738"/>
      <c r="O1" s="3738"/>
      <c r="P1" s="3738"/>
      <c r="Q1" s="3738"/>
      <c r="R1" s="3738"/>
      <c r="S1" s="3739"/>
      <c r="T1" s="1826" t="s">
        <v>1660</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1661</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28" t="str">
        <f>S3&amp;"(含)"&amp;"-"</f>
        <v>(含)-</v>
      </c>
      <c r="T2" s="868"/>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9"/>
      <c r="C3" s="870"/>
      <c r="D3" s="10"/>
      <c r="E3" s="10"/>
      <c r="F3" s="10"/>
      <c r="G3" s="10"/>
      <c r="H3" s="10"/>
      <c r="I3" s="10"/>
      <c r="J3" s="871"/>
      <c r="K3" s="871"/>
      <c r="L3" s="872"/>
      <c r="M3" s="1831"/>
      <c r="N3" s="1832"/>
      <c r="O3" s="10"/>
      <c r="P3" s="10"/>
      <c r="Q3" s="10"/>
      <c r="R3" s="10"/>
      <c r="S3" s="1833"/>
      <c r="T3" s="873"/>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3" t="s">
        <v>2179</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5" t="s">
        <v>2178</v>
      </c>
      <c r="C7" s="1617"/>
      <c r="D7" s="1618"/>
      <c r="E7" s="1618"/>
      <c r="F7" s="1618"/>
      <c r="G7" s="1618"/>
      <c r="H7" s="1618"/>
      <c r="I7" s="1618"/>
      <c r="J7" s="1618"/>
      <c r="K7" s="1618"/>
      <c r="L7" s="1618"/>
      <c r="M7" s="1851"/>
      <c r="N7" s="1852"/>
      <c r="O7" s="1853"/>
      <c r="P7" s="1853"/>
      <c r="Q7" s="1854"/>
      <c r="R7" s="1855"/>
      <c r="S7" s="1856"/>
      <c r="T7" s="874"/>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5" t="s">
        <v>2177</v>
      </c>
      <c r="C9" s="1617"/>
      <c r="D9" s="1618"/>
      <c r="E9" s="1618"/>
      <c r="F9" s="1618"/>
      <c r="G9" s="1618"/>
      <c r="H9" s="1618"/>
      <c r="I9" s="1618"/>
      <c r="J9" s="1618"/>
      <c r="K9" s="1618"/>
      <c r="L9" s="1619"/>
      <c r="M9" s="1851"/>
      <c r="N9" s="1852"/>
      <c r="O9" s="1853"/>
      <c r="P9" s="1853"/>
      <c r="Q9" s="1854"/>
      <c r="R9" s="1855"/>
      <c r="S9" s="1856"/>
      <c r="T9" s="874"/>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3" t="s">
        <v>2190</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3" t="s">
        <v>2176</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3" t="s">
        <v>2175</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1662</v>
      </c>
      <c r="B17" s="1868" t="s">
        <v>1663</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7"/>
      <c r="B19" s="866"/>
      <c r="C19" s="1636"/>
      <c r="D19" s="1636"/>
      <c r="E19" s="1636"/>
      <c r="F19" s="1636"/>
      <c r="G19" s="1636"/>
      <c r="H19" s="1636"/>
      <c r="I19" s="1636"/>
      <c r="J19" s="1636"/>
      <c r="K19" s="1636"/>
      <c r="L19" s="1636"/>
      <c r="M19" s="1636"/>
      <c r="N19" s="1636"/>
      <c r="O19" s="1636"/>
      <c r="P19" s="1636"/>
      <c r="Q19" s="1636"/>
      <c r="R19" s="1636"/>
      <c r="S19" s="1634"/>
    </row>
    <row r="20" spans="1:45" ht="15.75">
      <c r="A20" s="875" t="s">
        <v>766</v>
      </c>
      <c r="B20" s="710">
        <f>S22</f>
        <v>0</v>
      </c>
      <c r="C20" s="1636"/>
      <c r="D20" s="1636"/>
      <c r="E20" s="1636"/>
      <c r="F20" s="1636"/>
      <c r="G20" s="1636"/>
      <c r="H20" s="1636"/>
      <c r="I20" s="1636"/>
      <c r="J20" s="1636"/>
      <c r="K20" s="1636"/>
      <c r="L20" s="1636"/>
      <c r="M20" s="1636"/>
      <c r="N20" s="1636"/>
      <c r="O20" s="1636"/>
      <c r="P20" s="1636"/>
      <c r="Q20" s="1636"/>
      <c r="R20" s="1636"/>
      <c r="S20" s="1634"/>
    </row>
    <row r="21" spans="1:45" ht="15.75">
      <c r="A21" s="875" t="str">
        <f>IF(B23="土地面积","地面单价","楼面单价")</f>
        <v>楼面单价</v>
      </c>
      <c r="B21" s="710" t="e">
        <f>R22</f>
        <v>#DIV/0!</v>
      </c>
      <c r="C21" s="1636"/>
      <c r="D21" s="1636"/>
      <c r="E21" s="1636"/>
      <c r="F21" s="1636"/>
      <c r="G21" s="1636"/>
      <c r="H21" s="1636"/>
      <c r="I21" s="1636"/>
      <c r="J21" s="1636"/>
      <c r="K21" s="1636"/>
      <c r="L21" s="1636"/>
      <c r="M21" s="1636"/>
      <c r="N21" s="1636"/>
      <c r="O21" s="1636"/>
      <c r="P21" s="1636"/>
      <c r="Q21" s="1636"/>
      <c r="R21" s="1636"/>
      <c r="S21" s="1634"/>
    </row>
    <row r="22" spans="1:45">
      <c r="A22" s="734" t="s">
        <v>767</v>
      </c>
      <c r="B22" s="49">
        <f>SUM(B24:B10000)</f>
        <v>0</v>
      </c>
      <c r="C22" s="3734" t="s">
        <v>14</v>
      </c>
      <c r="D22" s="3735"/>
      <c r="E22" s="3735"/>
      <c r="F22" s="3735"/>
      <c r="G22" s="3735"/>
      <c r="H22" s="3735"/>
      <c r="I22" s="3735"/>
      <c r="J22" s="3735"/>
      <c r="K22" s="3735"/>
      <c r="L22" s="3735"/>
      <c r="M22" s="3735"/>
      <c r="N22" s="3735"/>
      <c r="O22" s="3735"/>
      <c r="P22" s="3735"/>
      <c r="Q22" s="3736"/>
      <c r="R22" s="49" t="e">
        <f>ROUND(S22*10000/B22,0)</f>
        <v>#DIV/0!</v>
      </c>
      <c r="S22" s="49">
        <f>SUM(S24:S10000)</f>
        <v>0</v>
      </c>
    </row>
    <row r="23" spans="1:45" s="1335" customFormat="1" ht="24">
      <c r="A23" s="14" t="s">
        <v>768</v>
      </c>
      <c r="B23" s="2417" t="s">
        <v>2198</v>
      </c>
      <c r="C23" s="14" t="s">
        <v>769</v>
      </c>
      <c r="D23" s="14" t="str">
        <f>B5</f>
        <v>修正项2</v>
      </c>
      <c r="E23" s="14" t="s">
        <v>769</v>
      </c>
      <c r="F23" s="14" t="str">
        <f>B7</f>
        <v>修正项3</v>
      </c>
      <c r="G23" s="14" t="s">
        <v>769</v>
      </c>
      <c r="H23" s="14" t="str">
        <f>B9</f>
        <v>修正项4</v>
      </c>
      <c r="I23" s="14" t="s">
        <v>769</v>
      </c>
      <c r="J23" s="14" t="str">
        <f>B11</f>
        <v>修正项5</v>
      </c>
      <c r="K23" s="14" t="s">
        <v>769</v>
      </c>
      <c r="L23" s="14" t="str">
        <f>B13</f>
        <v>修正项6</v>
      </c>
      <c r="M23" s="14" t="s">
        <v>769</v>
      </c>
      <c r="N23" s="14" t="str">
        <f>B15</f>
        <v>修正项7</v>
      </c>
      <c r="O23" s="14" t="s">
        <v>769</v>
      </c>
      <c r="P23" s="14" t="str">
        <f>B17</f>
        <v>楼层</v>
      </c>
      <c r="Q23" s="14" t="s">
        <v>769</v>
      </c>
      <c r="R23" s="14" t="s">
        <v>770</v>
      </c>
      <c r="S23" s="14" t="s">
        <v>771</v>
      </c>
      <c r="T23" s="15"/>
      <c r="U23" s="15"/>
      <c r="V23" s="15"/>
      <c r="W23" s="15"/>
      <c r="X23" s="15"/>
      <c r="Y23" s="15"/>
      <c r="Z23" s="15"/>
      <c r="AA23" s="15"/>
      <c r="AB23" s="15"/>
      <c r="AC23" s="15"/>
      <c r="AD23" s="15"/>
      <c r="AE23" s="15"/>
      <c r="AF23" s="15"/>
      <c r="AG23" s="15"/>
      <c r="AH23" s="15"/>
      <c r="AI23" s="15"/>
    </row>
    <row r="24" spans="1:45" s="1336" customFormat="1">
      <c r="A24" s="876" t="s">
        <v>772</v>
      </c>
      <c r="B24" s="876"/>
      <c r="C24" s="2774">
        <v>1</v>
      </c>
      <c r="D24" s="2775"/>
      <c r="E24" s="2774">
        <v>1</v>
      </c>
      <c r="F24" s="2775"/>
      <c r="G24" s="2774">
        <v>1</v>
      </c>
      <c r="H24" s="2775"/>
      <c r="I24" s="2774">
        <v>1</v>
      </c>
      <c r="J24" s="2775"/>
      <c r="K24" s="2774">
        <v>1</v>
      </c>
      <c r="L24" s="2775"/>
      <c r="M24" s="2774">
        <v>1</v>
      </c>
      <c r="N24" s="2775"/>
      <c r="O24" s="2774">
        <v>1</v>
      </c>
      <c r="P24" s="2775"/>
      <c r="Q24" s="2774">
        <v>1</v>
      </c>
      <c r="R24" s="876"/>
      <c r="S24" s="877">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2063</v>
      </c>
      <c r="C1" s="2293">
        <f>项目基本情况!D3</f>
        <v>45817</v>
      </c>
      <c r="H1" s="2232">
        <f>IF(C1&gt;C13,0,MATCH(C1,C$13:C$115,-1))+IF(SUMIF(C13:C115,C1,D13:D115)=0,13,12)</f>
        <v>13</v>
      </c>
      <c r="I1" s="2232">
        <f>MATCH(C2,H3:H7,1)+IF(SUMIF(H3:H7,C2,I3:I7)=0,2,1)</f>
        <v>5</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2094</v>
      </c>
      <c r="C2" s="2294">
        <f>'数据-取费表'!B22</f>
        <v>2</v>
      </c>
      <c r="D2" s="2289" t="s">
        <v>2064</v>
      </c>
      <c r="E2" s="2292">
        <f ca="1">INDIRECT("I"&amp;$I$1)/100</f>
        <v>0.03</v>
      </c>
      <c r="G2" s="2234"/>
      <c r="H2" s="2234"/>
      <c r="I2" s="2234" t="s">
        <v>2065</v>
      </c>
      <c r="K2" s="2234"/>
      <c r="L2" s="2234"/>
      <c r="M2" s="2234"/>
      <c r="N2" s="2234" t="s">
        <v>2066</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2096</v>
      </c>
      <c r="C3" s="2291">
        <f>'数据-取费表'!B19</f>
        <v>0</v>
      </c>
      <c r="D3" s="2289" t="s">
        <v>2064</v>
      </c>
      <c r="E3" s="2292">
        <f ca="1">INDIRECT("J"&amp;$J$1)/100</f>
        <v>0</v>
      </c>
      <c r="G3" s="2236" t="s">
        <v>2067</v>
      </c>
      <c r="H3" s="2237">
        <v>0</v>
      </c>
      <c r="I3" s="2238">
        <f ca="1">INDIRECT("d"&amp;$H$1)</f>
        <v>3</v>
      </c>
      <c r="J3" s="2238">
        <f ca="1">INDIRECT("d"&amp;$H$1)</f>
        <v>3</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2095</v>
      </c>
      <c r="C4" s="2292">
        <f ca="1">N4/100</f>
        <v>1.4999999999999999E-2</v>
      </c>
      <c r="G4" s="2242" t="s">
        <v>2068</v>
      </c>
      <c r="H4" s="2243">
        <v>0.5</v>
      </c>
      <c r="I4" s="2244">
        <f ca="1">INDIRECT("e"&amp;$H$1)</f>
        <v>3</v>
      </c>
      <c r="J4" s="2244">
        <f ca="1">INDIRECT("e"&amp;$H$1)</f>
        <v>3</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2069</v>
      </c>
      <c r="H5" s="2243">
        <v>1</v>
      </c>
      <c r="I5" s="2244">
        <f ca="1">INDIRECT("f"&amp;$H$1)</f>
        <v>3</v>
      </c>
      <c r="J5" s="2244">
        <f ca="1">INDIRECT("f"&amp;$H$1)</f>
        <v>3</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2070</v>
      </c>
      <c r="H6" s="2243">
        <v>3</v>
      </c>
      <c r="I6" s="2244">
        <f ca="1">INDIRECT("g"&amp;$H$1)</f>
        <v>3</v>
      </c>
      <c r="J6" s="2244">
        <f ca="1">INDIRECT("g"&amp;$H$1)</f>
        <v>3</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2071</v>
      </c>
      <c r="H7" s="2248">
        <v>5</v>
      </c>
      <c r="I7" s="2249">
        <f ca="1">INDIRECT("h"&amp;$H$1)</f>
        <v>3.5</v>
      </c>
      <c r="J7" s="2249">
        <f ca="1">INDIRECT("h"&amp;$H$1)</f>
        <v>3.5</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2072</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2073</v>
      </c>
      <c r="C10" s="2261"/>
      <c r="D10" s="2261"/>
      <c r="E10" s="2261"/>
      <c r="F10" s="2261"/>
      <c r="G10" s="2261"/>
      <c r="H10" s="2261"/>
      <c r="I10" s="2235"/>
      <c r="J10" s="2235"/>
      <c r="K10" s="2261"/>
      <c r="L10" s="2262" t="s">
        <v>2074</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2075</v>
      </c>
      <c r="C11" s="2266" t="s">
        <v>2076</v>
      </c>
      <c r="D11" s="2267" t="s">
        <v>2077</v>
      </c>
      <c r="E11" s="2268"/>
      <c r="F11" s="2267" t="s">
        <v>2078</v>
      </c>
      <c r="G11" s="2269"/>
      <c r="H11" s="2268"/>
      <c r="I11" s="2267" t="s">
        <v>2079</v>
      </c>
      <c r="J11" s="2268"/>
      <c r="K11" s="2264"/>
      <c r="L11" s="2265" t="s">
        <v>2075</v>
      </c>
      <c r="M11" s="2266" t="s">
        <v>2076</v>
      </c>
      <c r="N11" s="2265" t="s">
        <v>2080</v>
      </c>
      <c r="O11" s="2267" t="s">
        <v>2081</v>
      </c>
      <c r="P11" s="2269"/>
      <c r="Q11" s="2269"/>
      <c r="R11" s="2269"/>
      <c r="S11" s="2269"/>
      <c r="T11" s="2268"/>
      <c r="U11" s="2267" t="s">
        <v>2082</v>
      </c>
      <c r="V11" s="2269"/>
      <c r="W11" s="2268"/>
      <c r="X11" s="2265" t="s">
        <v>2083</v>
      </c>
      <c r="Y11" s="2265" t="s">
        <v>2084</v>
      </c>
      <c r="Z11" s="2265" t="s">
        <v>2085</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2086</v>
      </c>
      <c r="E12" s="2273" t="s">
        <v>2087</v>
      </c>
      <c r="F12" s="2273" t="s">
        <v>2088</v>
      </c>
      <c r="G12" s="2273" t="s">
        <v>2089</v>
      </c>
      <c r="H12" s="2273" t="s">
        <v>2071</v>
      </c>
      <c r="I12" s="2274" t="s">
        <v>2090</v>
      </c>
      <c r="J12" s="2274" t="s">
        <v>2090</v>
      </c>
      <c r="K12" s="2264"/>
      <c r="L12" s="2271"/>
      <c r="M12" s="2272"/>
      <c r="N12" s="2271"/>
      <c r="O12" s="2274" t="s">
        <v>2091</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2092</v>
      </c>
      <c r="C13" s="2277">
        <v>45797</v>
      </c>
      <c r="D13" s="2278">
        <v>3</v>
      </c>
      <c r="E13" s="2278">
        <f t="shared" ref="E13:E18" si="0">D13</f>
        <v>3</v>
      </c>
      <c r="F13" s="2278">
        <f t="shared" ref="F13:F18" si="1">D13</f>
        <v>3</v>
      </c>
      <c r="G13" s="2278">
        <f t="shared" ref="G13:G18" si="2">D13</f>
        <v>3</v>
      </c>
      <c r="H13" s="2278">
        <v>3.5</v>
      </c>
      <c r="I13" s="2278"/>
      <c r="J13" s="2278"/>
      <c r="K13" s="2275"/>
      <c r="L13" s="2276" t="s">
        <v>2092</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45586</v>
      </c>
      <c r="D14" s="2282">
        <v>3.1</v>
      </c>
      <c r="E14" s="2282">
        <f t="shared" si="0"/>
        <v>3.1</v>
      </c>
      <c r="F14" s="2282">
        <f t="shared" si="1"/>
        <v>3.1</v>
      </c>
      <c r="G14" s="2282">
        <f t="shared" si="2"/>
        <v>3.1</v>
      </c>
      <c r="H14" s="2282">
        <v>3.6</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45495</v>
      </c>
      <c r="D15" s="2282">
        <v>3.35</v>
      </c>
      <c r="E15" s="2282">
        <f t="shared" si="0"/>
        <v>3.35</v>
      </c>
      <c r="F15" s="2282">
        <f t="shared" si="1"/>
        <v>3.35</v>
      </c>
      <c r="G15" s="2282">
        <f t="shared" si="2"/>
        <v>3.35</v>
      </c>
      <c r="H15" s="2282">
        <v>3.85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45342</v>
      </c>
      <c r="D16" s="2282">
        <v>3.45</v>
      </c>
      <c r="E16" s="2282">
        <f t="shared" si="0"/>
        <v>3.45</v>
      </c>
      <c r="F16" s="2282">
        <f t="shared" si="1"/>
        <v>3.45</v>
      </c>
      <c r="G16" s="2282">
        <f t="shared" si="2"/>
        <v>3.45</v>
      </c>
      <c r="H16" s="2282">
        <v>3.95</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45159</v>
      </c>
      <c r="D17" s="2282">
        <v>3.45</v>
      </c>
      <c r="E17" s="2282">
        <f t="shared" si="0"/>
        <v>3.45</v>
      </c>
      <c r="F17" s="2282">
        <f t="shared" si="1"/>
        <v>3.45</v>
      </c>
      <c r="G17" s="2282">
        <f t="shared" si="2"/>
        <v>3.45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45097</v>
      </c>
      <c r="D18" s="2282">
        <v>3.55</v>
      </c>
      <c r="E18" s="2282">
        <f t="shared" si="0"/>
        <v>3.55</v>
      </c>
      <c r="F18" s="2282">
        <f t="shared" si="1"/>
        <v>3.55</v>
      </c>
      <c r="G18" s="2282">
        <f t="shared" si="2"/>
        <v>3.55</v>
      </c>
      <c r="H18" s="2282">
        <v>4.2</v>
      </c>
      <c r="I18" s="2278"/>
      <c r="J18" s="2278"/>
      <c r="L18" s="2782"/>
      <c r="M18" s="2781">
        <v>41965</v>
      </c>
      <c r="N18" s="2782">
        <v>0.35</v>
      </c>
      <c r="O18" s="2782">
        <v>2.35</v>
      </c>
      <c r="P18" s="2782">
        <v>2.5499999999999998</v>
      </c>
      <c r="Q18" s="2782">
        <v>2.75</v>
      </c>
      <c r="R18" s="2782">
        <v>3.35</v>
      </c>
      <c r="S18" s="2782">
        <v>4</v>
      </c>
      <c r="T18" s="2782">
        <v>4.75</v>
      </c>
      <c r="U18" s="2783">
        <v>2.35</v>
      </c>
      <c r="V18" s="2783">
        <v>2.5499999999999998</v>
      </c>
      <c r="W18" s="2783">
        <v>2.75</v>
      </c>
      <c r="X18" s="2782"/>
      <c r="Y18" s="2783">
        <v>0.8</v>
      </c>
      <c r="Z18" s="2783">
        <v>1.35</v>
      </c>
    </row>
    <row r="19" spans="1:256" s="2784" customFormat="1" ht="14.25">
      <c r="A19" s="2275"/>
      <c r="B19" s="2276"/>
      <c r="C19" s="2283">
        <v>44795</v>
      </c>
      <c r="D19" s="2282">
        <v>3.65</v>
      </c>
      <c r="E19" s="2282">
        <v>3.65</v>
      </c>
      <c r="F19" s="2282">
        <v>3.65</v>
      </c>
      <c r="G19" s="2282">
        <v>3.65</v>
      </c>
      <c r="H19" s="2282">
        <v>4.3</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44701</v>
      </c>
      <c r="D20" s="2282">
        <v>3.7</v>
      </c>
      <c r="E20" s="2282">
        <f>D20</f>
        <v>3.7</v>
      </c>
      <c r="F20" s="2282">
        <f>D20</f>
        <v>3.7</v>
      </c>
      <c r="G20" s="2282">
        <f>D20</f>
        <v>3.7</v>
      </c>
      <c r="H20" s="2282">
        <v>4.45</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44581</v>
      </c>
      <c r="D21" s="2282">
        <v>3.7</v>
      </c>
      <c r="E21" s="2282">
        <f>D21</f>
        <v>3.7</v>
      </c>
      <c r="F21" s="2282">
        <f>D21</f>
        <v>3.7</v>
      </c>
      <c r="G21" s="2282">
        <f>D21</f>
        <v>3.7</v>
      </c>
      <c r="H21" s="2282">
        <v>4.5999999999999996</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76"/>
      <c r="C22" s="2283">
        <v>44550</v>
      </c>
      <c r="D22" s="2282">
        <v>3.8</v>
      </c>
      <c r="E22" s="2282">
        <f>D22</f>
        <v>3.8</v>
      </c>
      <c r="F22" s="2282">
        <f>D22</f>
        <v>3.8</v>
      </c>
      <c r="G22" s="2282">
        <f>D22</f>
        <v>3.8</v>
      </c>
      <c r="H22" s="2282">
        <v>4.6500000000000004</v>
      </c>
      <c r="I22" s="2278"/>
      <c r="J22" s="2278"/>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9"/>
      <c r="B23" s="2282"/>
      <c r="C23" s="2283">
        <v>43941</v>
      </c>
      <c r="D23" s="2282">
        <v>3.85</v>
      </c>
      <c r="E23" s="2282">
        <v>3.85</v>
      </c>
      <c r="F23" s="2282">
        <v>3.85</v>
      </c>
      <c r="G23" s="2282">
        <v>3.85</v>
      </c>
      <c r="H23" s="2282">
        <v>4.6500000000000004</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43881</v>
      </c>
      <c r="D24" s="2282">
        <v>4.05</v>
      </c>
      <c r="E24" s="2282">
        <v>4.05</v>
      </c>
      <c r="F24" s="2282">
        <v>4.05</v>
      </c>
      <c r="G24" s="2282">
        <v>4.05</v>
      </c>
      <c r="H24" s="2282">
        <v>4.75</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43789</v>
      </c>
      <c r="D25" s="2282">
        <v>4.1500000000000004</v>
      </c>
      <c r="E25" s="2282">
        <v>4.1500000000000004</v>
      </c>
      <c r="F25" s="2282">
        <v>4.1500000000000004</v>
      </c>
      <c r="G25" s="2282">
        <v>4.1500000000000004</v>
      </c>
      <c r="H25" s="2282">
        <v>4.8</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c r="B26" s="2282"/>
      <c r="C26" s="2283">
        <v>43728</v>
      </c>
      <c r="D26" s="2282">
        <v>4.2</v>
      </c>
      <c r="E26" s="2282">
        <v>4.2</v>
      </c>
      <c r="F26" s="2282">
        <v>4.2</v>
      </c>
      <c r="G26" s="2282">
        <v>4.2</v>
      </c>
      <c r="H26" s="2282">
        <v>4.8499999999999996</v>
      </c>
      <c r="I26" s="2282"/>
      <c r="J26" s="2282"/>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276" t="s">
        <v>2274</v>
      </c>
      <c r="C27" s="2284">
        <v>43697</v>
      </c>
      <c r="D27" s="2776">
        <v>4.25</v>
      </c>
      <c r="E27" s="2776">
        <v>4.25</v>
      </c>
      <c r="F27" s="2776">
        <v>4.25</v>
      </c>
      <c r="G27" s="2776">
        <v>4.25</v>
      </c>
      <c r="H27" s="2776">
        <v>4.8499999999999996</v>
      </c>
      <c r="I27" s="2776"/>
      <c r="J27" s="2776"/>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ht="14.25">
      <c r="B28" s="2780"/>
      <c r="C28" s="2781">
        <v>42301</v>
      </c>
      <c r="D28" s="2782">
        <v>4.3499999999999996</v>
      </c>
      <c r="E28" s="2782">
        <v>4.3499999999999996</v>
      </c>
      <c r="F28" s="2782">
        <v>4.75</v>
      </c>
      <c r="G28" s="2782">
        <v>4.75</v>
      </c>
      <c r="H28" s="2782">
        <v>4.9000000000000004</v>
      </c>
      <c r="I28" s="2782"/>
      <c r="J28" s="2782"/>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42242</v>
      </c>
      <c r="D29" s="2282">
        <v>4.5999999999999996</v>
      </c>
      <c r="E29" s="2282">
        <v>4.5999999999999996</v>
      </c>
      <c r="F29" s="2282">
        <v>5</v>
      </c>
      <c r="G29" s="2282">
        <v>5</v>
      </c>
      <c r="H29" s="2282">
        <v>5.15</v>
      </c>
      <c r="I29" s="2282">
        <v>2.75</v>
      </c>
      <c r="J29" s="2282">
        <v>3.25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42183</v>
      </c>
      <c r="D30" s="2282">
        <v>4.8499999999999996</v>
      </c>
      <c r="E30" s="2282">
        <v>4.8499999999999996</v>
      </c>
      <c r="F30" s="2282">
        <v>5.25</v>
      </c>
      <c r="G30" s="2282">
        <v>5.25</v>
      </c>
      <c r="H30" s="2282">
        <v>5.4</v>
      </c>
      <c r="I30" s="2282">
        <v>3</v>
      </c>
      <c r="J30" s="2282">
        <v>3.5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42135</v>
      </c>
      <c r="D31" s="2282">
        <v>5.0999999999999996</v>
      </c>
      <c r="E31" s="2282">
        <v>5.0999999999999996</v>
      </c>
      <c r="F31" s="2282">
        <v>5.5</v>
      </c>
      <c r="G31" s="2282">
        <v>5.5</v>
      </c>
      <c r="H31" s="2282">
        <v>5.65</v>
      </c>
      <c r="I31" s="2282">
        <v>3.25</v>
      </c>
      <c r="J31" s="2282">
        <v>3.75</v>
      </c>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42064</v>
      </c>
      <c r="D32" s="2282">
        <v>5.35</v>
      </c>
      <c r="E32" s="2282">
        <v>5.35</v>
      </c>
      <c r="F32" s="2282">
        <v>5.75</v>
      </c>
      <c r="G32" s="2282">
        <v>5.75</v>
      </c>
      <c r="H32" s="2282">
        <v>5.9</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41965</v>
      </c>
      <c r="D33" s="2282">
        <v>5.6</v>
      </c>
      <c r="E33" s="2282">
        <v>5.6</v>
      </c>
      <c r="F33" s="2282">
        <v>6</v>
      </c>
      <c r="G33" s="2282">
        <v>6</v>
      </c>
      <c r="H33" s="2282">
        <v>6.15</v>
      </c>
      <c r="I33" s="2282"/>
      <c r="J33" s="2282"/>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41096</v>
      </c>
      <c r="D34" s="2282">
        <v>5.6</v>
      </c>
      <c r="E34" s="2282">
        <v>6</v>
      </c>
      <c r="F34" s="2282">
        <v>6.15</v>
      </c>
      <c r="G34" s="2282">
        <v>6.4</v>
      </c>
      <c r="H34" s="2282">
        <v>6.55</v>
      </c>
      <c r="I34" s="2282">
        <v>4</v>
      </c>
      <c r="J34" s="2282">
        <v>4.5</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41068</v>
      </c>
      <c r="D35" s="2282">
        <v>5.85</v>
      </c>
      <c r="E35" s="2282">
        <v>6.31</v>
      </c>
      <c r="F35" s="2282">
        <v>6.4</v>
      </c>
      <c r="G35" s="2282">
        <v>6.65</v>
      </c>
      <c r="H35" s="2282">
        <v>6.8</v>
      </c>
      <c r="I35" s="2282">
        <v>4.2</v>
      </c>
      <c r="J35" s="2282">
        <v>4.7</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40731</v>
      </c>
      <c r="D36" s="2282">
        <v>6.1</v>
      </c>
      <c r="E36" s="2282">
        <v>6.56</v>
      </c>
      <c r="F36" s="2282">
        <v>6.65</v>
      </c>
      <c r="G36" s="2282">
        <v>6.9</v>
      </c>
      <c r="H36" s="2282">
        <v>7.05</v>
      </c>
      <c r="I36" s="2282">
        <v>4.45</v>
      </c>
      <c r="J36" s="2282">
        <v>4.9000000000000004</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40639</v>
      </c>
      <c r="D37" s="2282">
        <v>5.85</v>
      </c>
      <c r="E37" s="2282">
        <v>6.31</v>
      </c>
      <c r="F37" s="2282">
        <v>6.4</v>
      </c>
      <c r="G37" s="2282">
        <v>6.65</v>
      </c>
      <c r="H37" s="2282">
        <v>6.8</v>
      </c>
      <c r="I37" s="2282">
        <v>4.2</v>
      </c>
      <c r="J37" s="2282">
        <v>4.7</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40583</v>
      </c>
      <c r="D38" s="2282">
        <v>5.6</v>
      </c>
      <c r="E38" s="2282">
        <v>6.06</v>
      </c>
      <c r="F38" s="2282">
        <v>6.1</v>
      </c>
      <c r="G38" s="2282">
        <v>6.45</v>
      </c>
      <c r="H38" s="2282">
        <v>6.6</v>
      </c>
      <c r="I38" s="2282">
        <v>4</v>
      </c>
      <c r="J38" s="2282">
        <v>4.5</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40538</v>
      </c>
      <c r="D39" s="2282">
        <v>5.35</v>
      </c>
      <c r="E39" s="2282">
        <v>5.81</v>
      </c>
      <c r="F39" s="2282">
        <v>5.85</v>
      </c>
      <c r="G39" s="2282">
        <v>6.22</v>
      </c>
      <c r="H39" s="2282">
        <v>6.4</v>
      </c>
      <c r="I39" s="2282">
        <v>3.75</v>
      </c>
      <c r="J39" s="2282">
        <v>4.3</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40471</v>
      </c>
      <c r="D40" s="2282">
        <v>5.0999999999999996</v>
      </c>
      <c r="E40" s="2282">
        <v>5.56</v>
      </c>
      <c r="F40" s="2282">
        <v>5.6</v>
      </c>
      <c r="G40" s="2282">
        <v>5.96</v>
      </c>
      <c r="H40" s="2282">
        <v>6.14</v>
      </c>
      <c r="I40" s="2282">
        <v>3.5</v>
      </c>
      <c r="J40" s="2282">
        <v>4.05</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39805</v>
      </c>
      <c r="D41" s="2282">
        <v>4.8600000000000003</v>
      </c>
      <c r="E41" s="2282">
        <v>5.31</v>
      </c>
      <c r="F41" s="2282">
        <v>5.4</v>
      </c>
      <c r="G41" s="2282">
        <v>5.76</v>
      </c>
      <c r="H41" s="2282">
        <v>5.94</v>
      </c>
      <c r="I41" s="2282">
        <v>3.33</v>
      </c>
      <c r="J41" s="2282">
        <v>3.87</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39779</v>
      </c>
      <c r="D42" s="2282">
        <v>5.04</v>
      </c>
      <c r="E42" s="2282">
        <v>5.58</v>
      </c>
      <c r="F42" s="2282">
        <v>5.67</v>
      </c>
      <c r="G42" s="2282">
        <v>5.94</v>
      </c>
      <c r="H42" s="2282">
        <v>6.12</v>
      </c>
      <c r="I42" s="2282">
        <v>3.51</v>
      </c>
      <c r="J42" s="2282">
        <v>4.05</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2093</v>
      </c>
      <c r="Y42" s="2282" t="s">
        <v>2093</v>
      </c>
      <c r="Z42" s="2282" t="s">
        <v>2093</v>
      </c>
    </row>
    <row r="43" spans="2:26">
      <c r="B43" s="2282"/>
      <c r="C43" s="2283">
        <v>39751</v>
      </c>
      <c r="D43" s="2282">
        <v>6.03</v>
      </c>
      <c r="E43" s="2282">
        <v>6.66</v>
      </c>
      <c r="F43" s="2282">
        <v>6.75</v>
      </c>
      <c r="G43" s="2282">
        <v>7.02</v>
      </c>
      <c r="H43" s="2282">
        <v>7.2</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2093</v>
      </c>
      <c r="Y43" s="2282" t="s">
        <v>2093</v>
      </c>
      <c r="Z43" s="2282" t="s">
        <v>2093</v>
      </c>
    </row>
    <row r="44" spans="2:26">
      <c r="B44" s="2282"/>
      <c r="C44" s="2284">
        <v>39748</v>
      </c>
      <c r="D44" s="2282">
        <v>6.12</v>
      </c>
      <c r="E44" s="2282">
        <v>6.93</v>
      </c>
      <c r="F44" s="2282">
        <v>7.02</v>
      </c>
      <c r="G44" s="2282">
        <v>7.29</v>
      </c>
      <c r="H44" s="2282">
        <v>7.47</v>
      </c>
      <c r="I44" s="2282">
        <v>4.05</v>
      </c>
      <c r="J44" s="2282">
        <v>4.59</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2093</v>
      </c>
      <c r="Y44" s="2282" t="s">
        <v>2093</v>
      </c>
      <c r="Z44" s="2282" t="s">
        <v>2093</v>
      </c>
    </row>
    <row r="45" spans="2:26">
      <c r="B45" s="2282"/>
      <c r="C45" s="2283">
        <v>39730</v>
      </c>
      <c r="D45" s="2282">
        <v>6.12</v>
      </c>
      <c r="E45" s="2282">
        <v>6.93</v>
      </c>
      <c r="F45" s="2282">
        <v>7.02</v>
      </c>
      <c r="G45" s="2282">
        <v>7.29</v>
      </c>
      <c r="H45" s="2282">
        <v>7.47</v>
      </c>
      <c r="I45" s="2282">
        <v>4.32</v>
      </c>
      <c r="J45" s="2282">
        <v>4.8600000000000003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2093</v>
      </c>
      <c r="Y45" s="2282" t="s">
        <v>2093</v>
      </c>
      <c r="Z45" s="2282" t="s">
        <v>2093</v>
      </c>
    </row>
    <row r="46" spans="2:26">
      <c r="B46" s="2282"/>
      <c r="C46" s="2283">
        <v>39707</v>
      </c>
      <c r="D46" s="2282">
        <v>6.21</v>
      </c>
      <c r="E46" s="2282">
        <v>7.2</v>
      </c>
      <c r="F46" s="2282">
        <v>7.29</v>
      </c>
      <c r="G46" s="2282">
        <v>7.56</v>
      </c>
      <c r="H46" s="2282">
        <v>7.74</v>
      </c>
      <c r="I46" s="2282">
        <v>4.59</v>
      </c>
      <c r="J46" s="2282">
        <v>5.13</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2093</v>
      </c>
      <c r="Y46" s="2282" t="s">
        <v>2093</v>
      </c>
      <c r="Z46" s="2282" t="s">
        <v>2093</v>
      </c>
    </row>
    <row r="47" spans="2:26">
      <c r="B47" s="2282"/>
      <c r="C47" s="2283">
        <v>39437</v>
      </c>
      <c r="D47" s="2282">
        <v>6.57</v>
      </c>
      <c r="E47" s="2282">
        <v>7.47</v>
      </c>
      <c r="F47" s="2282">
        <v>7.56</v>
      </c>
      <c r="G47" s="2282">
        <v>7.74</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2093</v>
      </c>
      <c r="Y47" s="2282" t="s">
        <v>2093</v>
      </c>
      <c r="Z47" s="2282" t="s">
        <v>2093</v>
      </c>
    </row>
    <row r="48" spans="2:26">
      <c r="B48" s="2282"/>
      <c r="C48" s="2283">
        <v>39340</v>
      </c>
      <c r="D48" s="2282">
        <v>6.48</v>
      </c>
      <c r="E48" s="2282">
        <v>7.29</v>
      </c>
      <c r="F48" s="2282">
        <v>7.47</v>
      </c>
      <c r="G48" s="2282">
        <v>7.65</v>
      </c>
      <c r="H48" s="2282">
        <v>7.83</v>
      </c>
      <c r="I48" s="2282">
        <v>4.7699999999999996</v>
      </c>
      <c r="J48" s="2282">
        <v>5.22</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2093</v>
      </c>
      <c r="Y48" s="2282" t="s">
        <v>2093</v>
      </c>
      <c r="Z48" s="2282" t="s">
        <v>2093</v>
      </c>
    </row>
    <row r="49" spans="2:26">
      <c r="B49" s="2282"/>
      <c r="C49" s="2283">
        <v>39316</v>
      </c>
      <c r="D49" s="2282">
        <v>6.21</v>
      </c>
      <c r="E49" s="2282">
        <v>7.02</v>
      </c>
      <c r="F49" s="2282">
        <v>7.2</v>
      </c>
      <c r="G49" s="2282">
        <v>7.38</v>
      </c>
      <c r="H49" s="2282">
        <v>7.56</v>
      </c>
      <c r="I49" s="2282">
        <v>4.59</v>
      </c>
      <c r="J49" s="2282">
        <v>5.04</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2093</v>
      </c>
      <c r="Y49" s="2282" t="s">
        <v>2093</v>
      </c>
      <c r="Z49" s="2282" t="s">
        <v>2093</v>
      </c>
    </row>
    <row r="50" spans="2:26">
      <c r="B50" s="2282"/>
      <c r="C50" s="2283">
        <v>39284</v>
      </c>
      <c r="D50" s="2282">
        <v>6.03</v>
      </c>
      <c r="E50" s="2282">
        <v>6.84</v>
      </c>
      <c r="F50" s="2282">
        <v>7.02</v>
      </c>
      <c r="G50" s="2282">
        <v>7.2</v>
      </c>
      <c r="H50" s="2282">
        <v>7.38</v>
      </c>
      <c r="I50" s="2282">
        <v>4.5</v>
      </c>
      <c r="J50" s="2282">
        <v>4.95</v>
      </c>
      <c r="L50" s="2282"/>
      <c r="M50" s="2283">
        <v>33106</v>
      </c>
      <c r="N50" s="2282">
        <v>2.16</v>
      </c>
      <c r="O50" s="2282">
        <v>4.32</v>
      </c>
      <c r="P50" s="2282">
        <v>6.48</v>
      </c>
      <c r="Q50" s="2282">
        <v>8.64</v>
      </c>
      <c r="R50" s="2282">
        <v>9.36</v>
      </c>
      <c r="S50" s="2282">
        <v>10.08</v>
      </c>
      <c r="T50" s="2282">
        <v>11.52</v>
      </c>
      <c r="U50" s="2282">
        <v>7.2</v>
      </c>
      <c r="V50" s="2282">
        <v>8.64</v>
      </c>
      <c r="W50" s="2282">
        <v>10.08</v>
      </c>
      <c r="X50" s="2282" t="s">
        <v>2093</v>
      </c>
      <c r="Y50" s="2282" t="s">
        <v>2093</v>
      </c>
      <c r="Z50" s="2282" t="s">
        <v>2093</v>
      </c>
    </row>
    <row r="51" spans="2:26">
      <c r="B51" s="2282"/>
      <c r="C51" s="2283">
        <v>39221</v>
      </c>
      <c r="D51" s="2282">
        <v>5.85</v>
      </c>
      <c r="E51" s="2282">
        <v>6.57</v>
      </c>
      <c r="F51" s="2282">
        <v>6.75</v>
      </c>
      <c r="G51" s="2282">
        <v>6.93</v>
      </c>
      <c r="H51" s="2282">
        <v>7.2</v>
      </c>
      <c r="I51" s="2282">
        <v>4.41</v>
      </c>
      <c r="J51" s="2282">
        <v>4.8600000000000003</v>
      </c>
      <c r="L51" s="2282"/>
      <c r="M51" s="2283">
        <v>32978</v>
      </c>
      <c r="N51" s="2282">
        <v>2.88</v>
      </c>
      <c r="O51" s="2282">
        <v>6.3</v>
      </c>
      <c r="P51" s="2282">
        <v>7.74</v>
      </c>
      <c r="Q51" s="2282">
        <v>10.08</v>
      </c>
      <c r="R51" s="2282">
        <v>10.98</v>
      </c>
      <c r="S51" s="2282">
        <v>11.88</v>
      </c>
      <c r="T51" s="2282">
        <v>13.68</v>
      </c>
      <c r="U51" s="2282" t="s">
        <v>2093</v>
      </c>
      <c r="V51" s="2282" t="s">
        <v>2093</v>
      </c>
      <c r="W51" s="2282" t="s">
        <v>2093</v>
      </c>
      <c r="X51" s="2282" t="s">
        <v>2093</v>
      </c>
      <c r="Y51" s="2282" t="s">
        <v>2093</v>
      </c>
      <c r="Z51" s="2282" t="s">
        <v>2093</v>
      </c>
    </row>
    <row r="52" spans="2:26">
      <c r="B52" s="2282"/>
      <c r="C52" s="2283">
        <v>39159</v>
      </c>
      <c r="D52" s="2282">
        <v>5.67</v>
      </c>
      <c r="E52" s="2282">
        <v>6.39</v>
      </c>
      <c r="F52" s="2282">
        <v>6.57</v>
      </c>
      <c r="G52" s="2282">
        <v>6.75</v>
      </c>
      <c r="H52" s="2282">
        <v>7.11</v>
      </c>
      <c r="I52" s="2282">
        <v>4.32</v>
      </c>
      <c r="J52" s="2282">
        <v>4.7699999999999996</v>
      </c>
      <c r="L52" s="2282"/>
      <c r="M52" s="2283"/>
      <c r="N52" s="2282"/>
      <c r="O52" s="2282"/>
      <c r="P52" s="2282"/>
      <c r="Q52" s="2282"/>
      <c r="R52" s="2282"/>
      <c r="S52" s="2282"/>
      <c r="T52" s="2282"/>
      <c r="U52" s="2282"/>
      <c r="V52" s="2282"/>
      <c r="W52" s="2282"/>
      <c r="X52" s="2282"/>
      <c r="Y52" s="2282"/>
      <c r="Z52" s="2282"/>
    </row>
    <row r="53" spans="2:26">
      <c r="B53" s="2282"/>
      <c r="C53" s="2283">
        <v>38948</v>
      </c>
      <c r="D53" s="2282">
        <v>5.58</v>
      </c>
      <c r="E53" s="2282">
        <v>6.12</v>
      </c>
      <c r="F53" s="2282">
        <v>6.3</v>
      </c>
      <c r="G53" s="2282">
        <v>6.48</v>
      </c>
      <c r="H53" s="2282">
        <v>6.84</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38835</v>
      </c>
      <c r="D54" s="2282">
        <v>5.4</v>
      </c>
      <c r="E54" s="2282">
        <v>5.85</v>
      </c>
      <c r="F54" s="2282">
        <v>6.03</v>
      </c>
      <c r="G54" s="2282">
        <v>6.12</v>
      </c>
      <c r="H54" s="2282">
        <v>6.39</v>
      </c>
      <c r="I54" s="2282">
        <v>4.1399999999999997</v>
      </c>
      <c r="J54" s="2282">
        <v>4.59</v>
      </c>
      <c r="L54" s="2282"/>
      <c r="M54" s="2283"/>
      <c r="N54" s="2282"/>
      <c r="O54" s="2282"/>
      <c r="P54" s="2282"/>
      <c r="Q54" s="2282"/>
      <c r="R54" s="2282"/>
      <c r="S54" s="2282"/>
      <c r="T54" s="2282"/>
      <c r="U54" s="2282"/>
      <c r="V54" s="2282"/>
      <c r="W54" s="2282"/>
      <c r="X54" s="2282"/>
      <c r="Y54" s="2282"/>
      <c r="Z54" s="2282"/>
    </row>
    <row r="55" spans="2:26">
      <c r="B55" s="2282"/>
      <c r="C55" s="2283">
        <v>38428</v>
      </c>
      <c r="D55" s="2282">
        <v>5.22</v>
      </c>
      <c r="E55" s="2282">
        <v>5.58</v>
      </c>
      <c r="F55" s="2282">
        <v>5.76</v>
      </c>
      <c r="G55" s="2282">
        <v>5.85</v>
      </c>
      <c r="H55" s="2282">
        <v>6.12</v>
      </c>
      <c r="I55" s="2282">
        <v>3.96</v>
      </c>
      <c r="J55" s="2282">
        <v>4.41</v>
      </c>
      <c r="L55" s="2282"/>
      <c r="M55" s="2283"/>
      <c r="N55" s="2282"/>
      <c r="O55" s="2282"/>
      <c r="P55" s="2282"/>
      <c r="Q55" s="2282"/>
      <c r="R55" s="2282"/>
      <c r="S55" s="2282"/>
      <c r="T55" s="2282"/>
      <c r="U55" s="2282"/>
      <c r="V55" s="2282"/>
      <c r="W55" s="2282"/>
      <c r="X55" s="2282"/>
      <c r="Y55" s="2282"/>
      <c r="Z55" s="2282"/>
    </row>
    <row r="56" spans="2:26">
      <c r="B56" s="2282"/>
      <c r="C56" s="2283">
        <v>38289</v>
      </c>
      <c r="D56" s="2282">
        <v>5.22</v>
      </c>
      <c r="E56" s="2282">
        <v>5.58</v>
      </c>
      <c r="F56" s="2282">
        <v>5.76</v>
      </c>
      <c r="G56" s="2282">
        <v>5.85</v>
      </c>
      <c r="H56" s="2282">
        <v>6.12</v>
      </c>
      <c r="I56" s="2282">
        <v>3.78</v>
      </c>
      <c r="J56" s="2282">
        <v>4.2300000000000004</v>
      </c>
      <c r="L56" s="2282"/>
      <c r="M56" s="2283"/>
      <c r="N56" s="2282"/>
      <c r="O56" s="2282"/>
      <c r="P56" s="2282"/>
      <c r="Q56" s="2282"/>
      <c r="R56" s="2282"/>
      <c r="S56" s="2282"/>
      <c r="T56" s="2282"/>
      <c r="U56" s="2282"/>
      <c r="V56" s="2282"/>
      <c r="W56" s="2282"/>
      <c r="X56" s="2282"/>
      <c r="Y56" s="2282"/>
      <c r="Z56" s="2282"/>
    </row>
    <row r="57" spans="2:26">
      <c r="B57" s="2282"/>
      <c r="C57" s="2283">
        <v>37308</v>
      </c>
      <c r="D57" s="2282">
        <v>5.04</v>
      </c>
      <c r="E57" s="2282">
        <v>5.31</v>
      </c>
      <c r="F57" s="2282">
        <v>5.49</v>
      </c>
      <c r="G57" s="2282">
        <v>5.58</v>
      </c>
      <c r="H57" s="2282">
        <v>5.76</v>
      </c>
      <c r="I57" s="2282">
        <v>3.6</v>
      </c>
      <c r="J57" s="2282">
        <v>4.05</v>
      </c>
      <c r="L57" s="2282"/>
      <c r="M57" s="2283"/>
      <c r="N57" s="2282"/>
      <c r="O57" s="2282"/>
      <c r="P57" s="2282"/>
      <c r="Q57" s="2282"/>
      <c r="R57" s="2282"/>
      <c r="S57" s="2282"/>
      <c r="T57" s="2282"/>
      <c r="U57" s="2282"/>
      <c r="V57" s="2282"/>
      <c r="W57" s="2282"/>
      <c r="X57" s="2282"/>
      <c r="Y57" s="2282"/>
      <c r="Z57" s="2282"/>
    </row>
    <row r="58" spans="2:26">
      <c r="B58" s="2282"/>
      <c r="C58" s="2283">
        <v>36321</v>
      </c>
      <c r="D58" s="2282">
        <v>5.58</v>
      </c>
      <c r="E58" s="2282">
        <v>5.85</v>
      </c>
      <c r="F58" s="2282">
        <v>5.94</v>
      </c>
      <c r="G58" s="2282">
        <v>6.03</v>
      </c>
      <c r="H58" s="2282">
        <v>6.21</v>
      </c>
      <c r="I58" s="2282">
        <v>4.1399999999999997</v>
      </c>
      <c r="J58" s="2282">
        <v>4.59</v>
      </c>
    </row>
    <row r="59" spans="2:26">
      <c r="B59" s="2282"/>
      <c r="C59" s="2283">
        <v>36136</v>
      </c>
      <c r="D59" s="2282">
        <v>6.12</v>
      </c>
      <c r="E59" s="2282">
        <v>6.39</v>
      </c>
      <c r="F59" s="2282">
        <v>6.66</v>
      </c>
      <c r="G59" s="2282">
        <v>7.2</v>
      </c>
      <c r="H59" s="2282">
        <v>7.56</v>
      </c>
      <c r="I59" s="2282">
        <v>0</v>
      </c>
      <c r="J59" s="2282">
        <v>0</v>
      </c>
    </row>
    <row r="60" spans="2:26">
      <c r="B60" s="2282"/>
      <c r="C60" s="2283">
        <v>35977</v>
      </c>
      <c r="D60" s="2282">
        <v>6.57</v>
      </c>
      <c r="E60" s="2282">
        <v>6.93</v>
      </c>
      <c r="F60" s="2282">
        <v>7.11</v>
      </c>
      <c r="G60" s="2282">
        <v>7.65</v>
      </c>
      <c r="H60" s="2282">
        <v>8.01</v>
      </c>
      <c r="I60" s="2282">
        <v>0</v>
      </c>
      <c r="J60" s="2282">
        <v>0</v>
      </c>
    </row>
    <row r="61" spans="2:26">
      <c r="B61" s="2282"/>
      <c r="C61" s="2283">
        <v>35879</v>
      </c>
      <c r="D61" s="2282">
        <v>7.02</v>
      </c>
      <c r="E61" s="2282">
        <v>7.92</v>
      </c>
      <c r="F61" s="2282">
        <v>9</v>
      </c>
      <c r="G61" s="2282">
        <v>9.7200000000000006</v>
      </c>
      <c r="H61" s="2282">
        <v>10.35</v>
      </c>
      <c r="I61" s="2282">
        <v>0</v>
      </c>
      <c r="J61" s="2282">
        <v>0</v>
      </c>
    </row>
    <row r="62" spans="2:26">
      <c r="B62" s="2282"/>
      <c r="C62" s="2283">
        <v>35726</v>
      </c>
      <c r="D62" s="2282">
        <v>7.65</v>
      </c>
      <c r="E62" s="2282">
        <v>8.64</v>
      </c>
      <c r="F62" s="2282">
        <v>9.36</v>
      </c>
      <c r="G62" s="2282">
        <v>9.9</v>
      </c>
      <c r="H62" s="2282">
        <v>10.53</v>
      </c>
      <c r="I62" s="2282">
        <v>0</v>
      </c>
      <c r="J62" s="2282">
        <v>0</v>
      </c>
    </row>
    <row r="63" spans="2:26">
      <c r="B63" s="2282"/>
      <c r="C63" s="2283">
        <v>35300</v>
      </c>
      <c r="D63" s="2282">
        <v>9.18</v>
      </c>
      <c r="E63" s="2282">
        <v>10.08</v>
      </c>
      <c r="F63" s="2282">
        <v>10.98</v>
      </c>
      <c r="G63" s="2282">
        <v>11.7</v>
      </c>
      <c r="H63" s="2282">
        <v>12.42</v>
      </c>
      <c r="I63" s="2282">
        <v>0</v>
      </c>
      <c r="J63" s="2282">
        <v>0</v>
      </c>
    </row>
    <row r="64" spans="2:26">
      <c r="B64" s="2282"/>
      <c r="C64" s="2283">
        <v>35186</v>
      </c>
      <c r="D64" s="2282">
        <v>9.7200000000000006</v>
      </c>
      <c r="E64" s="2282">
        <v>10.98</v>
      </c>
      <c r="F64" s="2282">
        <v>13.14</v>
      </c>
      <c r="G64" s="2282">
        <v>14.94</v>
      </c>
      <c r="H64" s="2282">
        <v>15.12</v>
      </c>
      <c r="I64" s="2282">
        <v>0</v>
      </c>
      <c r="J64" s="2282">
        <v>0</v>
      </c>
    </row>
    <row r="65" spans="2:10">
      <c r="B65" s="2282"/>
      <c r="C65" s="2283">
        <v>34881</v>
      </c>
      <c r="D65" s="2282">
        <v>10.08</v>
      </c>
      <c r="E65" s="2282">
        <v>12.06</v>
      </c>
      <c r="F65" s="2282">
        <v>13.5</v>
      </c>
      <c r="G65" s="2282">
        <v>15.12</v>
      </c>
      <c r="H65" s="2282">
        <v>15.3</v>
      </c>
      <c r="I65" s="2282">
        <v>0</v>
      </c>
      <c r="J65" s="2282">
        <v>0</v>
      </c>
    </row>
    <row r="66" spans="2:10">
      <c r="B66" s="2282"/>
      <c r="C66" s="2283">
        <v>34700</v>
      </c>
      <c r="D66" s="2282">
        <v>9</v>
      </c>
      <c r="E66" s="2282">
        <v>10.98</v>
      </c>
      <c r="F66" s="2282">
        <v>12.96</v>
      </c>
      <c r="G66" s="2282">
        <v>14.58</v>
      </c>
      <c r="H66" s="2282">
        <v>14.76</v>
      </c>
      <c r="I66" s="2282">
        <v>0</v>
      </c>
      <c r="J66" s="2282">
        <v>0</v>
      </c>
    </row>
    <row r="67" spans="2:10">
      <c r="B67" s="2282"/>
      <c r="C67" s="2283">
        <v>34161</v>
      </c>
      <c r="D67" s="2282">
        <v>9</v>
      </c>
      <c r="E67" s="2282">
        <v>10.98</v>
      </c>
      <c r="F67" s="2282">
        <v>12.24</v>
      </c>
      <c r="G67" s="2282">
        <v>13.86</v>
      </c>
      <c r="H67" s="2282">
        <v>14.04</v>
      </c>
      <c r="I67" s="2282">
        <v>0</v>
      </c>
      <c r="J67" s="2282">
        <v>0</v>
      </c>
    </row>
    <row r="68" spans="2:10">
      <c r="B68" s="2282"/>
      <c r="C68" s="2283">
        <v>34104</v>
      </c>
      <c r="D68" s="2282">
        <v>8.82</v>
      </c>
      <c r="E68" s="2282">
        <v>9.36</v>
      </c>
      <c r="F68" s="2282">
        <v>10.8</v>
      </c>
      <c r="G68" s="2282">
        <v>12.06</v>
      </c>
      <c r="H68" s="2282">
        <v>12.24</v>
      </c>
      <c r="I68" s="2282">
        <v>0</v>
      </c>
      <c r="J68" s="2282">
        <v>0</v>
      </c>
    </row>
    <row r="69" spans="2:10">
      <c r="B69" s="2282"/>
      <c r="C69" s="2283">
        <v>33349</v>
      </c>
      <c r="D69" s="2282">
        <v>8.1</v>
      </c>
      <c r="E69" s="2282">
        <v>8.64</v>
      </c>
      <c r="F69" s="2282">
        <v>9</v>
      </c>
      <c r="G69" s="2282">
        <v>9.5399999999999991</v>
      </c>
      <c r="H69" s="2282">
        <v>9.7200000000000006</v>
      </c>
      <c r="I69" s="2282">
        <v>0</v>
      </c>
      <c r="J69" s="2282">
        <v>0</v>
      </c>
    </row>
    <row r="70" spans="2:10">
      <c r="B70" s="2282"/>
      <c r="C70" s="2283">
        <v>33318</v>
      </c>
      <c r="D70" s="2282">
        <v>9</v>
      </c>
      <c r="E70" s="2282">
        <v>10.08</v>
      </c>
      <c r="F70" s="2282">
        <v>10.8</v>
      </c>
      <c r="G70" s="2282">
        <v>11.52</v>
      </c>
      <c r="H70" s="2282">
        <v>11.88</v>
      </c>
      <c r="I70" s="2282" t="s">
        <v>2093</v>
      </c>
      <c r="J70" s="2282" t="s">
        <v>2093</v>
      </c>
    </row>
    <row r="71" spans="2:10">
      <c r="B71" s="2282"/>
      <c r="C71" s="2283">
        <v>33106</v>
      </c>
      <c r="D71" s="2282">
        <v>8.64</v>
      </c>
      <c r="E71" s="2282">
        <v>9.36</v>
      </c>
      <c r="F71" s="2282">
        <v>10.08</v>
      </c>
      <c r="G71" s="2282">
        <v>10.8</v>
      </c>
      <c r="H71" s="2282">
        <v>11.16</v>
      </c>
      <c r="I71" s="2282">
        <v>0</v>
      </c>
      <c r="J71" s="2282">
        <v>0</v>
      </c>
    </row>
    <row r="72" spans="2:10">
      <c r="B72" s="2282"/>
      <c r="C72" s="2283">
        <v>32540</v>
      </c>
      <c r="D72" s="2282">
        <v>11.34</v>
      </c>
      <c r="E72" s="2282">
        <v>11.34</v>
      </c>
      <c r="F72" s="2282">
        <v>12.78</v>
      </c>
      <c r="G72" s="2282">
        <v>14.4</v>
      </c>
      <c r="H72" s="2282">
        <v>19.260000000000002</v>
      </c>
      <c r="I72" s="2282">
        <v>0</v>
      </c>
      <c r="J72" s="2282">
        <v>0</v>
      </c>
    </row>
    <row r="73" spans="2:10">
      <c r="B73" s="2282"/>
      <c r="C73" s="2283"/>
      <c r="D73" s="2282"/>
      <c r="E73" s="2282"/>
      <c r="F73" s="2282"/>
      <c r="G73" s="2282"/>
      <c r="H73" s="2282"/>
      <c r="I73" s="2282"/>
      <c r="J73" s="2282"/>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85"/>
      <c r="C76" s="2286"/>
      <c r="D76" s="2285"/>
      <c r="E76" s="2285"/>
      <c r="F76" s="2285"/>
      <c r="G76" s="2285"/>
      <c r="H76" s="2285"/>
      <c r="I76" s="2285"/>
      <c r="J76" s="2285"/>
    </row>
    <row r="77" spans="2:10">
      <c r="B77" s="2235"/>
      <c r="C77" s="2235"/>
      <c r="D77" s="2235"/>
      <c r="E77" s="2235"/>
      <c r="F77" s="2235"/>
      <c r="G77" s="2235"/>
      <c r="H77" s="2235"/>
      <c r="I77" s="2235"/>
      <c r="J77" s="2235"/>
    </row>
    <row r="78" spans="2:10">
      <c r="B78" s="2235"/>
      <c r="C78" s="2235"/>
      <c r="D78" s="2235"/>
      <c r="E78" s="2235"/>
      <c r="F78" s="2235"/>
      <c r="G78" s="2235"/>
      <c r="H78" s="2235"/>
      <c r="I78" s="2235"/>
      <c r="J78"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2" t="s">
        <v>1554</v>
      </c>
      <c r="B1" s="3422"/>
      <c r="C1" s="3422"/>
      <c r="D1" s="3422"/>
      <c r="E1" s="3422"/>
      <c r="F1" s="3422"/>
      <c r="G1" s="3422"/>
      <c r="H1" s="3422"/>
      <c r="I1" s="3422"/>
      <c r="J1" s="3422"/>
      <c r="K1" s="3422"/>
      <c r="L1" s="3422"/>
      <c r="M1" s="3422"/>
      <c r="N1" s="3422"/>
      <c r="O1" s="3422"/>
      <c r="P1" s="3422"/>
      <c r="Q1" s="3422"/>
      <c r="R1" s="3422"/>
    </row>
    <row r="2" spans="1:18">
      <c r="A2" s="1500" t="s">
        <v>1556</v>
      </c>
      <c r="B2" s="1500"/>
      <c r="C2" s="1500"/>
      <c r="D2" s="1500"/>
      <c r="E2" s="1500"/>
      <c r="F2" s="1500"/>
      <c r="G2" s="1500"/>
      <c r="H2" s="1500"/>
      <c r="I2" s="1501"/>
      <c r="J2" s="1501"/>
      <c r="K2" s="1502" t="str">
        <f>"估价期日："&amp;TEXT(项目基本情况!D3,"yyyy年m月d日;;")</f>
        <v>估价期日：2025年6月9日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23" t="s">
        <v>1545</v>
      </c>
      <c r="B3" s="3423" t="s">
        <v>2011</v>
      </c>
      <c r="C3" s="3424" t="s">
        <v>1546</v>
      </c>
      <c r="D3" s="3423" t="s">
        <v>2015</v>
      </c>
      <c r="E3" s="3425" t="s">
        <v>1547</v>
      </c>
      <c r="F3" s="3425"/>
      <c r="G3" s="3425"/>
      <c r="H3" s="3425" t="s">
        <v>1548</v>
      </c>
      <c r="I3" s="3425"/>
      <c r="J3" s="3425"/>
      <c r="K3" s="3424" t="s">
        <v>1549</v>
      </c>
      <c r="L3" s="3424" t="s">
        <v>1550</v>
      </c>
      <c r="M3" s="3423" t="s">
        <v>2012</v>
      </c>
      <c r="N3" s="3423" t="str">
        <f>"（分摊）"&amp;项目基本情况!A17&amp;"国有建设用地使用权面积/㎡"</f>
        <v>（分摊）出让国有建设用地使用权面积/㎡</v>
      </c>
      <c r="O3" s="3423" t="s">
        <v>1579</v>
      </c>
      <c r="P3" s="3424" t="s">
        <v>1559</v>
      </c>
      <c r="Q3" s="3424" t="s">
        <v>1580</v>
      </c>
      <c r="R3" s="3424" t="s">
        <v>1551</v>
      </c>
    </row>
    <row r="4" spans="1:18" ht="36.75" customHeight="1">
      <c r="A4" s="3423"/>
      <c r="B4" s="3423"/>
      <c r="C4" s="3424"/>
      <c r="D4" s="3423"/>
      <c r="E4" s="1503" t="s">
        <v>1558</v>
      </c>
      <c r="F4" s="1503" t="s">
        <v>2024</v>
      </c>
      <c r="G4" s="1503" t="s">
        <v>1552</v>
      </c>
      <c r="H4" s="1503" t="s">
        <v>1553</v>
      </c>
      <c r="I4" s="1503" t="s">
        <v>2025</v>
      </c>
      <c r="J4" s="1503" t="s">
        <v>1552</v>
      </c>
      <c r="K4" s="3424"/>
      <c r="L4" s="3424"/>
      <c r="M4" s="3423"/>
      <c r="N4" s="3423"/>
      <c r="O4" s="3423"/>
      <c r="P4" s="3424"/>
      <c r="Q4" s="3424"/>
      <c r="R4" s="3424"/>
    </row>
    <row r="5" spans="1:18" ht="135" customHeight="1">
      <c r="A5" s="1600" t="s">
        <v>1935</v>
      </c>
      <c r="B5" s="2170" t="s">
        <v>1933</v>
      </c>
      <c r="C5" s="2087">
        <v>22</v>
      </c>
      <c r="D5" s="2086" t="s">
        <v>1934</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16985.07</v>
      </c>
      <c r="O5" s="1503">
        <f>项目基本情况!C21</f>
        <v>42462</v>
      </c>
      <c r="P5" s="1503">
        <f ca="1">结果表!E42</f>
        <v>3759</v>
      </c>
      <c r="Q5" s="1503">
        <f ca="1">结果表!D42</f>
        <v>1503</v>
      </c>
      <c r="R5" s="1504">
        <f ca="1">结果表!C42</f>
        <v>6384</v>
      </c>
    </row>
    <row r="6" spans="1:18">
      <c r="A6" s="3426" t="str">
        <f>IF(项目基本情况!B9="市场价格","——","抵押价格")</f>
        <v>抵押价格</v>
      </c>
      <c r="B6" s="3427"/>
      <c r="C6" s="3427"/>
      <c r="D6" s="3427"/>
      <c r="E6" s="3427"/>
      <c r="F6" s="3427"/>
      <c r="G6" s="3427"/>
      <c r="H6" s="3427"/>
      <c r="I6" s="3427"/>
      <c r="J6" s="3427"/>
      <c r="K6" s="3427"/>
      <c r="L6" s="3427"/>
      <c r="M6" s="3427"/>
      <c r="N6" s="3427"/>
      <c r="O6" s="3427"/>
      <c r="P6" s="3427"/>
      <c r="Q6" s="3428"/>
      <c r="R6" s="1505">
        <f ca="1">结果表!O39</f>
        <v>6226</v>
      </c>
    </row>
    <row r="7" spans="1:18">
      <c r="A7" s="3426" t="str">
        <f>IF(项目基本情况!B9="市场价格","——",IF(项目基本情况!E8="已注销及未注销","抵押担保权已注销时的抵押价格","——"))</f>
        <v>——</v>
      </c>
      <c r="B7" s="3427"/>
      <c r="C7" s="3427"/>
      <c r="D7" s="3427"/>
      <c r="E7" s="3427"/>
      <c r="F7" s="3427"/>
      <c r="G7" s="3427"/>
      <c r="H7" s="3427"/>
      <c r="I7" s="3427"/>
      <c r="J7" s="3427"/>
      <c r="K7" s="3427"/>
      <c r="L7" s="3427"/>
      <c r="M7" s="3427"/>
      <c r="N7" s="3427"/>
      <c r="O7" s="3427"/>
      <c r="P7" s="3427"/>
      <c r="Q7" s="3428"/>
      <c r="R7" s="1505" t="str">
        <f>结果表!O40</f>
        <v>——</v>
      </c>
    </row>
    <row r="8" spans="1:18">
      <c r="A8" s="3426" t="str">
        <f>IF(项目基本情况!B9="市场价格","——",项目基本情况!E9)</f>
        <v>——</v>
      </c>
      <c r="B8" s="3427"/>
      <c r="C8" s="3427"/>
      <c r="D8" s="3427"/>
      <c r="E8" s="3427"/>
      <c r="F8" s="3427"/>
      <c r="G8" s="3427"/>
      <c r="H8" s="3427"/>
      <c r="I8" s="3427"/>
      <c r="J8" s="3427"/>
      <c r="K8" s="3427"/>
      <c r="L8" s="3427"/>
      <c r="M8" s="3427"/>
      <c r="N8" s="3427"/>
      <c r="O8" s="3427"/>
      <c r="P8" s="3427"/>
      <c r="Q8" s="3428"/>
      <c r="R8" s="1505" t="str">
        <f>结果表!O41</f>
        <v>——</v>
      </c>
    </row>
    <row r="9" spans="1:18">
      <c r="A9" s="1506" t="s">
        <v>1557</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1544</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430" t="s">
        <v>1581</v>
      </c>
      <c r="B1" s="3430"/>
      <c r="C1" s="3430"/>
      <c r="D1" s="3430"/>
    </row>
    <row r="2" spans="1:4" ht="47.25" customHeight="1">
      <c r="A2" s="3431" t="str">
        <f>"1.权利限制："&amp;项目基本情况!L24&amp;"未设定租赁等其他他项权利。"</f>
        <v>1.权利限制：根据估价对象《不动产权证书》原件、《国有土地使用权》复印件，截至估价期日，估价对象抵押权未见登记。未设定租赁等其他他项权利。</v>
      </c>
      <c r="B2" s="3431"/>
      <c r="C2" s="3431"/>
      <c r="D2" s="3431"/>
    </row>
    <row r="3" spans="1:4" ht="48" customHeight="1">
      <c r="A3" s="34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0"/>
      <c r="C3" s="3430"/>
      <c r="D3" s="3430"/>
    </row>
    <row r="4" spans="1:4" ht="36.75" customHeight="1">
      <c r="A4" s="3430" t="str">
        <f>"3.估价规划限制条件：详见"&amp;项目基本情况!E21&amp;"。"</f>
        <v>3.估价规划限制条件：详见《建设工程规划许可证》[]、《出让合同》[]。</v>
      </c>
      <c r="B4" s="3430"/>
      <c r="C4" s="3430"/>
      <c r="D4" s="3430"/>
    </row>
    <row r="5" spans="1:4">
      <c r="A5" s="3429" t="s">
        <v>1582</v>
      </c>
      <c r="B5" s="3429"/>
      <c r="C5" s="3429"/>
      <c r="D5" s="3429"/>
    </row>
    <row r="6" spans="1:4">
      <c r="A6" s="3430" t="s">
        <v>1560</v>
      </c>
      <c r="B6" s="3430"/>
      <c r="C6" s="3430"/>
      <c r="D6" s="3430"/>
    </row>
    <row r="7" spans="1:4" ht="33" customHeight="1">
      <c r="A7" s="3430" t="s">
        <v>1855</v>
      </c>
      <c r="B7" s="3430"/>
      <c r="C7" s="3430"/>
      <c r="D7" s="3430"/>
    </row>
    <row r="8" spans="1:4" ht="32.25" customHeight="1">
      <c r="A8" s="34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0"/>
      <c r="C8" s="3430"/>
      <c r="D8" s="3430"/>
    </row>
    <row r="9" spans="1:4" ht="33.75" customHeight="1">
      <c r="A9" s="34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0"/>
      <c r="C9" s="3430"/>
      <c r="D9" s="3430"/>
    </row>
    <row r="10" spans="1:4">
      <c r="A10" s="3430" t="str">
        <f>IF(项目基本情况!B8="抵押","4.估价师所知悉的法定优先受偿款情况为：","——")</f>
        <v>4.估价师所知悉的法定优先受偿款情况为：</v>
      </c>
      <c r="B10" s="3430"/>
      <c r="C10" s="3430"/>
      <c r="D10" s="3430"/>
    </row>
    <row r="11" spans="1:4" ht="37.5" customHeight="1">
      <c r="A11" s="34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430"/>
      <c r="C11" s="3430"/>
      <c r="D11" s="3430"/>
    </row>
    <row r="12" spans="1:4" ht="168" customHeight="1">
      <c r="A12" s="3429" t="s">
        <v>1584</v>
      </c>
      <c r="B12" s="3429"/>
      <c r="C12" s="3429"/>
      <c r="D12" s="3429"/>
    </row>
    <row r="13" spans="1:4">
      <c r="A13" s="3432" t="s">
        <v>2026</v>
      </c>
      <c r="B13" s="3432"/>
      <c r="C13" s="3432"/>
      <c r="D13" s="3432"/>
    </row>
    <row r="14" spans="1:4">
      <c r="A14" s="3430" t="str">
        <f>IF(项目基本情况!B8="抵押","综上，"&amp;结果表!K47,"——")</f>
        <v>综上，本次评估估价师知悉的法定优先受偿款为人民币158万元整。</v>
      </c>
      <c r="B14" s="3430"/>
      <c r="C14" s="3430"/>
      <c r="D14" s="3430"/>
    </row>
    <row r="15" spans="1:4" ht="58.5" customHeight="1">
      <c r="A15" s="34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0"/>
      <c r="C15" s="3430"/>
      <c r="D15" s="3430"/>
    </row>
    <row r="16" spans="1:4" ht="70.5" customHeight="1">
      <c r="A16" s="34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0"/>
      <c r="C16" s="3430"/>
      <c r="D16" s="3430"/>
    </row>
    <row r="17" spans="1:4">
      <c r="A17" s="3430" t="s">
        <v>1982</v>
      </c>
      <c r="B17" s="3430"/>
      <c r="C17" s="3430"/>
      <c r="D17" s="3430"/>
    </row>
    <row r="18" spans="1:4">
      <c r="A18" s="3430" t="s">
        <v>1974</v>
      </c>
      <c r="B18" s="3430"/>
      <c r="C18" s="3430"/>
      <c r="D18" s="3430"/>
    </row>
    <row r="19" spans="1:4">
      <c r="A19" s="2171" t="s">
        <v>1975</v>
      </c>
      <c r="B19" s="2171" t="s">
        <v>1976</v>
      </c>
      <c r="C19" s="2171" t="s">
        <v>1977</v>
      </c>
      <c r="D19" s="2171" t="s">
        <v>1978</v>
      </c>
    </row>
    <row r="20" spans="1:4">
      <c r="A20" s="2171" t="str">
        <f>项目基本情况!B4</f>
        <v>土地估价师</v>
      </c>
      <c r="B20" s="2171">
        <f>项目基本情况!C4</f>
        <v>0</v>
      </c>
      <c r="C20" s="2173"/>
      <c r="D20" s="1494" t="s">
        <v>1983</v>
      </c>
    </row>
    <row r="21" spans="1:4">
      <c r="A21" s="2171" t="str">
        <f>项目基本情况!D4</f>
        <v>土地估价师</v>
      </c>
      <c r="B21" s="2171">
        <f>项目基本情况!E4</f>
        <v>0</v>
      </c>
      <c r="C21" s="2173"/>
      <c r="D21" s="1494" t="s">
        <v>1984</v>
      </c>
    </row>
    <row r="23" spans="1:4">
      <c r="A23" s="3430" t="s">
        <v>1979</v>
      </c>
      <c r="B23" s="3430"/>
      <c r="C23" s="3430"/>
      <c r="D23" s="3430"/>
    </row>
    <row r="24" spans="1:4">
      <c r="A24" s="2171" t="s">
        <v>1975</v>
      </c>
      <c r="B24" s="2171" t="s">
        <v>1980</v>
      </c>
      <c r="C24" s="2171" t="s">
        <v>1977</v>
      </c>
      <c r="D24" s="2171" t="s">
        <v>1978</v>
      </c>
    </row>
    <row r="25" spans="1:4">
      <c r="A25" s="2174" t="s">
        <v>1981</v>
      </c>
      <c r="B25" s="2171" t="s">
        <v>875</v>
      </c>
      <c r="C25" s="2173"/>
      <c r="D25" s="1494" t="s">
        <v>1984</v>
      </c>
    </row>
    <row r="29" spans="1:4">
      <c r="D29" s="2172" t="s">
        <v>1555</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7" customWidth="1"/>
    <col min="2" max="16384" width="14.5" style="1005"/>
  </cols>
  <sheetData>
    <row r="1" spans="1:7" s="1003" customFormat="1" ht="18.75">
      <c r="A1" s="1002" t="s">
        <v>39</v>
      </c>
    </row>
    <row r="3" spans="1:7" ht="14.25">
      <c r="A3" s="1004" t="s">
        <v>40</v>
      </c>
      <c r="B3" s="1005" t="s">
        <v>41</v>
      </c>
      <c r="G3" s="1006"/>
    </row>
    <row r="4" spans="1:7">
      <c r="G4" s="1006"/>
    </row>
    <row r="5" spans="1:7" ht="14.25">
      <c r="A5" s="1008" t="s">
        <v>19</v>
      </c>
      <c r="B5" s="1005" t="s">
        <v>20</v>
      </c>
      <c r="G5" s="1006"/>
    </row>
    <row r="6" spans="1:7">
      <c r="G6" s="1006"/>
    </row>
    <row r="7" spans="1:7" ht="14.25">
      <c r="A7" s="1009" t="s">
        <v>21</v>
      </c>
      <c r="B7" s="1005" t="s">
        <v>22</v>
      </c>
      <c r="G7" s="1006"/>
    </row>
    <row r="8" spans="1:7">
      <c r="G8" s="1006"/>
    </row>
    <row r="9" spans="1:7">
      <c r="A9" s="1010" t="s">
        <v>23</v>
      </c>
      <c r="B9" s="1005" t="s">
        <v>24</v>
      </c>
    </row>
    <row r="11" spans="1:7">
      <c r="A11" s="1011" t="s">
        <v>25</v>
      </c>
      <c r="B11" s="1012" t="s">
        <v>807</v>
      </c>
    </row>
    <row r="13" spans="1:7">
      <c r="A13" s="1013" t="s">
        <v>26</v>
      </c>
    </row>
    <row r="15" spans="1:7" ht="14.25">
      <c r="A15" s="3440" t="s">
        <v>27</v>
      </c>
      <c r="B15" s="3441" t="s">
        <v>782</v>
      </c>
      <c r="C15" s="3437"/>
    </row>
    <row r="16" spans="1:7" ht="14.25">
      <c r="A16" s="3440"/>
      <c r="B16" s="3438" t="s">
        <v>28</v>
      </c>
      <c r="C16" s="1014" t="s">
        <v>27</v>
      </c>
    </row>
    <row r="17" spans="1:3" ht="14.25">
      <c r="A17" s="3440"/>
      <c r="B17" s="3438"/>
      <c r="C17" s="1014" t="s">
        <v>29</v>
      </c>
    </row>
    <row r="18" spans="1:3" ht="14.25">
      <c r="A18" s="3440"/>
      <c r="B18" s="3438"/>
      <c r="C18" s="1014" t="s">
        <v>30</v>
      </c>
    </row>
    <row r="19" spans="1:3" ht="14.25">
      <c r="A19" s="3440"/>
      <c r="B19" s="3436" t="s">
        <v>31</v>
      </c>
      <c r="C19" s="3437"/>
    </row>
    <row r="20" spans="1:3" ht="14.25">
      <c r="A20" s="1015" t="s">
        <v>32</v>
      </c>
      <c r="B20" s="1016"/>
      <c r="C20" s="1017"/>
    </row>
    <row r="21" spans="1:3" ht="14.25">
      <c r="A21" s="3439" t="s">
        <v>33</v>
      </c>
      <c r="B21" s="3436" t="s">
        <v>34</v>
      </c>
      <c r="C21" s="3437"/>
    </row>
    <row r="22" spans="1:3" ht="14.25">
      <c r="A22" s="3439"/>
      <c r="B22" s="3436" t="s">
        <v>35</v>
      </c>
      <c r="C22" s="3437"/>
    </row>
    <row r="23" spans="1:3" ht="14.25">
      <c r="A23" s="3439"/>
      <c r="B23" s="3436" t="s">
        <v>36</v>
      </c>
      <c r="C23" s="3437"/>
    </row>
    <row r="24" spans="1:3" ht="14.25">
      <c r="A24" s="3439"/>
      <c r="B24" s="3442" t="s">
        <v>37</v>
      </c>
      <c r="C24" s="1018" t="s">
        <v>773</v>
      </c>
    </row>
    <row r="25" spans="1:3" ht="14.25">
      <c r="A25" s="3439"/>
      <c r="B25" s="3443"/>
      <c r="C25" s="1018" t="s">
        <v>774</v>
      </c>
    </row>
    <row r="26" spans="1:3" ht="14.25">
      <c r="A26" s="3439"/>
      <c r="B26" s="3443"/>
      <c r="C26" s="1018" t="s">
        <v>775</v>
      </c>
    </row>
    <row r="27" spans="1:3" ht="14.25">
      <c r="A27" s="3439"/>
      <c r="B27" s="3443"/>
      <c r="C27" s="1018" t="s">
        <v>776</v>
      </c>
    </row>
    <row r="28" spans="1:3" ht="14.25">
      <c r="A28" s="3439"/>
      <c r="B28" s="3443"/>
      <c r="C28" s="1018" t="s">
        <v>777</v>
      </c>
    </row>
    <row r="29" spans="1:3" ht="14.25">
      <c r="A29" s="3439"/>
      <c r="B29" s="3443"/>
      <c r="C29" s="1018" t="s">
        <v>778</v>
      </c>
    </row>
    <row r="30" spans="1:3" ht="14.25">
      <c r="A30" s="3439"/>
      <c r="B30" s="3443"/>
      <c r="C30" s="1018" t="s">
        <v>779</v>
      </c>
    </row>
    <row r="31" spans="1:3" ht="14.25">
      <c r="A31" s="3439"/>
      <c r="B31" s="3443"/>
      <c r="C31" s="1018" t="s">
        <v>780</v>
      </c>
    </row>
    <row r="32" spans="1:3" ht="14.25">
      <c r="A32" s="3439"/>
      <c r="B32" s="3443"/>
      <c r="C32" s="1018" t="s">
        <v>1179</v>
      </c>
    </row>
    <row r="33" spans="1:3" ht="14.25">
      <c r="A33" s="3439"/>
      <c r="B33" s="3433" t="s">
        <v>1185</v>
      </c>
      <c r="C33" s="1018" t="s">
        <v>1180</v>
      </c>
    </row>
    <row r="34" spans="1:3" ht="14.25">
      <c r="A34" s="3439"/>
      <c r="B34" s="3434"/>
      <c r="C34" s="1023" t="s">
        <v>1181</v>
      </c>
    </row>
    <row r="35" spans="1:3" ht="14.25">
      <c r="A35" s="3439"/>
      <c r="B35" s="3434"/>
      <c r="C35" s="1024" t="s">
        <v>1182</v>
      </c>
    </row>
    <row r="36" spans="1:3" ht="14.25">
      <c r="A36" s="3439"/>
      <c r="B36" s="3434"/>
      <c r="C36" s="1024" t="s">
        <v>1183</v>
      </c>
    </row>
    <row r="37" spans="1:3" ht="14.25">
      <c r="A37" s="3439"/>
      <c r="B37" s="3435"/>
      <c r="C37" s="1025" t="s">
        <v>1184</v>
      </c>
    </row>
    <row r="38" spans="1:3">
      <c r="A38" s="1019" t="s">
        <v>781</v>
      </c>
    </row>
    <row r="41" spans="1:3">
      <c r="A41" s="1019" t="s">
        <v>42</v>
      </c>
    </row>
    <row r="42" spans="1:3" ht="14.25">
      <c r="A42" s="1020" t="s">
        <v>789</v>
      </c>
    </row>
    <row r="43" spans="1:3" ht="14.25">
      <c r="A43" s="1021" t="s">
        <v>43</v>
      </c>
    </row>
    <row r="44" spans="1:3" ht="14.25">
      <c r="A44" s="1020" t="s">
        <v>788</v>
      </c>
    </row>
    <row r="45" spans="1:3" ht="14.25">
      <c r="A45" s="1022" t="s">
        <v>790</v>
      </c>
    </row>
    <row r="46" spans="1:3" ht="14.25">
      <c r="A46" s="102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1429</v>
      </c>
      <c r="B2" s="2560">
        <f ca="1">TODAY()</f>
        <v>45828</v>
      </c>
      <c r="C2" s="2561" t="s">
        <v>1430</v>
      </c>
      <c r="D2" s="2561"/>
      <c r="E2" s="2558"/>
      <c r="F2" s="2558"/>
      <c r="G2" s="2558"/>
    </row>
    <row r="3" spans="1:7" ht="20.25" customHeight="1">
      <c r="A3" s="2578" t="s">
        <v>1431</v>
      </c>
      <c r="B3" s="2563" t="s">
        <v>1432</v>
      </c>
      <c r="C3" s="2564" t="s">
        <v>1433</v>
      </c>
      <c r="D3" s="2579" t="s">
        <v>1434</v>
      </c>
      <c r="E3" s="2563" t="s">
        <v>1435</v>
      </c>
      <c r="F3" s="2563" t="s">
        <v>1433</v>
      </c>
      <c r="G3" s="2558"/>
    </row>
    <row r="4" spans="1:7" ht="20.25" customHeight="1">
      <c r="A4" s="2563" t="s">
        <v>1436</v>
      </c>
      <c r="B4" s="2563">
        <f ca="1">IF(C4&lt;B2,"已过期",1119970066)</f>
        <v>1119970066</v>
      </c>
      <c r="C4" s="2566">
        <v>45937</v>
      </c>
      <c r="D4" s="2572" t="s">
        <v>1436</v>
      </c>
      <c r="E4" s="2563">
        <f ca="1">IF(F4&lt;B2,"已过期",96010014)</f>
        <v>96010014</v>
      </c>
      <c r="F4" s="2565">
        <v>47118</v>
      </c>
      <c r="G4" s="2558"/>
    </row>
    <row r="5" spans="1:7" ht="20.25" customHeight="1">
      <c r="A5" s="2563" t="s">
        <v>1437</v>
      </c>
      <c r="B5" s="2563">
        <f ca="1">IF(C5&lt;B2,"已过期",1119970111)</f>
        <v>1119970111</v>
      </c>
      <c r="C5" s="2566">
        <v>45937</v>
      </c>
      <c r="D5" s="2572" t="s">
        <v>1437</v>
      </c>
      <c r="E5" s="2563">
        <f ca="1">IF(F5&lt;B2,"已过期",94010078)</f>
        <v>94010078</v>
      </c>
      <c r="F5" s="2565">
        <v>46387</v>
      </c>
      <c r="G5" s="2558"/>
    </row>
    <row r="6" spans="1:7" ht="20.25" customHeight="1">
      <c r="A6" s="2563" t="s">
        <v>1438</v>
      </c>
      <c r="B6" s="2563" t="str">
        <f ca="1">IF(C6&lt;B2,"已过期",1120050019)</f>
        <v>已过期</v>
      </c>
      <c r="C6" s="2566">
        <v>45410</v>
      </c>
      <c r="D6" s="2572" t="s">
        <v>1438</v>
      </c>
      <c r="E6" s="2563">
        <f ca="1">IF(F6&lt;B2,"已过期",2002110030)</f>
        <v>2002110030</v>
      </c>
      <c r="F6" s="2565">
        <v>46387</v>
      </c>
      <c r="G6" s="2558"/>
    </row>
    <row r="7" spans="1:7" ht="20.25" customHeight="1">
      <c r="A7" s="2563" t="s">
        <v>1439</v>
      </c>
      <c r="B7" s="2563">
        <f ca="1">IF(C7&lt;B2,"已过期",1120000080)</f>
        <v>1120000080</v>
      </c>
      <c r="C7" s="2566">
        <v>45937</v>
      </c>
      <c r="D7" s="2572" t="s">
        <v>1439</v>
      </c>
      <c r="E7" s="2563">
        <f ca="1">IF(F7&lt;B2,"已过期",2000110082)</f>
        <v>2000110082</v>
      </c>
      <c r="F7" s="2565">
        <v>46387</v>
      </c>
      <c r="G7" s="2558"/>
    </row>
    <row r="8" spans="1:7" ht="20.25" customHeight="1">
      <c r="A8" s="2563" t="s">
        <v>1440</v>
      </c>
      <c r="B8" s="2563">
        <f ca="1">IF(C8&lt;B2,"已过期",1419970001)</f>
        <v>1419970001</v>
      </c>
      <c r="C8" s="2566">
        <v>45937</v>
      </c>
      <c r="D8" s="2572" t="s">
        <v>1440</v>
      </c>
      <c r="E8" s="2563">
        <f ca="1">IF(F8&lt;B2,"已过期",2002110125)</f>
        <v>2002110125</v>
      </c>
      <c r="F8" s="2565">
        <v>47118</v>
      </c>
      <c r="G8" s="2558"/>
    </row>
    <row r="9" spans="1:7" ht="20.25" customHeight="1">
      <c r="A9" s="2563" t="s">
        <v>1441</v>
      </c>
      <c r="B9" s="2563" t="str">
        <f ca="1">IF(C9&lt;B2,"已过期",1120060040)</f>
        <v>已过期</v>
      </c>
      <c r="C9" s="2566">
        <v>45592</v>
      </c>
      <c r="D9" s="2572" t="s">
        <v>1441</v>
      </c>
      <c r="E9" s="2563">
        <f ca="1">IF(F9&lt;B2,"已过期",2004110096)</f>
        <v>2004110096</v>
      </c>
      <c r="F9" s="2565">
        <v>47118</v>
      </c>
      <c r="G9" s="2558"/>
    </row>
    <row r="10" spans="1:7" ht="20.25" customHeight="1">
      <c r="A10" s="2563" t="s">
        <v>1442</v>
      </c>
      <c r="B10" s="2563" t="str">
        <f ca="1">IF(C10&lt;B2,"已过期",1120100036)</f>
        <v>已过期</v>
      </c>
      <c r="C10" s="2566">
        <v>45752</v>
      </c>
      <c r="D10" s="2572" t="s">
        <v>1442</v>
      </c>
      <c r="E10" s="2563">
        <f ca="1">IF(F10&lt;B2,"已过期",2010110070)</f>
        <v>2010110070</v>
      </c>
      <c r="F10" s="2565">
        <v>47907</v>
      </c>
      <c r="G10" s="2558"/>
    </row>
    <row r="11" spans="1:7" ht="20.25" customHeight="1">
      <c r="A11" s="2563" t="s">
        <v>1443</v>
      </c>
      <c r="B11" s="2563">
        <f ca="1">IF(C11&lt;B2,"已过期",1120070131)</f>
        <v>1120070131</v>
      </c>
      <c r="C11" s="2566">
        <v>45937</v>
      </c>
      <c r="D11" s="2572" t="s">
        <v>1443</v>
      </c>
      <c r="E11" s="2563">
        <f ca="1">IF(F11&lt;B2,"已过期",2014110011)</f>
        <v>2014110011</v>
      </c>
      <c r="F11" s="2565">
        <v>49302</v>
      </c>
      <c r="G11" s="2558"/>
    </row>
    <row r="12" spans="1:7" ht="20.25" customHeight="1">
      <c r="A12" s="2563" t="s">
        <v>2227</v>
      </c>
      <c r="B12" s="2563">
        <f ca="1">IF(C12&lt;B2,"已过期",1120040230)</f>
        <v>1120040230</v>
      </c>
      <c r="C12" s="2566">
        <v>45937</v>
      </c>
      <c r="D12" s="2572" t="s">
        <v>2228</v>
      </c>
      <c r="E12" s="2563">
        <f ca="1">IF(F12&lt;B2,"已过期",98030020)</f>
        <v>98030020</v>
      </c>
      <c r="F12" s="2565">
        <v>47118</v>
      </c>
      <c r="G12" s="2558"/>
    </row>
    <row r="13" spans="1:7" ht="20.25" customHeight="1">
      <c r="A13" s="2563"/>
      <c r="B13" s="2563"/>
      <c r="C13" s="2566"/>
      <c r="D13" s="2572" t="s">
        <v>1444</v>
      </c>
      <c r="E13" s="2563">
        <f ca="1">IF(F13&lt;B2,"已过期",2011110090)</f>
        <v>2011110090</v>
      </c>
      <c r="F13" s="2565">
        <v>48302</v>
      </c>
      <c r="G13" s="2558"/>
    </row>
    <row r="14" spans="1:7" ht="20.25" customHeight="1">
      <c r="A14" s="2563" t="s">
        <v>1445</v>
      </c>
      <c r="B14" s="2563" t="str">
        <f ca="1">IF(C14&lt;B2,"已过期",1120020033)</f>
        <v>已过期</v>
      </c>
      <c r="C14" s="2566">
        <v>45375</v>
      </c>
      <c r="D14" s="2572" t="s">
        <v>1445</v>
      </c>
      <c r="E14" s="2563">
        <f ca="1">IF(F14&lt;B2,"已过期",2000110137)</f>
        <v>2000110137</v>
      </c>
      <c r="F14" s="2565">
        <v>46387</v>
      </c>
      <c r="G14" s="2558"/>
    </row>
    <row r="15" spans="1:7" ht="20.25" customHeight="1">
      <c r="A15" s="2563" t="s">
        <v>2238</v>
      </c>
      <c r="B15" s="2563" t="str">
        <f ca="1">IF(C15&lt;B2,"已过期",1119980106)</f>
        <v>已过期</v>
      </c>
      <c r="C15" s="2566">
        <v>44969</v>
      </c>
      <c r="D15" s="2572"/>
      <c r="E15" s="2563"/>
      <c r="F15" s="2563"/>
      <c r="G15" s="2558"/>
    </row>
    <row r="16" spans="1:7" ht="20.25" customHeight="1">
      <c r="A16" s="2562" t="s">
        <v>2435</v>
      </c>
      <c r="B16" s="2562">
        <v>1120210056</v>
      </c>
      <c r="C16" s="2566">
        <v>45410</v>
      </c>
      <c r="D16" s="2572"/>
      <c r="E16" s="2563"/>
      <c r="F16" s="2563"/>
      <c r="G16" s="2558"/>
    </row>
    <row r="17" spans="1:7" ht="20.25" customHeight="1">
      <c r="A17" s="2562" t="s">
        <v>1569</v>
      </c>
      <c r="B17" s="2562" t="s">
        <v>1569</v>
      </c>
      <c r="C17" s="2566"/>
      <c r="D17" s="2573" t="s">
        <v>1569</v>
      </c>
      <c r="E17" s="2563" t="s">
        <v>1569</v>
      </c>
      <c r="F17" s="2565"/>
      <c r="G17" s="2558"/>
    </row>
    <row r="18" spans="1:7" ht="20.25" customHeight="1">
      <c r="A18" s="3447" t="s">
        <v>1446</v>
      </c>
      <c r="B18" s="3448"/>
      <c r="C18" s="3448"/>
      <c r="D18" s="3448"/>
      <c r="E18" s="3448"/>
      <c r="F18" s="3448"/>
      <c r="G18" s="2558"/>
    </row>
    <row r="19" spans="1:7" ht="20.25" customHeight="1">
      <c r="A19" s="3444" t="s">
        <v>1447</v>
      </c>
      <c r="B19" s="3444"/>
      <c r="C19" s="3445"/>
      <c r="D19" s="3446" t="s">
        <v>1448</v>
      </c>
      <c r="E19" s="3444"/>
      <c r="F19" s="3444"/>
      <c r="G19" s="2558"/>
    </row>
    <row r="20" spans="1:7" s="2391" customFormat="1" ht="20.25" customHeight="1">
      <c r="A20" s="2567" t="s">
        <v>1449</v>
      </c>
      <c r="B20" s="2563" t="s">
        <v>1450</v>
      </c>
      <c r="C20" s="2564" t="s">
        <v>1451</v>
      </c>
      <c r="D20" s="2572" t="s">
        <v>1449</v>
      </c>
      <c r="E20" s="2563" t="s">
        <v>1450</v>
      </c>
      <c r="F20" s="2563" t="s">
        <v>1451</v>
      </c>
      <c r="G20" s="2559"/>
    </row>
    <row r="21" spans="1:7" s="2391" customFormat="1" ht="20.25" customHeight="1">
      <c r="A21" s="2568" t="s">
        <v>1452</v>
      </c>
      <c r="B21" s="2568" t="s">
        <v>1453</v>
      </c>
      <c r="C21" s="2574">
        <v>45898</v>
      </c>
      <c r="D21" s="2576" t="s">
        <v>1454</v>
      </c>
      <c r="E21" s="2568" t="s">
        <v>2436</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7" customWidth="1"/>
    <col min="2" max="2" width="18.875" style="100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5" customWidth="1"/>
    <col min="25" max="25" width="7.25" style="1005" customWidth="1"/>
    <col min="26" max="16384" width="9" style="1005"/>
  </cols>
  <sheetData>
    <row r="1" spans="1:23" s="1026" customFormat="1" ht="40.5">
      <c r="A1" s="881" t="s">
        <v>792</v>
      </c>
      <c r="B1" s="3" t="s">
        <v>99</v>
      </c>
      <c r="C1" s="1291" t="s">
        <v>1235</v>
      </c>
      <c r="D1" s="2046" t="s">
        <v>2748</v>
      </c>
      <c r="E1" s="4" t="s">
        <v>100</v>
      </c>
      <c r="F1" s="4" t="s">
        <v>101</v>
      </c>
      <c r="G1" s="4" t="s">
        <v>102</v>
      </c>
      <c r="H1" s="4" t="s">
        <v>103</v>
      </c>
      <c r="I1" s="4" t="s">
        <v>104</v>
      </c>
      <c r="J1" s="4" t="s">
        <v>105</v>
      </c>
      <c r="K1" s="4" t="s">
        <v>106</v>
      </c>
      <c r="L1" s="4" t="s">
        <v>107</v>
      </c>
      <c r="M1" s="4" t="s">
        <v>108</v>
      </c>
      <c r="N1" s="4" t="s">
        <v>109</v>
      </c>
      <c r="O1" s="4" t="s">
        <v>110</v>
      </c>
      <c r="P1" s="4" t="s">
        <v>111</v>
      </c>
      <c r="Q1" s="2046" t="s">
        <v>1826</v>
      </c>
      <c r="R1" s="2045" t="s">
        <v>1820</v>
      </c>
      <c r="S1" s="4" t="s">
        <v>112</v>
      </c>
      <c r="T1" s="5" t="s">
        <v>113</v>
      </c>
      <c r="U1" s="4" t="s">
        <v>114</v>
      </c>
      <c r="V1" s="4" t="s">
        <v>115</v>
      </c>
      <c r="W1" s="914" t="s">
        <v>809</v>
      </c>
    </row>
    <row r="2" spans="1:23">
      <c r="A2" s="6" t="s">
        <v>47</v>
      </c>
      <c r="B2" s="6" t="s">
        <v>116</v>
      </c>
      <c r="C2" s="1292" t="s">
        <v>1236</v>
      </c>
      <c r="D2" s="7" t="s">
        <v>48</v>
      </c>
      <c r="E2" s="7" t="s">
        <v>95</v>
      </c>
      <c r="F2" s="7" t="s">
        <v>96</v>
      </c>
      <c r="G2" s="4">
        <v>20</v>
      </c>
      <c r="H2" s="7" t="s">
        <v>97</v>
      </c>
      <c r="I2" s="7" t="s">
        <v>2734</v>
      </c>
      <c r="J2" s="7" t="s">
        <v>98</v>
      </c>
      <c r="K2" s="7" t="s">
        <v>49</v>
      </c>
      <c r="L2" s="7" t="s">
        <v>49</v>
      </c>
      <c r="M2" s="7" t="s">
        <v>49</v>
      </c>
      <c r="N2" s="7" t="s">
        <v>49</v>
      </c>
      <c r="O2" s="7" t="s">
        <v>49</v>
      </c>
      <c r="P2" s="915" t="s">
        <v>815</v>
      </c>
      <c r="Q2" s="7" t="s">
        <v>49</v>
      </c>
      <c r="R2" s="915" t="s">
        <v>1821</v>
      </c>
      <c r="S2" s="7" t="s">
        <v>49</v>
      </c>
      <c r="T2" s="7" t="s">
        <v>50</v>
      </c>
      <c r="U2" s="7" t="s">
        <v>49</v>
      </c>
      <c r="V2" s="7" t="s">
        <v>51</v>
      </c>
      <c r="W2" s="7" t="s">
        <v>810</v>
      </c>
    </row>
    <row r="3" spans="1:23">
      <c r="A3" s="6" t="s">
        <v>52</v>
      </c>
      <c r="B3" s="8" t="s">
        <v>117</v>
      </c>
      <c r="C3" s="1292" t="s">
        <v>1237</v>
      </c>
      <c r="D3" s="7" t="s">
        <v>53</v>
      </c>
      <c r="E3" s="7" t="s">
        <v>3</v>
      </c>
      <c r="F3" s="7" t="s">
        <v>54</v>
      </c>
      <c r="G3" s="7">
        <v>40</v>
      </c>
      <c r="H3" s="7" t="s">
        <v>55</v>
      </c>
      <c r="I3" s="7" t="s">
        <v>2735</v>
      </c>
      <c r="J3" s="7" t="s">
        <v>56</v>
      </c>
      <c r="K3" s="7" t="s">
        <v>57</v>
      </c>
      <c r="L3" s="7" t="s">
        <v>57</v>
      </c>
      <c r="M3" s="7" t="s">
        <v>57</v>
      </c>
      <c r="N3" s="7" t="s">
        <v>57</v>
      </c>
      <c r="O3" s="7" t="s">
        <v>57</v>
      </c>
      <c r="P3" s="915" t="s">
        <v>546</v>
      </c>
      <c r="Q3" s="7" t="s">
        <v>57</v>
      </c>
      <c r="R3" s="915" t="s">
        <v>1822</v>
      </c>
      <c r="S3" s="7" t="s">
        <v>57</v>
      </c>
      <c r="T3" s="7" t="s">
        <v>58</v>
      </c>
      <c r="U3" s="7" t="s">
        <v>57</v>
      </c>
      <c r="V3" s="7" t="s">
        <v>59</v>
      </c>
      <c r="W3" s="7" t="s">
        <v>811</v>
      </c>
    </row>
    <row r="4" spans="1:23">
      <c r="A4" s="6" t="s">
        <v>60</v>
      </c>
      <c r="B4" s="6" t="s">
        <v>118</v>
      </c>
      <c r="C4" s="1292" t="s">
        <v>1238</v>
      </c>
      <c r="D4" s="7" t="s">
        <v>1510</v>
      </c>
      <c r="E4" s="7" t="s">
        <v>61</v>
      </c>
      <c r="F4" s="7" t="s">
        <v>62</v>
      </c>
      <c r="G4" s="7">
        <v>50</v>
      </c>
      <c r="H4" s="7" t="s">
        <v>63</v>
      </c>
      <c r="I4" s="7" t="s">
        <v>2736</v>
      </c>
      <c r="K4" s="7" t="s">
        <v>64</v>
      </c>
      <c r="L4" s="7" t="s">
        <v>64</v>
      </c>
      <c r="M4" s="7" t="s">
        <v>64</v>
      </c>
      <c r="N4" s="7" t="s">
        <v>64</v>
      </c>
      <c r="O4" s="7" t="s">
        <v>64</v>
      </c>
      <c r="P4" s="915" t="s">
        <v>698</v>
      </c>
      <c r="Q4" s="7" t="s">
        <v>64</v>
      </c>
      <c r="R4" s="915" t="s">
        <v>1823</v>
      </c>
      <c r="S4" s="7" t="s">
        <v>64</v>
      </c>
      <c r="T4" s="7" t="s">
        <v>65</v>
      </c>
      <c r="U4" s="7" t="s">
        <v>64</v>
      </c>
      <c r="W4" s="7" t="s">
        <v>812</v>
      </c>
    </row>
    <row r="5" spans="1:23">
      <c r="A5" s="6" t="s">
        <v>66</v>
      </c>
      <c r="B5" s="6" t="s">
        <v>119</v>
      </c>
      <c r="C5" s="1292" t="s">
        <v>1239</v>
      </c>
      <c r="F5" s="7" t="s">
        <v>67</v>
      </c>
      <c r="G5" s="7">
        <v>70</v>
      </c>
      <c r="H5" s="7" t="s">
        <v>44</v>
      </c>
      <c r="I5" s="7" t="s">
        <v>2737</v>
      </c>
      <c r="K5" s="7" t="s">
        <v>68</v>
      </c>
      <c r="L5" s="7" t="s">
        <v>68</v>
      </c>
      <c r="M5" s="7" t="s">
        <v>68</v>
      </c>
      <c r="N5" s="7" t="s">
        <v>68</v>
      </c>
      <c r="O5" s="7" t="s">
        <v>68</v>
      </c>
      <c r="P5" s="915" t="s">
        <v>493</v>
      </c>
      <c r="Q5" s="7" t="s">
        <v>68</v>
      </c>
      <c r="R5" s="915" t="s">
        <v>1824</v>
      </c>
      <c r="S5" s="7" t="s">
        <v>68</v>
      </c>
      <c r="T5" s="7" t="s">
        <v>69</v>
      </c>
      <c r="U5" s="7" t="s">
        <v>68</v>
      </c>
      <c r="W5" s="7" t="s">
        <v>813</v>
      </c>
    </row>
    <row r="6" spans="1:23">
      <c r="A6" s="6" t="s">
        <v>70</v>
      </c>
      <c r="B6" s="993" t="s">
        <v>1174</v>
      </c>
      <c r="C6" s="1293" t="s">
        <v>1240</v>
      </c>
      <c r="F6" s="7" t="s">
        <v>45</v>
      </c>
      <c r="H6" s="7" t="s">
        <v>46</v>
      </c>
      <c r="I6" s="7" t="s">
        <v>2738</v>
      </c>
      <c r="K6" s="7" t="s">
        <v>71</v>
      </c>
      <c r="L6" s="7" t="s">
        <v>71</v>
      </c>
      <c r="M6" s="7" t="s">
        <v>71</v>
      </c>
      <c r="N6" s="7" t="s">
        <v>71</v>
      </c>
      <c r="O6" s="7" t="s">
        <v>71</v>
      </c>
      <c r="P6" s="915" t="s">
        <v>816</v>
      </c>
      <c r="Q6" s="7" t="s">
        <v>71</v>
      </c>
      <c r="R6" s="915" t="s">
        <v>1825</v>
      </c>
      <c r="S6" s="7" t="s">
        <v>71</v>
      </c>
      <c r="T6" s="7"/>
      <c r="U6" s="7" t="s">
        <v>71</v>
      </c>
      <c r="W6" s="7" t="s">
        <v>814</v>
      </c>
    </row>
    <row r="7" spans="1:23">
      <c r="A7" s="6" t="s">
        <v>72</v>
      </c>
      <c r="B7" s="6" t="s">
        <v>73</v>
      </c>
      <c r="C7" s="1292" t="s">
        <v>1241</v>
      </c>
      <c r="F7" s="7" t="s">
        <v>120</v>
      </c>
      <c r="H7" s="7" t="s">
        <v>74</v>
      </c>
      <c r="I7" s="7" t="s">
        <v>2739</v>
      </c>
    </row>
    <row r="8" spans="1:23">
      <c r="A8" s="6" t="s">
        <v>75</v>
      </c>
      <c r="B8" s="6" t="s">
        <v>76</v>
      </c>
      <c r="C8" s="1292" t="s">
        <v>1242</v>
      </c>
      <c r="F8" s="7" t="s">
        <v>121</v>
      </c>
      <c r="H8" s="3081" t="s">
        <v>2733</v>
      </c>
      <c r="I8" s="7" t="s">
        <v>2740</v>
      </c>
    </row>
    <row r="9" spans="1:23">
      <c r="A9" s="6" t="s">
        <v>77</v>
      </c>
      <c r="B9" s="6" t="s">
        <v>122</v>
      </c>
      <c r="C9" s="1292" t="s">
        <v>1243</v>
      </c>
      <c r="F9" s="7" t="s">
        <v>78</v>
      </c>
      <c r="H9" s="7"/>
      <c r="I9" s="7" t="s">
        <v>2741</v>
      </c>
    </row>
    <row r="10" spans="1:23">
      <c r="A10" s="6" t="s">
        <v>79</v>
      </c>
      <c r="B10" s="6" t="s">
        <v>123</v>
      </c>
      <c r="C10" s="1292" t="s">
        <v>1244</v>
      </c>
      <c r="F10" s="3081" t="s">
        <v>2732</v>
      </c>
      <c r="I10" s="7" t="s">
        <v>2742</v>
      </c>
    </row>
    <row r="11" spans="1:23">
      <c r="A11" s="6" t="s">
        <v>80</v>
      </c>
      <c r="B11" s="6" t="s">
        <v>124</v>
      </c>
      <c r="C11" s="1292" t="s">
        <v>1245</v>
      </c>
      <c r="I11" s="7" t="s">
        <v>2743</v>
      </c>
    </row>
    <row r="12" spans="1:23">
      <c r="A12" s="6" t="s">
        <v>81</v>
      </c>
      <c r="B12" s="6" t="s">
        <v>125</v>
      </c>
      <c r="C12" s="1292" t="s">
        <v>1246</v>
      </c>
      <c r="I12" s="7" t="s">
        <v>2744</v>
      </c>
    </row>
    <row r="13" spans="1:23">
      <c r="A13" s="6" t="s">
        <v>82</v>
      </c>
      <c r="B13" s="6" t="s">
        <v>126</v>
      </c>
      <c r="C13" s="1292" t="s">
        <v>1247</v>
      </c>
      <c r="I13" s="7" t="s">
        <v>2745</v>
      </c>
    </row>
    <row r="14" spans="1:23">
      <c r="A14" s="6" t="s">
        <v>83</v>
      </c>
      <c r="B14" s="6" t="s">
        <v>127</v>
      </c>
      <c r="C14" s="1294" t="s">
        <v>1419</v>
      </c>
      <c r="I14" s="7" t="s">
        <v>2746</v>
      </c>
    </row>
    <row r="15" spans="1:23">
      <c r="A15" s="6" t="s">
        <v>84</v>
      </c>
      <c r="B15" s="6" t="s">
        <v>1212</v>
      </c>
      <c r="C15" s="1294"/>
      <c r="I15" s="7" t="s">
        <v>2747</v>
      </c>
    </row>
    <row r="16" spans="1:23">
      <c r="A16" s="6" t="s">
        <v>85</v>
      </c>
      <c r="B16" s="6" t="s">
        <v>1213</v>
      </c>
      <c r="C16" s="1294"/>
    </row>
    <row r="17" spans="1:3">
      <c r="A17" s="6" t="s">
        <v>86</v>
      </c>
      <c r="B17" s="6" t="s">
        <v>1214</v>
      </c>
      <c r="C17" s="1294"/>
    </row>
    <row r="18" spans="1:3">
      <c r="A18" s="6" t="s">
        <v>87</v>
      </c>
      <c r="B18" s="2355" t="s">
        <v>2204</v>
      </c>
      <c r="C18" s="1294"/>
    </row>
    <row r="19" spans="1:3">
      <c r="A19" s="6" t="s">
        <v>88</v>
      </c>
      <c r="B19" s="2355" t="s">
        <v>2211</v>
      </c>
      <c r="C19" s="1294"/>
    </row>
    <row r="20" spans="1:3">
      <c r="A20" s="6" t="s">
        <v>89</v>
      </c>
      <c r="B20" s="2355" t="s">
        <v>2251</v>
      </c>
      <c r="C20" s="1294"/>
    </row>
    <row r="21" spans="1:3">
      <c r="A21" s="6" t="s">
        <v>90</v>
      </c>
      <c r="B21" s="6" t="s">
        <v>2427</v>
      </c>
      <c r="C21" s="1294"/>
    </row>
    <row r="22" spans="1:3">
      <c r="A22" s="6" t="s">
        <v>91</v>
      </c>
      <c r="B22" s="6" t="s">
        <v>1175</v>
      </c>
      <c r="C22" s="1294"/>
    </row>
    <row r="23" spans="1:3">
      <c r="A23" s="6" t="s">
        <v>92</v>
      </c>
      <c r="B23" s="6" t="s">
        <v>1175</v>
      </c>
      <c r="C23" s="1294"/>
    </row>
    <row r="24" spans="1:3">
      <c r="A24" s="6" t="s">
        <v>9</v>
      </c>
      <c r="B24" s="6" t="s">
        <v>1175</v>
      </c>
      <c r="C24" s="1294"/>
    </row>
    <row r="25" spans="1:3">
      <c r="A25" s="6" t="s">
        <v>93</v>
      </c>
      <c r="B25" s="6" t="s">
        <v>1175</v>
      </c>
      <c r="C25" s="1294"/>
    </row>
    <row r="26" spans="1:3">
      <c r="A26" s="6" t="s">
        <v>94</v>
      </c>
      <c r="B26" s="6" t="s">
        <v>1175</v>
      </c>
      <c r="C26" s="1294"/>
    </row>
    <row r="27" spans="1:3">
      <c r="A27" s="6" t="s">
        <v>1175</v>
      </c>
      <c r="B27" s="6" t="s">
        <v>1175</v>
      </c>
      <c r="C27" s="1294"/>
    </row>
    <row r="28" spans="1:3">
      <c r="A28" s="6" t="s">
        <v>1175</v>
      </c>
      <c r="B28" s="6" t="s">
        <v>1175</v>
      </c>
      <c r="C28" s="1294"/>
    </row>
    <row r="29" spans="1:3">
      <c r="A29" s="6" t="s">
        <v>1175</v>
      </c>
      <c r="B29" s="6" t="s">
        <v>1175</v>
      </c>
      <c r="C29" s="1294"/>
    </row>
    <row r="30" spans="1:3">
      <c r="A30" s="6" t="s">
        <v>1175</v>
      </c>
      <c r="B30" s="6" t="s">
        <v>1175</v>
      </c>
      <c r="C30" s="1294"/>
    </row>
    <row r="31" spans="1:3">
      <c r="A31" s="6" t="s">
        <v>1175</v>
      </c>
      <c r="B31" s="6" t="s">
        <v>1175</v>
      </c>
      <c r="C31" s="1294"/>
    </row>
    <row r="32" spans="1:3">
      <c r="A32" s="6" t="s">
        <v>1175</v>
      </c>
      <c r="B32" s="6" t="s">
        <v>1175</v>
      </c>
      <c r="C32" s="1294"/>
    </row>
    <row r="33" spans="1:3">
      <c r="A33" s="6" t="s">
        <v>1175</v>
      </c>
      <c r="B33" s="6" t="s">
        <v>1175</v>
      </c>
      <c r="C33" s="1294"/>
    </row>
    <row r="34" spans="1:3">
      <c r="A34" s="6" t="s">
        <v>1175</v>
      </c>
      <c r="B34" s="6" t="s">
        <v>1175</v>
      </c>
      <c r="C34" s="1294"/>
    </row>
    <row r="35" spans="1:3">
      <c r="A35" s="6" t="s">
        <v>1175</v>
      </c>
      <c r="B35" s="6" t="s">
        <v>1175</v>
      </c>
      <c r="C35" s="1294"/>
    </row>
    <row r="36" spans="1:3">
      <c r="A36" s="6" t="s">
        <v>1175</v>
      </c>
      <c r="B36" s="6" t="s">
        <v>1175</v>
      </c>
      <c r="C36" s="1294"/>
    </row>
    <row r="37" spans="1:3">
      <c r="A37" s="6" t="s">
        <v>1175</v>
      </c>
      <c r="B37" s="6" t="s">
        <v>1175</v>
      </c>
      <c r="C37" s="1294"/>
    </row>
    <row r="38" spans="1:3">
      <c r="A38" s="6" t="s">
        <v>1175</v>
      </c>
      <c r="B38" s="6" t="s">
        <v>1175</v>
      </c>
      <c r="C38" s="1294"/>
    </row>
    <row r="39" spans="1:3">
      <c r="A39" s="6" t="s">
        <v>1175</v>
      </c>
      <c r="B39" s="6" t="s">
        <v>1175</v>
      </c>
      <c r="C39" s="1294"/>
    </row>
    <row r="40" spans="1:3">
      <c r="A40" s="6" t="s">
        <v>1175</v>
      </c>
      <c r="B40" s="6" t="s">
        <v>1175</v>
      </c>
      <c r="C40" s="1294"/>
    </row>
    <row r="41" spans="1:3">
      <c r="A41" s="6" t="s">
        <v>1175</v>
      </c>
      <c r="B41" s="6" t="s">
        <v>1175</v>
      </c>
      <c r="C41" s="1294"/>
    </row>
    <row r="42" spans="1:3">
      <c r="A42" s="6" t="s">
        <v>1175</v>
      </c>
      <c r="B42" s="6" t="s">
        <v>1175</v>
      </c>
      <c r="C42" s="1294"/>
    </row>
    <row r="43" spans="1:3">
      <c r="A43" s="6" t="s">
        <v>1175</v>
      </c>
      <c r="B43" s="6" t="s">
        <v>1175</v>
      </c>
      <c r="C43" s="1294"/>
    </row>
    <row r="44" spans="1:3">
      <c r="A44" s="6" t="s">
        <v>1175</v>
      </c>
      <c r="B44" s="6" t="s">
        <v>1175</v>
      </c>
      <c r="C44" s="1294"/>
    </row>
    <row r="45" spans="1:3">
      <c r="A45" s="6" t="s">
        <v>1175</v>
      </c>
      <c r="B45" s="6" t="s">
        <v>1175</v>
      </c>
      <c r="C45" s="1294"/>
    </row>
    <row r="46" spans="1:3">
      <c r="A46" s="6" t="s">
        <v>1175</v>
      </c>
      <c r="B46" s="6" t="s">
        <v>1175</v>
      </c>
      <c r="C46" s="1294"/>
    </row>
    <row r="47" spans="1:3">
      <c r="A47" s="6" t="s">
        <v>1175</v>
      </c>
      <c r="B47" s="6" t="s">
        <v>1175</v>
      </c>
      <c r="C47" s="1294"/>
    </row>
    <row r="48" spans="1:3">
      <c r="A48" s="6" t="s">
        <v>1175</v>
      </c>
      <c r="B48" s="6" t="s">
        <v>1175</v>
      </c>
      <c r="C48" s="1294"/>
    </row>
    <row r="49" spans="1:5">
      <c r="A49" s="6" t="s">
        <v>1175</v>
      </c>
      <c r="B49" s="6" t="s">
        <v>1175</v>
      </c>
      <c r="C49" s="1294"/>
    </row>
    <row r="50" spans="1:5">
      <c r="A50" s="6" t="s">
        <v>1175</v>
      </c>
      <c r="B50" s="6" t="s">
        <v>1175</v>
      </c>
      <c r="C50" s="1294"/>
    </row>
    <row r="51" spans="1:5">
      <c r="A51" s="1465" t="s">
        <v>1460</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1502</v>
      </c>
      <c r="B52" s="1467" t="s">
        <v>1503</v>
      </c>
      <c r="C52" s="1466" t="s">
        <v>1504</v>
      </c>
      <c r="D52" s="1466" t="s">
        <v>1505</v>
      </c>
      <c r="E52" s="1467"/>
    </row>
    <row r="53" spans="1:5">
      <c r="A53" s="3449" t="s">
        <v>1506</v>
      </c>
      <c r="B53" s="1466" t="s">
        <v>1512</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c r="D53" s="1467"/>
      <c r="E53" s="1467"/>
    </row>
    <row r="54" spans="1:5">
      <c r="A54" s="3449"/>
      <c r="B54" s="1466" t="s">
        <v>1513</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49"/>
      <c r="B55" s="1466" t="s">
        <v>1507</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49"/>
      <c r="B56" s="1466" t="s">
        <v>1508</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49"/>
      <c r="B57" s="1466" t="s">
        <v>1509</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1565</v>
      </c>
      <c r="B58" s="1466" t="s">
        <v>1566</v>
      </c>
      <c r="C58" s="9" t="s">
        <v>1567</v>
      </c>
      <c r="D58" s="1120"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土地案例</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Sheet2</vt:lpstr>
      <vt:lpstr>sheet1</vt:lpstr>
      <vt:lpstr>Sheet3</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2025-06-20T05:56:46Z</dcterms:modified>
</cp:coreProperties>
</file>