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公寓）" sheetId="15" r:id="rId22"/>
    <sheet name="收益法（商业）" sheetId="78" r:id="rId23"/>
    <sheet name="收益法（地下车库）" sheetId="79"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3">'收益法（地下车库）'!$A$1:$AK$69</definedName>
    <definedName name="_xlnm.Print_Area" localSheetId="21">'收益法（公寓）'!$A$1:$AK$69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AT13" i="3"/>
  <c r="AN13" i="3"/>
  <c r="AL13" i="3"/>
  <c r="O13" i="3"/>
  <c r="K13" i="3"/>
  <c r="Q72" i="79" l="1"/>
  <c r="Q59" i="79"/>
  <c r="F59" i="79"/>
  <c r="Q58" i="79"/>
  <c r="Q51" i="79"/>
  <c r="J50" i="79"/>
  <c r="J51" i="79" s="1"/>
  <c r="M47" i="79"/>
  <c r="D46" i="79"/>
  <c r="F34" i="79"/>
  <c r="F62" i="79" s="1"/>
  <c r="F33" i="79"/>
  <c r="F61" i="79" s="1"/>
  <c r="F32" i="79"/>
  <c r="F60" i="79" s="1"/>
  <c r="F31" i="79"/>
  <c r="F28" i="79"/>
  <c r="F23" i="79"/>
  <c r="D24" i="79" s="1"/>
  <c r="F21" i="79"/>
  <c r="M20" i="79"/>
  <c r="F20" i="79"/>
  <c r="M19" i="79"/>
  <c r="M18" i="79"/>
  <c r="F18" i="79"/>
  <c r="M17" i="79"/>
  <c r="F17" i="79"/>
  <c r="F15" i="79"/>
  <c r="Q72" i="78"/>
  <c r="Q59" i="78"/>
  <c r="F59" i="78"/>
  <c r="Q58" i="78"/>
  <c r="Q51" i="78"/>
  <c r="J50" i="78"/>
  <c r="J51" i="78" s="1"/>
  <c r="M47" i="78"/>
  <c r="D46" i="78"/>
  <c r="F34" i="78"/>
  <c r="F62" i="78" s="1"/>
  <c r="F33" i="78"/>
  <c r="F61" i="78" s="1"/>
  <c r="F32" i="78"/>
  <c r="F60" i="78" s="1"/>
  <c r="F31" i="78"/>
  <c r="F28" i="78"/>
  <c r="F23" i="78"/>
  <c r="D24" i="78" s="1"/>
  <c r="F21" i="78"/>
  <c r="M20" i="78"/>
  <c r="F20" i="78"/>
  <c r="M19" i="78"/>
  <c r="M18" i="78"/>
  <c r="F18" i="78"/>
  <c r="M17" i="78"/>
  <c r="F17" i="78"/>
  <c r="F15" i="78"/>
  <c r="I46" i="39"/>
  <c r="G46" i="39"/>
  <c r="E46" i="39"/>
  <c r="I38" i="39"/>
  <c r="G38" i="39"/>
  <c r="E38" i="39"/>
  <c r="D22" i="79" l="1"/>
  <c r="D23" i="79"/>
  <c r="D22" i="78"/>
  <c r="D23" i="78"/>
  <c r="I11" i="39"/>
  <c r="G11" i="39"/>
  <c r="E11" i="39"/>
  <c r="I7" i="39"/>
  <c r="G7" i="39"/>
  <c r="E7" i="39"/>
  <c r="I5" i="39"/>
  <c r="G5" i="39"/>
  <c r="E5" i="39"/>
  <c r="G21" i="6"/>
  <c r="G20" i="6"/>
  <c r="E57" i="39" s="1"/>
  <c r="F20" i="6"/>
  <c r="C11" i="4"/>
  <c r="D3" i="4"/>
  <c r="D116" i="39" l="1"/>
  <c r="E116" i="39"/>
  <c r="F116" i="39"/>
  <c r="G116" i="39"/>
  <c r="H116" i="39"/>
  <c r="I116" i="39"/>
  <c r="J116" i="39"/>
  <c r="K116" i="39"/>
  <c r="L116" i="39"/>
  <c r="M116" i="39"/>
  <c r="C116" i="39"/>
  <c r="A21" i="62" l="1"/>
  <c r="A20" i="62"/>
  <c r="A22" i="51"/>
  <c r="A21" i="51"/>
  <c r="A20" i="51"/>
  <c r="A15" i="62" l="1"/>
  <c r="A14" i="62"/>
  <c r="A13" i="62"/>
  <c r="A2" i="53"/>
  <c r="A19" i="62" l="1"/>
  <c r="A12" i="62"/>
  <c r="A120" i="9"/>
  <c r="H2" i="52"/>
  <c r="A1" i="52"/>
  <c r="A3" i="53"/>
  <c r="L5" i="71" l="1"/>
  <c r="Q5" i="71" s="1"/>
  <c r="K5" i="71"/>
  <c r="P5" i="71" s="1"/>
  <c r="J5" i="71"/>
  <c r="O5" i="71" s="1"/>
  <c r="I5" i="71"/>
  <c r="N5" i="71" s="1"/>
  <c r="D5" i="43" l="1"/>
  <c r="A15" i="51" l="1"/>
  <c r="E11" i="76"/>
  <c r="E10" i="76"/>
  <c r="B7" i="76"/>
  <c r="E9" i="76"/>
  <c r="B12" i="76"/>
  <c r="E8" i="76"/>
  <c r="E7" i="76"/>
  <c r="B8" i="76"/>
  <c r="B13" i="76"/>
  <c r="B11" i="76"/>
  <c r="B9" i="76"/>
  <c r="B10" i="76"/>
  <c r="E13"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5" i="73"/>
  <c r="D3" i="73"/>
  <c r="F3" i="73"/>
  <c r="D6" i="73"/>
  <c r="D5" i="73"/>
  <c r="F4" i="73"/>
  <c r="I1" i="73" l="1"/>
  <c r="B39" i="1" s="1"/>
  <c r="D4" i="73"/>
  <c r="D7" i="73"/>
  <c r="M11" i="79" l="1"/>
  <c r="F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0"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F3" i="35"/>
  <c r="D93" i="9"/>
  <c r="J51" i="15"/>
  <c r="AE9" i="1"/>
  <c r="K6" i="1" l="1"/>
  <c r="M6" i="1" s="1"/>
  <c r="O6" i="1" s="1"/>
  <c r="P6" i="1" s="1"/>
  <c r="G1" i="79"/>
  <c r="G1" i="78"/>
  <c r="BL15" i="3"/>
  <c r="AZ15" i="3" s="1"/>
  <c r="E12" i="6"/>
  <c r="M8" i="1"/>
  <c r="G7" i="1"/>
  <c r="G8" i="1"/>
  <c r="H87" i="43"/>
  <c r="H86" i="43"/>
  <c r="H49" i="43"/>
  <c r="H74" i="43"/>
  <c r="AA41" i="39"/>
  <c r="U40" i="39"/>
  <c r="AB34" i="39"/>
  <c r="S34" i="39"/>
  <c r="U17" i="39"/>
  <c r="E15" i="6"/>
  <c r="E60" i="40" s="1"/>
  <c r="E8" i="6"/>
  <c r="F27" i="6" s="1"/>
  <c r="E13" i="6"/>
  <c r="G29" i="6"/>
  <c r="F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E30" i="6" s="1"/>
  <c r="N105" i="43"/>
  <c r="J107" i="43"/>
  <c r="J102" i="43"/>
  <c r="F107" i="43"/>
  <c r="F106" i="43"/>
  <c r="C105" i="43"/>
  <c r="K107" i="43"/>
  <c r="K104"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6" i="43"/>
  <c r="C102" i="43"/>
  <c r="F105" i="43"/>
  <c r="J106" i="43"/>
  <c r="N107" i="43"/>
  <c r="E56" i="40"/>
  <c r="T13" i="1"/>
  <c r="AR12" i="1"/>
  <c r="AQ12" i="1"/>
  <c r="T12" i="1"/>
  <c r="AR10" i="1"/>
  <c r="T10" i="1"/>
  <c r="E19" i="69"/>
  <c r="E19" i="68"/>
  <c r="E19" i="11"/>
  <c r="M18" i="15"/>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K15" i="1"/>
  <c r="E62" i="39"/>
  <c r="E56" i="39"/>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78"/>
  <c r="F16" i="78"/>
  <c r="M22" i="78"/>
  <c r="F42" i="78"/>
  <c r="L47" i="78"/>
  <c r="C76" i="78"/>
  <c r="M27" i="79"/>
  <c r="F37" i="79"/>
  <c r="F6" i="79"/>
  <c r="F38" i="79"/>
  <c r="M9" i="79"/>
  <c r="M24" i="79"/>
  <c r="F43" i="78"/>
  <c r="F43" i="15"/>
  <c r="F40" i="15"/>
  <c r="M28" i="67"/>
  <c r="F13" i="15"/>
  <c r="L48" i="15"/>
  <c r="F7" i="15"/>
  <c r="M24" i="67"/>
  <c r="M8" i="15"/>
  <c r="M22" i="67"/>
  <c r="F38" i="67"/>
  <c r="M24" i="15"/>
  <c r="M23" i="15"/>
  <c r="L47" i="67"/>
  <c r="L48" i="78"/>
  <c r="M24" i="78"/>
  <c r="M23" i="78"/>
  <c r="M8" i="78"/>
  <c r="M6" i="78"/>
  <c r="F40" i="79"/>
  <c r="F42" i="79"/>
  <c r="F7" i="79"/>
  <c r="C76" i="79"/>
  <c r="F13" i="67"/>
  <c r="L47" i="15"/>
  <c r="F42" i="15"/>
  <c r="F38" i="15"/>
  <c r="M22" i="15"/>
  <c r="M6" i="15"/>
  <c r="M8" i="67"/>
  <c r="F13" i="78"/>
  <c r="J15" i="78"/>
  <c r="M22" i="79"/>
  <c r="M6" i="79"/>
  <c r="F16" i="79"/>
  <c r="F36" i="67"/>
  <c r="F7" i="67"/>
  <c r="M6" i="67"/>
  <c r="M28" i="15"/>
  <c r="F26" i="67"/>
  <c r="F6" i="15"/>
  <c r="F26" i="78"/>
  <c r="F40" i="78"/>
  <c r="M26" i="78"/>
  <c r="F6" i="78"/>
  <c r="M29" i="79"/>
  <c r="M28" i="79"/>
  <c r="L47" i="79"/>
  <c r="F9" i="79"/>
  <c r="F8" i="79"/>
  <c r="M29" i="15"/>
  <c r="M29" i="67"/>
  <c r="F37" i="15"/>
  <c r="M26" i="67"/>
  <c r="F43" i="67"/>
  <c r="M9" i="15"/>
  <c r="F8" i="67"/>
  <c r="F8" i="15"/>
  <c r="F9" i="78"/>
  <c r="M28" i="78"/>
  <c r="F43" i="79"/>
  <c r="M8" i="79"/>
  <c r="M29" i="78"/>
  <c r="F16" i="15"/>
  <c r="F16" i="67"/>
  <c r="C76" i="67"/>
  <c r="J15" i="67"/>
  <c r="L48" i="79"/>
  <c r="J15" i="79"/>
  <c r="L48" i="67"/>
  <c r="F36" i="15"/>
  <c r="F6" i="67"/>
  <c r="M9" i="67"/>
  <c r="M27" i="78"/>
  <c r="F38" i="78"/>
  <c r="M23" i="79"/>
  <c r="F13" i="79"/>
  <c r="J15" i="15"/>
  <c r="M23" i="67"/>
  <c r="F26" i="15"/>
  <c r="F37" i="67"/>
  <c r="C76" i="15"/>
  <c r="F40" i="67"/>
  <c r="F8" i="78"/>
  <c r="F36" i="78"/>
  <c r="M26" i="79"/>
  <c r="F26" i="79"/>
  <c r="M26" i="15"/>
  <c r="F9" i="67"/>
  <c r="G1" i="73"/>
  <c r="F37" i="78"/>
  <c r="F36" i="79"/>
  <c r="F7" i="78"/>
  <c r="F42" i="67"/>
  <c r="F9" i="15"/>
  <c r="C28" i="78" l="1"/>
  <c r="C28" i="79"/>
  <c r="Q71" i="79"/>
  <c r="F51" i="79"/>
  <c r="C27" i="79"/>
  <c r="F50" i="79"/>
  <c r="M7" i="79"/>
  <c r="J6" i="79" s="1"/>
  <c r="F66" i="79"/>
  <c r="L59" i="79"/>
  <c r="L58" i="79"/>
  <c r="Q73" i="79" s="1"/>
  <c r="F64" i="79"/>
  <c r="C6" i="79"/>
  <c r="C10" i="79"/>
  <c r="F65" i="79"/>
  <c r="F68" i="79"/>
  <c r="F71" i="79"/>
  <c r="K53" i="79"/>
  <c r="J53" i="79"/>
  <c r="Q52" i="79" s="1"/>
  <c r="L60" i="79"/>
  <c r="Q57" i="79" s="1"/>
  <c r="L57" i="79"/>
  <c r="L56" i="79"/>
  <c r="J57" i="79"/>
  <c r="J55" i="79" s="1"/>
  <c r="J58" i="79" s="1"/>
  <c r="Q50" i="79" s="1"/>
  <c r="J59" i="79"/>
  <c r="J60" i="79"/>
  <c r="Q48" i="79" s="1"/>
  <c r="Q71" i="78"/>
  <c r="F66" i="78"/>
  <c r="L59" i="78"/>
  <c r="L58" i="78"/>
  <c r="Q73" i="78" s="1"/>
  <c r="F64" i="78"/>
  <c r="F65" i="78"/>
  <c r="F68" i="78"/>
  <c r="F51" i="78"/>
  <c r="C27" i="78"/>
  <c r="L56" i="78"/>
  <c r="J57" i="78"/>
  <c r="J55" i="78" s="1"/>
  <c r="J58" i="78" s="1"/>
  <c r="Q50" i="78" s="1"/>
  <c r="J59" i="78"/>
  <c r="J60" i="78"/>
  <c r="Q48" i="78" s="1"/>
  <c r="K53" i="78"/>
  <c r="J53" i="78"/>
  <c r="F1" i="78" s="1"/>
  <c r="L60" i="78"/>
  <c r="Q66" i="78" s="1"/>
  <c r="L57" i="78"/>
  <c r="N109" i="43"/>
  <c r="N104" i="43"/>
  <c r="K105" i="43"/>
  <c r="G106" i="43"/>
  <c r="G104" i="43"/>
  <c r="G107" i="43"/>
  <c r="K102" i="43"/>
  <c r="J103" i="43"/>
  <c r="N106" i="43"/>
  <c r="N103" i="43"/>
  <c r="AZ13" i="3"/>
  <c r="E51" i="40"/>
  <c r="C109" i="43"/>
  <c r="AR13" i="1"/>
  <c r="F103" i="43"/>
  <c r="I116" i="43"/>
  <c r="J116" i="43" s="1"/>
  <c r="K116" i="43" s="1"/>
  <c r="L116" i="43" s="1"/>
  <c r="M116" i="43" s="1"/>
  <c r="B118" i="43"/>
  <c r="C118" i="43" s="1"/>
  <c r="G118" i="43"/>
  <c r="H118" i="43" s="1"/>
  <c r="D116" i="43"/>
  <c r="E116" i="43" s="1"/>
  <c r="F116" i="43" s="1"/>
  <c r="G116" i="43" s="1"/>
  <c r="H116" i="43" s="1"/>
  <c r="C103" i="43"/>
  <c r="C107" i="43"/>
  <c r="F102" i="43"/>
  <c r="AQ11" i="1"/>
  <c r="D22" i="43"/>
  <c r="F71" i="78"/>
  <c r="C6" i="78"/>
  <c r="F50" i="78"/>
  <c r="C49" i="78" s="1"/>
  <c r="C48" i="78" s="1"/>
  <c r="M7" i="78"/>
  <c r="C10" i="78"/>
  <c r="O8" i="1"/>
  <c r="P8" i="1" s="1"/>
  <c r="L46" i="79"/>
  <c r="Q66" i="79"/>
  <c r="F1" i="79"/>
  <c r="M18" i="67"/>
  <c r="F30" i="69"/>
  <c r="C48" i="69" s="1"/>
  <c r="F32" i="67"/>
  <c r="F60" i="67" s="1"/>
  <c r="F32" i="15"/>
  <c r="F60" i="15" s="1"/>
  <c r="F28" i="67"/>
  <c r="C28" i="67" s="1"/>
  <c r="F30" i="68"/>
  <c r="C30" i="68" s="1"/>
  <c r="F31" i="12"/>
  <c r="F30" i="11"/>
  <c r="C48" i="11" s="1"/>
  <c r="F52" i="9"/>
  <c r="F28" i="15"/>
  <c r="C28" i="15" s="1"/>
  <c r="E58" i="40"/>
  <c r="E63" i="39"/>
  <c r="E66" i="39" s="1"/>
  <c r="AQ9" i="1"/>
  <c r="D9" i="69"/>
  <c r="D19" i="12"/>
  <c r="C19" i="12" s="1"/>
  <c r="T11" i="1"/>
  <c r="E59" i="40"/>
  <c r="T9" i="1"/>
  <c r="E16" i="6"/>
  <c r="C4" i="4"/>
  <c r="B4" i="62" s="1"/>
  <c r="B71" i="72" s="1"/>
  <c r="E4" i="4"/>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7" i="15"/>
  <c r="C16" i="79"/>
  <c r="C16" i="78"/>
  <c r="C17" i="78"/>
  <c r="C16" i="15"/>
  <c r="C16" i="67"/>
  <c r="Q60" i="79" l="1"/>
  <c r="Q57" i="78"/>
  <c r="Q60" i="78"/>
  <c r="Q52" i="78"/>
  <c r="L46" i="78"/>
  <c r="AQ7" i="1"/>
  <c r="Q74" i="78"/>
  <c r="Q61" i="78"/>
  <c r="C5" i="79"/>
  <c r="Q74" i="79"/>
  <c r="Q61" i="79"/>
  <c r="J10" i="79"/>
  <c r="J5" i="79" s="1"/>
  <c r="C49" i="79"/>
  <c r="C48" i="79" s="1"/>
  <c r="T7" i="1"/>
  <c r="AR7" i="1"/>
  <c r="C5" i="78"/>
  <c r="C38" i="78" s="1"/>
  <c r="O7" i="1"/>
  <c r="AQ6" i="1"/>
  <c r="E6" i="70"/>
  <c r="S3" i="43"/>
  <c r="T3" i="43" s="1"/>
  <c r="V3" i="43" s="1"/>
  <c r="C23" i="43"/>
  <c r="C21" i="43" s="1"/>
  <c r="S5" i="43"/>
  <c r="J6" i="78"/>
  <c r="J10" i="78"/>
  <c r="S7" i="43"/>
  <c r="S4" i="43"/>
  <c r="S6" i="43"/>
  <c r="C32" i="78"/>
  <c r="C60" i="78"/>
  <c r="C66" i="78"/>
  <c r="F24" i="78"/>
  <c r="F24" i="79"/>
  <c r="C24" i="78"/>
  <c r="M21" i="6"/>
  <c r="I21" i="6" s="1"/>
  <c r="S21" i="6" s="1"/>
  <c r="S8" i="1"/>
  <c r="K16" i="1"/>
  <c r="M19" i="6"/>
  <c r="I19" i="6" s="1"/>
  <c r="AR6" i="1"/>
  <c r="K27" i="6"/>
  <c r="K4" i="4"/>
  <c r="B46" i="48" s="1"/>
  <c r="B4" i="72" s="1"/>
  <c r="B5" i="62"/>
  <c r="B73" i="72" s="1"/>
  <c r="B64" i="72"/>
  <c r="A18" i="62"/>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P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C17" i="79"/>
  <c r="C14" i="78"/>
  <c r="P70" i="39" l="1"/>
  <c r="Q68" i="39"/>
  <c r="M27" i="6"/>
  <c r="J24" i="79"/>
  <c r="J26" i="79"/>
  <c r="J18" i="79"/>
  <c r="C60" i="79"/>
  <c r="C66" i="79"/>
  <c r="C32" i="79"/>
  <c r="C38" i="79"/>
  <c r="C15" i="78"/>
  <c r="C18" i="78"/>
  <c r="J5" i="78"/>
  <c r="J24" i="78" s="1"/>
  <c r="E8" i="70"/>
  <c r="H38" i="39"/>
  <c r="J38" i="39"/>
  <c r="F38" i="39"/>
  <c r="C24" i="79"/>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R68" i="39" l="1"/>
  <c r="Q70" i="39"/>
  <c r="J18" i="78"/>
  <c r="C34" i="11"/>
  <c r="C35" i="11" s="1"/>
  <c r="J26" i="78"/>
  <c r="C19" i="78"/>
  <c r="C20" i="78" s="1"/>
  <c r="C23" i="78" s="1"/>
  <c r="C18" i="79"/>
  <c r="C15" i="79"/>
  <c r="AA38" i="39"/>
  <c r="S38" i="39"/>
  <c r="AB38" i="39"/>
  <c r="U38" i="39"/>
  <c r="R20" i="6"/>
  <c r="R7" i="1" s="1"/>
  <c r="W38" i="39"/>
  <c r="AC38" i="3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M21" i="79"/>
  <c r="F35" i="79"/>
  <c r="M21" i="78"/>
  <c r="E6" i="76"/>
  <c r="F35" i="78"/>
  <c r="R70" i="39" l="1"/>
  <c r="S68" i="39"/>
  <c r="S70" i="39" s="1"/>
  <c r="C38" i="11"/>
  <c r="C33" i="11" s="1"/>
  <c r="C42" i="11" s="1"/>
  <c r="C19" i="79"/>
  <c r="C20" i="79" s="1"/>
  <c r="C26" i="79" s="1"/>
  <c r="C26" i="78"/>
  <c r="C29" i="78" s="1"/>
  <c r="Q49" i="78" s="1"/>
  <c r="J20" i="78"/>
  <c r="F63" i="78"/>
  <c r="C62" i="78" s="1"/>
  <c r="C34" i="78"/>
  <c r="F63" i="79"/>
  <c r="C62" i="79" s="1"/>
  <c r="C34" i="79"/>
  <c r="J20" i="79"/>
  <c r="C18" i="12"/>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M21" i="67"/>
  <c r="B6" i="76"/>
  <c r="F35" i="15"/>
  <c r="F35" i="67"/>
  <c r="J19" i="78" l="1"/>
  <c r="J17" i="78" s="1"/>
  <c r="C13" i="78"/>
  <c r="C56" i="78" s="1"/>
  <c r="C65" i="78" s="1"/>
  <c r="C36" i="78"/>
  <c r="C57" i="78"/>
  <c r="J14" i="78"/>
  <c r="J22" i="78" s="1"/>
  <c r="C33" i="78"/>
  <c r="C31" i="78" s="1"/>
  <c r="C23" i="79"/>
  <c r="C29" i="79" s="1"/>
  <c r="H11" i="39"/>
  <c r="F11" i="39"/>
  <c r="J11" i="39"/>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C75" i="78" l="1"/>
  <c r="Q70" i="78"/>
  <c r="C37" i="78"/>
  <c r="C30" i="78" s="1"/>
  <c r="C39" i="78" s="1"/>
  <c r="Q69" i="78" s="1"/>
  <c r="J13" i="78"/>
  <c r="J23" i="78" s="1"/>
  <c r="J16" i="78" s="1"/>
  <c r="J25" i="78" s="1"/>
  <c r="C64" i="78"/>
  <c r="C61" i="78"/>
  <c r="C59" i="78" s="1"/>
  <c r="C33" i="79"/>
  <c r="C31" i="79" s="1"/>
  <c r="C36" i="79"/>
  <c r="J14" i="79"/>
  <c r="Q49" i="79"/>
  <c r="C57" i="79"/>
  <c r="J19" i="79"/>
  <c r="J17" i="79" s="1"/>
  <c r="C13" i="79"/>
  <c r="AA11" i="39"/>
  <c r="S11" i="39"/>
  <c r="W11" i="39"/>
  <c r="AC11" i="39"/>
  <c r="AB11" i="39"/>
  <c r="U11" i="39"/>
  <c r="C39" i="68"/>
  <c r="C43" i="68" s="1"/>
  <c r="C42" i="68"/>
  <c r="J63" i="40"/>
  <c r="I65" i="40"/>
  <c r="C46" i="11"/>
  <c r="C45" i="11" s="1"/>
  <c r="C49" i="11" s="1"/>
  <c r="C51" i="11" s="1"/>
  <c r="C52" i="11" s="1"/>
  <c r="B2" i="11" s="1"/>
  <c r="B3" i="11" s="1"/>
  <c r="J70" i="39"/>
  <c r="L51" i="78"/>
  <c r="Q68" i="78" l="1"/>
  <c r="Q67" i="78"/>
  <c r="C58" i="78"/>
  <c r="C67" i="78" s="1"/>
  <c r="C80" i="78"/>
  <c r="C79" i="78" s="1"/>
  <c r="C56" i="79"/>
  <c r="C65" i="79" s="1"/>
  <c r="C37" i="79"/>
  <c r="C30" i="79" s="1"/>
  <c r="C39" i="79" s="1"/>
  <c r="C75" i="79"/>
  <c r="Q70" i="79"/>
  <c r="C61" i="79"/>
  <c r="C59" i="79" s="1"/>
  <c r="C64" i="79"/>
  <c r="J13" i="79"/>
  <c r="J23" i="79" s="1"/>
  <c r="J22" i="79"/>
  <c r="C41" i="68"/>
  <c r="C46" i="68"/>
  <c r="C45" i="68" s="1"/>
  <c r="K63" i="40"/>
  <c r="J65" i="40"/>
  <c r="K70" i="39"/>
  <c r="C56" i="11"/>
  <c r="C57" i="11" s="1"/>
  <c r="L51" i="79"/>
  <c r="J16" i="79" l="1"/>
  <c r="J25" i="79" s="1"/>
  <c r="C58" i="79"/>
  <c r="C67" i="79" s="1"/>
  <c r="Q67" i="79"/>
  <c r="Q69" i="79"/>
  <c r="Q68" i="79" s="1"/>
  <c r="C80" i="79"/>
  <c r="C79" i="79"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F41" i="78"/>
  <c r="F69" i="78" l="1"/>
  <c r="C68" i="78" s="1"/>
  <c r="C71" i="78" s="1"/>
  <c r="C40" i="78"/>
  <c r="C83" i="78" s="1"/>
  <c r="C82" i="78" s="1"/>
  <c r="J29" i="78"/>
  <c r="C43" i="78"/>
  <c r="Q66" i="67"/>
  <c r="Q57" i="67"/>
  <c r="C58" i="67"/>
  <c r="C67" i="67" s="1"/>
  <c r="C19" i="15"/>
  <c r="Q65" i="78" l="1"/>
  <c r="Q75" i="78" s="1"/>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67"/>
  <c r="F41" i="67"/>
  <c r="F41" i="79"/>
  <c r="F41" i="15"/>
  <c r="M27" i="15"/>
  <c r="F69" i="79" l="1"/>
  <c r="C68" i="79" s="1"/>
  <c r="C40" i="79"/>
  <c r="C43" i="79" s="1"/>
  <c r="J29" i="79"/>
  <c r="J26" i="15"/>
  <c r="J29" i="15" s="1"/>
  <c r="J26" i="67"/>
  <c r="J29" i="67" s="1"/>
  <c r="C58" i="15"/>
  <c r="C67" i="15" s="1"/>
  <c r="F69" i="15"/>
  <c r="C40" i="15"/>
  <c r="C43" i="15" s="1"/>
  <c r="L46" i="15"/>
  <c r="Q57" i="15"/>
  <c r="Q66" i="15"/>
  <c r="F69" i="67"/>
  <c r="C68" i="67" s="1"/>
  <c r="C71" i="67" s="1"/>
  <c r="C40" i="67"/>
  <c r="C83" i="67" s="1"/>
  <c r="C82" i="67" s="1"/>
  <c r="C83" i="79" l="1"/>
  <c r="C82" i="79" s="1"/>
  <c r="Q56" i="79"/>
  <c r="Q62" i="79" s="1"/>
  <c r="C46" i="79"/>
  <c r="C71" i="79"/>
  <c r="B2" i="79"/>
  <c r="B3" i="79" s="1"/>
  <c r="E6" i="12" s="1"/>
  <c r="Q65" i="79"/>
  <c r="Q75" i="79" s="1"/>
  <c r="Q47" i="79"/>
  <c r="Q53" i="79" s="1"/>
  <c r="C68" i="15"/>
  <c r="C71" i="15" s="1"/>
  <c r="C83" i="15"/>
  <c r="C82" i="15" s="1"/>
  <c r="Q65" i="15"/>
  <c r="Q75" i="15" s="1"/>
  <c r="Q47" i="15"/>
  <c r="Q53" i="15" s="1"/>
  <c r="Q56" i="15"/>
  <c r="Q62" i="15" s="1"/>
  <c r="B2" i="15"/>
  <c r="C8" i="12" s="1"/>
  <c r="C43" i="67"/>
  <c r="C45" i="67"/>
  <c r="C46" i="67" s="1"/>
  <c r="Q65" i="67"/>
  <c r="Q75" i="67" s="1"/>
  <c r="Q56" i="67"/>
  <c r="Q62" i="67" s="1"/>
  <c r="Q47" i="67"/>
  <c r="Q53" i="67" s="1"/>
  <c r="D2" i="67"/>
  <c r="B2" i="67" s="1"/>
  <c r="E2" i="69"/>
  <c r="AO8" i="1"/>
  <c r="AO6" i="1"/>
  <c r="AO7" i="1"/>
  <c r="E8" i="12" l="1"/>
  <c r="C4" i="12" s="1"/>
  <c r="B3" i="15"/>
  <c r="C6" i="12" s="1"/>
  <c r="B8" i="70"/>
  <c r="B7" i="70"/>
  <c r="B6" i="70"/>
  <c r="C46" i="15"/>
  <c r="B2" i="69"/>
  <c r="B3" i="69" s="1"/>
  <c r="B3" i="67"/>
  <c r="D2" i="35"/>
  <c r="D2" i="21"/>
  <c r="D2" i="36"/>
  <c r="E2" i="68"/>
  <c r="D2" i="37"/>
  <c r="F20" i="31"/>
  <c r="D2" i="33"/>
  <c r="D2" i="34"/>
  <c r="C31" i="12" l="1"/>
  <c r="C23" i="12"/>
  <c r="B20" i="31"/>
  <c r="B2" i="36"/>
  <c r="B3" i="36" s="1"/>
  <c r="B2" i="35"/>
  <c r="B3" i="35" s="1"/>
  <c r="B2" i="37"/>
  <c r="B3" i="37" s="1"/>
  <c r="B2" i="34"/>
  <c r="B3" i="34" s="1"/>
  <c r="B2" i="21"/>
  <c r="B3" i="21" s="1"/>
  <c r="B2" i="70"/>
  <c r="B3" i="70" s="1"/>
  <c r="C30" i="12" l="1"/>
  <c r="C28" i="12" s="1"/>
  <c r="C27" i="12"/>
  <c r="C25" i="12" s="1"/>
  <c r="C32" i="12" l="1"/>
  <c r="B2" i="12" s="1"/>
  <c r="D19" i="9"/>
  <c r="D102" i="9" l="1"/>
  <c r="D21"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C102" i="9" l="1"/>
  <c r="D22" i="9"/>
  <c r="C21" i="9"/>
  <c r="G19" i="9"/>
  <c r="C32" i="9" s="1"/>
  <c r="B3" i="68"/>
  <c r="D34" i="9"/>
  <c r="C20" i="9"/>
  <c r="D35" i="9"/>
  <c r="G21" i="9" l="1"/>
  <c r="C103" i="9"/>
  <c r="G20" i="9"/>
  <c r="C35" i="9"/>
  <c r="F118" i="9" s="1"/>
  <c r="H118" i="9"/>
  <c r="C34" i="9" l="1"/>
  <c r="D118" i="9" s="1"/>
  <c r="D119" i="9" s="1"/>
  <c r="D5" i="52" s="1"/>
  <c r="B49" i="72" s="1"/>
  <c r="C104" i="9"/>
  <c r="H101" i="9"/>
  <c r="H119" i="9"/>
  <c r="H5" i="52" s="1"/>
  <c r="H4" i="52"/>
  <c r="I118" i="9"/>
  <c r="D14" i="74"/>
  <c r="G118" i="9"/>
  <c r="G4" i="52" s="1"/>
  <c r="B52" i="72" s="1"/>
  <c r="F119" i="9"/>
  <c r="F5" i="52" s="1"/>
  <c r="B53" i="72" s="1"/>
  <c r="F4" i="52"/>
  <c r="B51" i="72" s="1"/>
  <c r="D4" i="52" l="1"/>
  <c r="B47" i="72" s="1"/>
  <c r="B5" i="74"/>
  <c r="E14" i="74"/>
  <c r="F14" i="74"/>
  <c r="M48" i="9"/>
  <c r="H107" i="9"/>
  <c r="D45" i="9"/>
  <c r="D5" i="53"/>
  <c r="C105" i="9"/>
  <c r="I4" i="52"/>
  <c r="H102" i="9"/>
  <c r="D7" i="53" s="1"/>
  <c r="B21" i="72" s="1"/>
  <c r="E118" i="9"/>
  <c r="E4" i="52" s="1"/>
  <c r="B48" i="72"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D123" i="9" l="1"/>
  <c r="D9" i="52" s="1"/>
  <c r="G14" i="74"/>
  <c r="B6" i="74" s="1"/>
  <c r="D8" i="52"/>
  <c r="B30" i="72"/>
  <c r="D14" i="53"/>
  <c r="B32" i="72" s="1"/>
  <c r="L66" i="9"/>
  <c r="M66" i="9" s="1"/>
  <c r="L65" i="9"/>
  <c r="M65" i="9" s="1"/>
  <c r="L67" i="9"/>
  <c r="M67" i="9" s="1"/>
  <c r="L68" i="9"/>
  <c r="M68" i="9" s="1"/>
  <c r="L63" i="9"/>
  <c r="M63" i="9" s="1"/>
  <c r="L64" i="9"/>
  <c r="M64" i="9" s="1"/>
  <c r="C79" i="9"/>
  <c r="C95" i="9"/>
  <c r="C80" i="9" l="1"/>
  <c r="E80" i="9" s="1"/>
  <c r="E81" i="9" s="1"/>
  <c r="M69" i="9"/>
  <c r="N69" i="9" s="1"/>
  <c r="D6" i="74"/>
  <c r="C6" i="74"/>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<sst xmlns="http://schemas.openxmlformats.org/spreadsheetml/2006/main" count="8463" uniqueCount="3233">
  <si>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</si>
  <si>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</si>
  <si>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</si>
  <si>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</si>
  <si>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</si>
  <si>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</si>
  <si>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</si>
  <si>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</si>
  <si>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</si>
  <si>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</si>
  <si>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</si>
  <si>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</si>
  <si>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</si>
  <si>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</si>
  <si>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</si>
  <si>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</si>
  <si>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</si>
  <si>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</si>
  <si>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</si>
  <si>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</si>
  <si>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</si>
  <si>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</si>
  <si>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</si>
  <si>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</si>
  <si>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</si>
  <si>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</si>
  <si>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</si>
  <si>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</si>
  <si>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</si>
  <si>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</si>
  <si>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</si>
  <si>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</si>
  <si>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</si>
  <si>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</si>
  <si>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</si>
  <si>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</si>
  <si>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</si>
  <si>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</si>
  <si>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</si>
  <si>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</si>
  <si>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</si>
  <si>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</si>
  <si>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</si>
  <si>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</si>
  <si>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</si>
  <si>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</si>
  <si>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</si>
  <si>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</si>
  <si>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</si>
  <si>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</si>
  <si>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</si>
  <si>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</si>
  <si>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</si>
  <si>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</si>
  <si>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</si>
  <si>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</si>
  <si>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</si>
  <si>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</si>
  <si>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</si>
  <si>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</si>
  <si>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</si>
  <si>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</si>
  <si>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</si>
  <si>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</si>
  <si>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</si>
  <si>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</si>
  <si>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</si>
  <si>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</si>
  <si>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</si>
  <si>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</si>
  <si>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</si>
  <si>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</si>
  <si>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</si>
  <si>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</si>
  <si>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</si>
  <si>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</si>
  <si>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</si>
  <si>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</si>
  <si>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</si>
  <si>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</si>
  <si>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</si>
  <si>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</si>
  <si>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</si>
  <si>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</si>
  <si>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</si>
  <si>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</si>
  <si>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</si>
  <si>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</si>
  <si>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</si>
  <si>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</si>
  <si>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</si>
  <si>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</si>
  <si>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</si>
  <si>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</si>
  <si>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</si>
  <si>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</si>
  <si>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</si>
  <si>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</si>
  <si>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</si>
  <si>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</si>
  <si>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</si>
  <si>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</si>
  <si>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</si>
  <si>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</si>
  <si>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</si>
  <si>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</si>
  <si>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</si>
  <si>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</si>
  <si>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</si>
  <si>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</si>
  <si>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</si>
  <si>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</si>
  <si>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</si>
  <si>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</si>
  <si>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</si>
  <si>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</si>
  <si>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</si>
  <si>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</si>
  <si>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</si>
  <si>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</si>
  <si>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</si>
  <si>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</si>
  <si>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</si>
  <si>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</si>
  <si>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</si>
  <si>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</si>
  <si>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</si>
  <si>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</si>
  <si>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</si>
  <si>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</si>
  <si>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</si>
  <si>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</si>
  <si>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</si>
  <si>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</si>
  <si>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</si>
  <si>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</si>
  <si>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</si>
  <si>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</si>
  <si>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</si>
  <si>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</si>
  <si>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</si>
  <si>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</si>
  <si>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</si>
  <si>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</si>
  <si>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</si>
  <si>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</si>
  <si>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</si>
  <si>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</si>
  <si>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</si>
  <si>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</si>
  <si>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</si>
  <si>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</si>
  <si>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</si>
  <si>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</si>
  <si>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</si>
  <si>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</si>
  <si>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</si>
  <si>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</si>
  <si>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</si>
  <si>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</si>
  <si>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</si>
  <si>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</si>
  <si>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</si>
  <si>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</si>
  <si>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</si>
  <si>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</si>
  <si>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</si>
  <si>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</si>
  <si>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</si>
  <si>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</si>
  <si>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</si>
  <si>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</si>
  <si>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</si>
  <si>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</si>
  <si>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</si>
  <si>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</si>
  <si>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</si>
  <si>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</si>
  <si>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</si>
  <si>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</si>
  <si>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</si>
  <si>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</si>
  <si>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</si>
  <si>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</si>
  <si>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</si>
  <si>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</si>
  <si>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</si>
  <si>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</si>
  <si>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</si>
  <si>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</si>
  <si>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</si>
  <si>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</si>
  <si>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</si>
  <si>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</si>
  <si>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</si>
  <si>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</si>
  <si>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</si>
  <si>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</si>
  <si>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</si>
  <si>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</si>
  <si>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</si>
  <si>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</si>
  <si>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</si>
  <si>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</si>
  <si>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</si>
  <si>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</si>
  <si>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</si>
  <si>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</si>
  <si>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</si>
  <si>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</si>
  <si>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</si>
  <si>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</si>
  <si>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</si>
  <si>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</si>
  <si>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</si>
  <si>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</si>
  <si>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</si>
  <si>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</si>
  <si>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</si>
  <si>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</si>
  <si>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</si>
  <si>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</si>
  <si>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</si>
  <si>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</si>
  <si>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</si>
  <si>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</si>
  <si>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</si>
  <si>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</si>
  <si>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</si>
  <si>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</si>
  <si>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</si>
  <si>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</si>
  <si>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</si>
  <si>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</si>
  <si>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</si>
  <si>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</si>
  <si>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</si>
  <si>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</si>
  <si>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</si>
  <si>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</si>
  <si>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</si>
  <si>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</si>
  <si>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</si>
  <si>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</si>
  <si>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</si>
  <si>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</si>
  <si>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</si>
  <si>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</si>
  <si>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</si>
  <si>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</si>
  <si>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</si>
  <si>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</si>
  <si>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</si>
  <si>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</si>
  <si>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</si>
  <si>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</si>
  <si>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</si>
  <si>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</si>
  <si>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</si>
  <si>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</si>
  <si>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</si>
  <si>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</si>
  <si>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</si>
  <si>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</si>
  <si>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</si>
  <si>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</si>
  <si>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</si>
  <si>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</si>
  <si>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</si>
  <si>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</si>
  <si>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</si>
  <si>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</si>
  <si>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</si>
  <si>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</si>
  <si>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</si>
  <si>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</si>
  <si>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</si>
  <si>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</si>
  <si>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</si>
  <si>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</si>
  <si>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</si>
  <si>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</si>
  <si>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</si>
  <si>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</si>
  <si>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</si>
  <si>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</si>
  <si>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</si>
  <si>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</si>
  <si>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</si>
  <si>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</si>
  <si>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</si>
  <si>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</si>
  <si>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</si>
  <si>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</si>
  <si>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</si>
  <si>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</si>
  <si>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</si>
  <si>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</si>
  <si>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</si>
  <si>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</si>
  <si>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</si>
  <si>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</si>
  <si>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</si>
  <si>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</si>
  <si>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</si>
  <si>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</si>
  <si>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</si>
  <si>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</si>
  <si>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</si>
  <si>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</si>
  <si>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</si>
  <si>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</si>
  <si>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</si>
  <si>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</si>
  <si>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</si>
  <si>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</si>
  <si>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</si>
  <si>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</si>
  <si>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</si>
  <si>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</si>
  <si>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</si>
  <si>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</si>
  <si>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</si>
  <si>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</si>
  <si>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</si>
  <si>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</si>
  <si>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</si>
  <si>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</si>
  <si>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</si>
  <si>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</si>
  <si>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</si>
  <si>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</si>
  <si>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</si>
  <si>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</si>
  <si>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</si>
  <si>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</si>
  <si>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</si>
  <si>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</si>
  <si>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</si>
  <si>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</si>
  <si>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</si>
  <si>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</si>
  <si>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</si>
  <si>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</si>
  <si>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</si>
  <si>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</si>
  <si>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</si>
  <si>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</si>
  <si>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</si>
  <si>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</si>
  <si>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</si>
  <si>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</si>
  <si>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</si>
  <si>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</si>
  <si>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</si>
  <si>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</si>
  <si>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</si>
  <si>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</si>
  <si>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</si>
  <si>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</si>
  <si>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</si>
  <si>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</si>
  <si>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</si>
  <si>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</si>
  <si>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</si>
  <si>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</si>
  <si>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</si>
  <si>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</si>
  <si>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</si>
  <si>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</si>
  <si>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</si>
  <si>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</si>
  <si>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</si>
  <si>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</si>
  <si>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</si>
  <si>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</si>
  <si>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</si>
  <si>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</si>
  <si>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</si>
  <si>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</si>
  <si>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</si>
  <si>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</si>
  <si>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</si>
  <si>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</si>
  <si>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</si>
  <si>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</si>
  <si>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</si>
  <si>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</si>
  <si>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</si>
  <si>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</si>
  <si>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</si>
  <si>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</si>
  <si>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</si>
  <si>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</si>
  <si>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</si>
  <si>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</si>
  <si>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</si>
  <si>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</si>
  <si>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</si>
  <si>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</si>
  <si>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</si>
  <si>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</si>
  <si>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</si>
  <si>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</si>
  <si>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</si>
  <si>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</si>
  <si>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</si>
  <si>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</si>
  <si>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</si>
  <si>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</si>
  <si>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</si>
  <si>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</si>
  <si>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</si>
  <si>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</si>
  <si>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</si>
  <si>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</si>
  <si>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</si>
  <si>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</si>
  <si>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</si>
  <si>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</si>
  <si>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</si>
  <si>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</si>
  <si>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</si>
  <si>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</si>
  <si>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</si>
  <si>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</si>
  <si>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</si>
  <si>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</si>
  <si>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</si>
  <si>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</si>
  <si>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</si>
  <si>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</si>
  <si>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</si>
  <si>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</si>
  <si>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</si>
  <si>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</si>
  <si>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</si>
  <si>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</si>
  <si>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</si>
  <si>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</si>
  <si>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</si>
  <si>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</si>
  <si>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</si>
  <si>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</si>
  <si>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</si>
  <si>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</si>
  <si>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</si>
  <si>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</si>
  <si>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</si>
  <si>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</si>
  <si>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</si>
  <si>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</si>
  <si>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</si>
  <si>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</si>
  <si>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</si>
  <si>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</si>
  <si>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</si>
  <si>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</si>
  <si>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</si>
  <si>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</si>
  <si>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</si>
  <si>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</si>
  <si>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</si>
  <si>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</si>
  <si>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</si>
  <si>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</si>
  <si>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</si>
  <si>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</si>
  <si>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</si>
  <si>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</si>
  <si>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</si>
  <si>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</si>
  <si>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</si>
  <si>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</si>
  <si>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</si>
  <si>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</si>
  <si>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</si>
  <si>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</si>
  <si>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</si>
  <si>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</si>
  <si>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</si>
  <si>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</si>
  <si>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</si>
  <si>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</si>
  <si>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</si>
  <si>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</si>
  <si>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</si>
  <si>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</si>
  <si>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</si>
  <si>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</si>
  <si>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</si>
  <si>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</si>
  <si>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</si>
  <si>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</si>
  <si>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</si>
  <si>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</si>
  <si>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</si>
  <si>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</si>
  <si>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</si>
  <si>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</si>
  <si>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</si>
  <si>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</si>
  <si>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</si>
  <si>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</si>
  <si>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</si>
  <si>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</si>
  <si>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</si>
  <si>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</si>
  <si>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</si>
  <si>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</si>
  <si>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</si>
  <si>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</si>
  <si>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</si>
  <si>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</si>
  <si>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</si>
  <si>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</si>
  <si>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</si>
  <si>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</si>
  <si>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</si>
  <si>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</si>
  <si>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</si>
  <si>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</si>
  <si>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</si>
  <si>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</si>
  <si>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</si>
  <si>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</si>
  <si>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</si>
  <si>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</si>
  <si>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</si>
  <si>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</si>
  <si>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</si>
  <si>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</si>
  <si>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</si>
  <si>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</si>
  <si>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</si>
  <si>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</si>
  <si>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</si>
  <si>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</si>
  <si>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</si>
  <si>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</si>
  <si>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</si>
  <si>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</si>
  <si>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</si>
  <si>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</si>
  <si>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</si>
  <si>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</si>
  <si>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</si>
  <si>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</si>
  <si>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</si>
  <si>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</si>
  <si>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</si>
  <si>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</si>
  <si>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</si>
  <si>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</si>
  <si>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</si>
  <si>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</si>
  <si>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</si>
  <si>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</si>
  <si>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</si>
  <si>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</si>
  <si>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</si>
  <si>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</si>
  <si>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</si>
  <si>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</si>
  <si>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</si>
  <si>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</si>
  <si>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</si>
  <si>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</si>
  <si>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</si>
  <si>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</si>
  <si>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</si>
  <si>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</si>
  <si>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</si>
  <si>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</si>
  <si>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</si>
  <si>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</si>
  <si>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</si>
  <si>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</si>
  <si>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</si>
  <si>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</si>
  <si>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</si>
  <si>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</si>
  <si>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</si>
  <si>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</si>
  <si>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</si>
  <si>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</si>
  <si>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</si>
  <si>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</si>
  <si>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</si>
  <si>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</si>
  <si>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</si>
  <si>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</si>
  <si>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</si>
  <si>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</si>
  <si>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</si>
  <si>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</si>
  <si>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</si>
  <si>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</si>
  <si>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</si>
  <si>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</si>
  <si>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</si>
  <si>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</si>
  <si>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</si>
  <si>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</si>
  <si>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</si>
  <si>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</si>
  <si>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</si>
  <si>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</si>
  <si>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</si>
  <si>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</si>
  <si>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</si>
  <si>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</si>
  <si>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</si>
  <si>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</si>
  <si>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</si>
  <si>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</si>
  <si>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</si>
  <si>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</si>
  <si>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</si>
  <si>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</si>
  <si>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</si>
  <si>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</si>
  <si>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</si>
  <si>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</si>
  <si>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</si>
  <si>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</si>
  <si>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</si>
  <si>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</si>
  <si>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</si>
  <si>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</si>
  <si>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</si>
  <si>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</si>
  <si>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</si>
  <si>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</si>
  <si>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</si>
  <si>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</si>
  <si>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</si>
  <si>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</si>
  <si>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</si>
  <si>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</si>
  <si>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</si>
  <si>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</si>
  <si>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</si>
  <si>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</si>
  <si>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</si>
  <si>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</si>
  <si>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</si>
  <si>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</si>
  <si>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</si>
  <si>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</si>
  <si>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</si>
  <si>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</si>
  <si>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</si>
  <si>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</si>
  <si>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</si>
  <si>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</si>
  <si>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</si>
  <si>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</si>
  <si>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</si>
  <si>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</si>
  <si>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</si>
  <si>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</si>
  <si>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</si>
  <si>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</si>
  <si>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</si>
  <si>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</si>
  <si>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</si>
  <si>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</si>
  <si>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</si>
  <si>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</si>
  <si>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</si>
  <si>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</si>
  <si>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</si>
  <si>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</si>
  <si>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</si>
  <si>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</si>
  <si>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</si>
  <si>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</si>
  <si>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</si>
  <si>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</si>
  <si>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</si>
  <si>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</si>
  <si>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</si>
  <si>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</si>
  <si>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</si>
  <si>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</si>
  <si>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</si>
  <si>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</si>
  <si>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</si>
  <si>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</si>
  <si>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</si>
  <si>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</si>
  <si>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</si>
  <si>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</si>
  <si>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</si>
  <si>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</si>
  <si>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</si>
  <si>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</si>
  <si>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</si>
  <si>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</si>
  <si>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</si>
  <si>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</si>
  <si>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</si>
  <si>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</si>
  <si>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</si>
  <si>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</si>
  <si>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</si>
  <si>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</si>
  <si>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</si>
  <si>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</si>
  <si>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</si>
  <si>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</si>
  <si>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</si>
  <si>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</si>
  <si>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</si>
  <si>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</si>
  <si>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</si>
  <si>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</si>
  <si>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</si>
  <si>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</si>
  <si>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</si>
  <si>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</si>
  <si>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</si>
  <si>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</si>
  <si>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</si>
  <si>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</si>
  <si>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</si>
  <si>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</si>
  <si>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</si>
  <si>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</si>
  <si>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</si>
  <si>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</si>
  <si>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</si>
  <si>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</si>
  <si>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</si>
  <si>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</si>
  <si>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</si>
  <si>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</si>
  <si>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</si>
  <si>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</si>
  <si>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</si>
  <si>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</si>
  <si>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</si>
  <si>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</si>
  <si>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</si>
  <si>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</si>
  <si>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</si>
  <si>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</si>
  <si>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</si>
  <si>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</si>
  <si>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</si>
  <si>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</si>
  <si>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</si>
  <si>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</si>
  <si>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</si>
  <si>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</si>
  <si>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</si>
  <si>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</si>
  <si>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</si>
  <si>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</si>
  <si>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</si>
  <si>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</si>
  <si>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</si>
  <si>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</si>
  <si>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</si>
  <si>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</si>
  <si>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</si>
  <si>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</si>
  <si>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</si>
  <si>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</si>
  <si>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</si>
  <si>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</si>
  <si>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</si>
  <si>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</si>
  <si>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</si>
  <si>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</si>
  <si>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</si>
  <si>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</si>
  <si>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</si>
  <si>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</si>
  <si>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</si>
  <si>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</si>
  <si>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</si>
  <si>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</si>
  <si>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</si>
  <si>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</si>
  <si>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</si>
  <si>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</si>
  <si>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</si>
  <si>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</si>
  <si>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</si>
  <si>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</si>
  <si>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</si>
  <si>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</si>
  <si>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</si>
  <si>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</si>
  <si>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</si>
  <si>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</si>
  <si>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</si>
  <si>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</si>
  <si>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</si>
  <si>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</si>
  <si>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</si>
  <si>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</si>
  <si>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</si>
  <si>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</si>
  <si>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</si>
  <si>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</si>
  <si>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</si>
  <si>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</si>
  <si>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</si>
  <si>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</si>
  <si>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</si>
  <si>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</si>
  <si>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</si>
  <si>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</si>
  <si>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</si>
  <si>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</si>
  <si>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</si>
  <si>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</si>
  <si>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</si>
  <si>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</si>
  <si>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</si>
  <si>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</si>
  <si>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</si>
  <si>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</si>
  <si>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</si>
  <si>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</si>
  <si>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</si>
  <si>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</si>
  <si>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</si>
  <si>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</si>
  <si>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</si>
  <si>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</si>
  <si>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</si>
  <si>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</si>
  <si>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</si>
  <si>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</si>
  <si>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</si>
  <si>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</si>
  <si>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</si>
  <si>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</si>
  <si>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</si>
  <si>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</si>
  <si>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</si>
  <si>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</si>
  <si>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</si>
  <si>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</si>
  <si>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</si>
  <si>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</si>
  <si>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</si>
  <si>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</si>
  <si>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</si>
  <si>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</si>
  <si>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</si>
  <si>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</si>
  <si>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</si>
  <si>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</si>
  <si>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</si>
  <si>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</si>
  <si>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</si>
  <si>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</si>
  <si>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</si>
  <si>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</si>
  <si>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</si>
  <si>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</si>
  <si>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</si>
  <si>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</si>
  <si>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</si>
  <si>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</si>
  <si>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</si>
  <si>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</si>
  <si>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</si>
  <si>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</si>
  <si>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</si>
  <si>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</si>
  <si>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</si>
  <si>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</si>
  <si>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</si>
  <si>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</si>
  <si>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</si>
  <si>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</si>
  <si>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</si>
  <si>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</si>
  <si>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</si>
  <si>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</si>
  <si>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</si>
  <si>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</si>
  <si>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</si>
  <si>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</si>
  <si>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</si>
  <si>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</si>
  <si>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</si>
  <si>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</si>
  <si>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</si>
  <si>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</si>
  <si>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</si>
  <si>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</si>
  <si>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</si>
  <si>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</si>
  <si>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</si>
  <si>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</si>
  <si>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</si>
  <si>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</si>
  <si>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</si>
  <si>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</si>
  <si>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</si>
  <si>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</si>
  <si>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</si>
  <si>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</si>
  <si>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</si>
  <si>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</si>
  <si>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</si>
  <si>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</si>
  <si>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</si>
  <si>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</si>
  <si>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</si>
  <si>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</si>
  <si>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</si>
  <si>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</si>
  <si>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</si>
  <si>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</si>
  <si>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</si>
  <si>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</si>
  <si>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</si>
  <si>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</si>
  <si>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</si>
  <si>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</si>
  <si>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</si>
  <si>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</si>
  <si>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</si>
  <si>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</si>
  <si>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</si>
  <si>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</si>
  <si>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</si>
  <si>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</si>
  <si>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</si>
  <si>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</si>
  <si>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</si>
  <si>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</si>
  <si>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</si>
  <si>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</si>
  <si>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</si>
  <si>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</si>
  <si>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</si>
  <si>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</si>
  <si>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</si>
  <si>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</si>
  <si>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</si>
  <si>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</si>
  <si>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</si>
  <si>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</si>
  <si>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</si>
  <si>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</si>
  <si>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</si>
  <si>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</si>
  <si>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</si>
  <si>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</si>
  <si>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</si>
  <si>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</si>
  <si>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</si>
  <si>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</si>
  <si>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</si>
  <si>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</si>
  <si>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</si>
  <si>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</si>
  <si>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</si>
  <si>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</si>
  <si>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</si>
  <si>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</si>
  <si>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</si>
  <si>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</si>
  <si>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</si>
  <si>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</si>
  <si>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</si>
  <si>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</si>
  <si>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</si>
  <si>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</si>
  <si>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</si>
  <si>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</si>
  <si>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</si>
  <si>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</si>
  <si>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</si>
  <si>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</si>
  <si>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</si>
  <si>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</si>
  <si>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</si>
  <si>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</si>
  <si>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</si>
  <si>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</si>
  <si>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</si>
  <si>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</si>
  <si>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</si>
  <si>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</si>
  <si>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</si>
  <si>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</si>
  <si>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</si>
  <si>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</si>
  <si>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</si>
  <si>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</si>
  <si>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</si>
  <si>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</si>
  <si>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</si>
  <si>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</si>
  <si>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</si>
  <si>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</si>
  <si>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</si>
  <si>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</si>
  <si>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</si>
  <si>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</si>
  <si>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</si>
  <si>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</si>
  <si>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</si>
  <si>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</si>
  <si>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</si>
  <si>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</si>
  <si>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</si>
  <si>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</si>
  <si>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</si>
  <si>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</si>
  <si>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</si>
  <si>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</si>
  <si>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</si>
  <si>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</si>
  <si>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</si>
  <si>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</si>
  <si>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</si>
  <si>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</si>
  <si>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</si>
  <si>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</si>
  <si>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</si>
  <si>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</si>
  <si>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</si>
  <si>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</si>
  <si>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</si>
  <si>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</si>
  <si>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</si>
  <si>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</si>
  <si>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</si>
  <si>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</si>
  <si>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</si>
  <si>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</si>
  <si>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</si>
  <si>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</si>
  <si>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</si>
  <si>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</si>
  <si>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</si>
  <si>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</si>
  <si>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</si>
  <si>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</si>
  <si>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</si>
  <si>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</si>
  <si>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</si>
  <si>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</si>
  <si>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</si>
  <si>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</si>
  <si>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</si>
  <si>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</si>
  <si>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</si>
  <si>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</si>
  <si>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</si>
  <si>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</si>
  <si>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</si>
  <si>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</si>
  <si>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</si>
  <si>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</si>
  <si>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</si>
  <si>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</si>
  <si>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</si>
  <si>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</si>
  <si>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</si>
  <si>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</si>
  <si>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</si>
  <si>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</si>
  <si>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</si>
  <si>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</si>
  <si>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</si>
  <si>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</si>
  <si>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</si>
  <si>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</si>
  <si>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</si>
  <si>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</si>
  <si>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</si>
  <si>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</si>
  <si>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</si>
  <si>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</si>
  <si>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</si>
  <si>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</si>
  <si>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</si>
  <si>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</si>
  <si>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</si>
  <si>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</si>
  <si>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</si>
  <si>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</si>
  <si>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</si>
  <si>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</si>
  <si>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</si>
  <si>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</si>
  <si>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</si>
  <si>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</si>
  <si>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</si>
  <si>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</si>
  <si>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</si>
  <si>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</si>
  <si>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</si>
  <si>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</si>
  <si>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</si>
  <si>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</si>
  <si>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</si>
  <si>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</si>
  <si>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</si>
  <si>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</si>
  <si>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</si>
  <si>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</si>
  <si>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</si>
  <si>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</si>
  <si>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</si>
  <si>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</si>
  <si>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</si>
  <si>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</si>
  <si>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</si>
  <si>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</si>
  <si>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</si>
  <si>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</si>
  <si>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</si>
  <si>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</si>
  <si>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</si>
  <si>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</si>
  <si>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</si>
  <si>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</si>
  <si>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</si>
  <si>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</si>
  <si>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</si>
  <si>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</si>
  <si>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</si>
  <si>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</si>
  <si>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</si>
  <si>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</si>
  <si>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</si>
  <si>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</si>
  <si>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</si>
  <si>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</si>
  <si>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</si>
  <si>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</si>
  <si>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</si>
  <si>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</si>
  <si>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</si>
  <si>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</si>
  <si>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</si>
  <si>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</si>
  <si>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</si>
  <si>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</si>
  <si>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</si>
  <si>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</si>
  <si>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</si>
  <si>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</si>
  <si>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</si>
  <si>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</si>
  <si>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</si>
  <si>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</si>
  <si>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</si>
  <si>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</si>
  <si>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</si>
  <si>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</si>
  <si>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</si>
  <si>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</si>
  <si>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</si>
  <si>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</si>
  <si>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</si>
  <si>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</si>
  <si>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</si>
  <si>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</si>
  <si>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</si>
  <si>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</si>
  <si>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</si>
  <si>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</si>
  <si>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</si>
  <si>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</si>
  <si>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</si>
  <si>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</si>
  <si>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</si>
  <si>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</si>
  <si>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</si>
  <si>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</si>
  <si>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</si>
  <si>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</si>
  <si>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</si>
  <si>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</si>
  <si>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</si>
  <si>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</si>
  <si>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</si>
  <si>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</si>
  <si>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</si>
  <si>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</si>
  <si>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</si>
  <si>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</si>
  <si>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</si>
  <si>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</si>
  <si>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</si>
  <si>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</si>
  <si>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</si>
  <si>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</si>
  <si>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</si>
  <si>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</si>
  <si>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</si>
  <si>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</si>
  <si>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</si>
  <si>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</si>
  <si>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</si>
  <si>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</si>
  <si>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</si>
  <si>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</si>
  <si>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</si>
  <si>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</si>
  <si>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</si>
  <si>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</si>
  <si>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</si>
  <si>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</si>
  <si>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</si>
  <si>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</si>
  <si>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</si>
  <si>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</si>
  <si>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</si>
  <si>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</si>
  <si>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</si>
  <si>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</si>
  <si>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</si>
  <si>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</si>
  <si>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</si>
  <si>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</si>
  <si>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</si>
  <si>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</si>
  <si>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</si>
  <si>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</si>
  <si>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</si>
  <si>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</si>
  <si>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</si>
  <si>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</si>
  <si>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</si>
  <si>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</si>
  <si>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</si>
  <si>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</si>
  <si>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</si>
  <si>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</si>
  <si>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</si>
  <si>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</si>
  <si>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</si>
  <si>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</si>
  <si>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</si>
  <si>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</si>
  <si>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</si>
  <si>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</si>
  <si>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</si>
  <si>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</si>
  <si>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</si>
  <si>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</si>
  <si>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</si>
  <si>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</si>
  <si>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</si>
  <si>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</si>
  <si>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</si>
  <si>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</si>
  <si>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</si>
  <si>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</si>
  <si>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</si>
  <si>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</si>
  <si>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</si>
  <si>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</si>
  <si>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</si>
  <si>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</si>
  <si>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</si>
  <si>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</si>
  <si>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</si>
  <si>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</si>
  <si>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</si>
  <si>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</si>
  <si>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</si>
  <si>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</si>
  <si>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</si>
  <si>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</si>
  <si>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</si>
  <si>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</si>
  <si>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</si>
  <si>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</si>
  <si>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</si>
  <si>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</si>
  <si>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</si>
  <si>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</si>
  <si>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</si>
  <si>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</si>
  <si>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</si>
  <si>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</si>
  <si>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</si>
  <si>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</si>
  <si>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</si>
  <si>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</si>
  <si>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</si>
  <si>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</si>
  <si>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</si>
  <si>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</si>
  <si>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</si>
  <si>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</si>
  <si>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</si>
  <si>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</si>
  <si>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</si>
  <si>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</si>
  <si>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</si>
  <si>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</si>
  <si>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</si>
  <si>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</si>
  <si>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</si>
  <si>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</si>
  <si>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</si>
  <si>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</si>
  <si>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</si>
  <si>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</si>
  <si>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</si>
  <si>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</si>
  <si>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</si>
  <si>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</si>
  <si>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</si>
  <si>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</si>
  <si>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</si>
  <si>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</si>
  <si>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</si>
  <si>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</si>
  <si>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</si>
  <si>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</si>
  <si>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</si>
  <si>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</si>
  <si>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</si>
  <si>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</si>
  <si>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</si>
  <si>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</si>
  <si>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</si>
  <si>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</si>
  <si>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</si>
  <si>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</si>
  <si>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</si>
  <si>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</si>
  <si>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</si>
  <si>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</si>
  <si>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</si>
  <si>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</si>
  <si>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</si>
  <si>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</si>
  <si>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</si>
  <si>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</si>
  <si>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</si>
  <si>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</si>
  <si>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</si>
  <si>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</si>
  <si>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</si>
  <si>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</si>
  <si>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</si>
  <si>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</si>
  <si>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</si>
  <si>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</si>
  <si>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</si>
  <si>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</si>
  <si>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</si>
  <si>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</si>
  <si>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</si>
  <si>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</si>
  <si>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</si>
  <si>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</si>
  <si>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</si>
  <si>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</si>
  <si>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</si>
  <si>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</si>
  <si>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</si>
  <si>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</si>
  <si>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</si>
  <si>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</si>
  <si>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</si>
  <si>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</si>
  <si>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</si>
  <si>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</si>
  <si>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</si>
  <si>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</si>
  <si>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</si>
  <si>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</si>
  <si>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</si>
  <si>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</si>
  <si>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</si>
  <si>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</si>
  <si>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</si>
  <si>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</si>
  <si>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</si>
  <si>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</si>
  <si>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</si>
  <si>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</si>
  <si>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</si>
  <si>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</si>
  <si>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</si>
  <si>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</si>
  <si>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</si>
  <si>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</si>
  <si>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</si>
  <si>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</si>
  <si>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</si>
  <si>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</si>
  <si>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</si>
  <si>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</si>
  <si>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</si>
  <si>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</si>
  <si>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</si>
  <si>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</si>
  <si>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</si>
  <si>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</si>
  <si>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</si>
  <si>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</si>
  <si>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</si>
  <si>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</si>
  <si>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</si>
  <si>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</si>
  <si>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</si>
  <si>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</si>
  <si>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</si>
  <si>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</si>
  <si>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</si>
  <si>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</si>
  <si>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</si>
  <si>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</si>
  <si>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</si>
  <si>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</si>
  <si>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</si>
  <si>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</si>
  <si>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</si>
  <si>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</si>
  <si>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</si>
  <si>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</si>
  <si>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</si>
  <si>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</si>
  <si>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</si>
  <si>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</si>
  <si>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</si>
  <si>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</si>
  <si>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</si>
  <si>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</si>
  <si>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</si>
  <si>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</si>
  <si>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</si>
  <si>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</si>
  <si>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</si>
  <si>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</si>
  <si>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</si>
  <si>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</si>
  <si>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</si>
  <si>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</si>
  <si>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</si>
  <si>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</si>
  <si>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</si>
  <si>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</si>
  <si>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</si>
  <si>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</si>
  <si>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</si>
  <si>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</si>
  <si>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</si>
  <si>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</si>
  <si>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</si>
  <si>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</si>
  <si>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</si>
  <si>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</si>
  <si>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</si>
  <si>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</si>
  <si>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</si>
  <si>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</si>
  <si>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</si>
  <si>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</si>
  <si>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</si>
  <si>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</si>
  <si>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</si>
  <si>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</si>
  <si>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</si>
  <si>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</si>
  <si>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</si>
  <si>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</si>
  <si>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</si>
  <si>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</si>
  <si>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</si>
  <si>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</si>
  <si>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</si>
  <si>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</si>
  <si>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</si>
  <si>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</si>
  <si>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</si>
  <si>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</si>
  <si>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</si>
  <si>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</si>
  <si>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</si>
  <si>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</si>
  <si>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</si>
  <si>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</si>
  <si>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</si>
  <si>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</si>
  <si>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</si>
  <si>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</si>
  <si>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</si>
  <si>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</si>
  <si>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</si>
  <si>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</si>
  <si>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</si>
  <si>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</si>
  <si>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</si>
  <si>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</si>
  <si>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</si>
  <si>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</si>
  <si>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</si>
  <si>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</si>
  <si>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</si>
  <si>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</si>
  <si>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</si>
  <si>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</si>
  <si>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</si>
  <si>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</si>
  <si>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</si>
  <si>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</si>
  <si>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</si>
  <si>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</si>
  <si>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</si>
  <si>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</si>
  <si>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</si>
  <si>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</si>
  <si>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</si>
  <si>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</si>
  <si>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</si>
  <si>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</si>
  <si>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</si>
  <si>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</si>
  <si>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</si>
  <si>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</si>
  <si>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</si>
  <si>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</si>
  <si>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</si>
  <si>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</si>
  <si>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</si>
  <si>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</si>
  <si>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</si>
  <si>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</si>
  <si>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</si>
  <si>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</si>
  <si>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</si>
  <si>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</si>
  <si>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</si>
  <si>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</si>
  <si>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</si>
  <si>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</si>
  <si>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</si>
  <si>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</si>
  <si>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</si>
  <si>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</si>
  <si>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</si>
  <si>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</si>
  <si>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</si>
  <si>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</si>
  <si>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</si>
  <si>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</si>
  <si>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</si>
  <si>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</si>
  <si>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</si>
  <si>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</si>
  <si>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</si>
  <si>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</si>
  <si>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</si>
  <si>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</si>
  <si>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</si>
  <si>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</si>
  <si>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</si>
  <si>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</si>
  <si>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</si>
  <si>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</si>
  <si>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</si>
  <si>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</si>
  <si>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</si>
  <si>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</si>
  <si>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</si>
  <si>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</si>
  <si>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</si>
  <si>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</si>
  <si>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</si>
  <si>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</si>
  <si>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</si>
  <si>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</si>
  <si>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</si>
  <si>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</si>
  <si>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</si>
  <si>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</si>
  <si>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</si>
  <si>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</si>
  <si>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</si>
  <si>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</si>
  <si>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</si>
  <si>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</si>
  <si>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</si>
  <si>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</si>
  <si>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</si>
  <si>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</si>
  <si>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</si>
  <si>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</si>
  <si>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</si>
  <si>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</si>
  <si>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</si>
  <si>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</si>
  <si>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</si>
  <si>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</si>
  <si>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</si>
  <si>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</si>
  <si>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</si>
  <si>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</si>
  <si>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</si>
  <si>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</si>
  <si>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</si>
  <si>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</si>
  <si>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</si>
  <si>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</si>
  <si>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</si>
  <si>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</si>
  <si>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</si>
  <si>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</si>
  <si>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</si>
  <si>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</si>
  <si>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</si>
  <si>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</si>
  <si>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</si>
  <si>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</si>
  <si>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</si>
  <si>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</si>
  <si>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</si>
  <si>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</si>
  <si>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</si>
  <si>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</si>
  <si>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</si>
  <si>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</si>
  <si>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</si>
  <si>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</si>
  <si>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</si>
  <si>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</si>
  <si>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</si>
  <si>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</si>
  <si>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</si>
  <si>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</si>
  <si>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</si>
  <si>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</si>
  <si>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</si>
  <si>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</si>
  <si>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</si>
  <si>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</si>
  <si>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</si>
  <si>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</si>
  <si>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</si>
  <si>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</si>
  <si>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</si>
  <si>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</si>
  <si>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</si>
  <si>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</si>
  <si>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</si>
  <si>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</si>
  <si>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</si>
  <si>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</si>
  <si>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</si>
  <si>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</si>
  <si>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</si>
  <si>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</si>
  <si>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</si>
  <si>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</si>
  <si>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</si>
  <si>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</si>
  <si>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</si>
  <si>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</si>
  <si>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</si>
  <si>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</si>
  <si>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</si>
  <si>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</si>
  <si>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</si>
  <si>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</si>
  <si>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</si>
  <si>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</si>
  <si>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</si>
  <si>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</si>
  <si>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</si>
  <si>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</si>
  <si>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</si>
  <si>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</si>
  <si>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</si>
  <si>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</si>
  <si>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</si>
  <si>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</si>
  <si>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</si>
  <si>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</si>
  <si>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</si>
  <si>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</si>
  <si>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</si>
  <si>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</si>
  <si>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</si>
  <si>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</si>
  <si>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</si>
  <si>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</si>
  <si>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</si>
  <si>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</si>
  <si>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</si>
  <si>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</si>
  <si>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</si>
  <si>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</si>
  <si>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</si>
  <si>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</si>
  <si>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</si>
  <si>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</si>
  <si>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</si>
  <si>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</si>
  <si>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</si>
  <si>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</si>
  <si>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</si>
  <si>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</si>
  <si>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</si>
  <si>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</si>
  <si>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</si>
  <si>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</si>
  <si>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</si>
  <si>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</si>
  <si>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</si>
  <si>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</si>
  <si>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</si>
  <si>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</si>
  <si>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</si>
  <si>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</si>
  <si>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</si>
  <si>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</si>
  <si>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</si>
  <si>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</si>
  <si>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</si>
  <si>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</si>
  <si>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</si>
  <si>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</si>
  <si>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</si>
  <si>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</si>
  <si>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</si>
  <si>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</si>
  <si>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</si>
  <si>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</si>
  <si>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</si>
  <si>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</si>
  <si>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</si>
  <si>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</si>
  <si>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</si>
  <si>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</si>
  <si>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</si>
  <si>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</si>
  <si>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</si>
  <si>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</si>
  <si>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</si>
  <si>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</si>
  <si>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</si>
  <si>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</si>
  <si>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</si>
  <si>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</si>
  <si>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</si>
  <si>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</si>
  <si>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</si>
  <si>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</si>
  <si>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</si>
  <si>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</si>
  <si>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</si>
  <si>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</si>
  <si>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</si>
  <si>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</si>
  <si>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</si>
  <si>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</si>
  <si>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</si>
  <si>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</si>
  <si>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</si>
  <si>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</si>
  <si>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</si>
  <si>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</si>
  <si>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</si>
  <si>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</si>
  <si>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</si>
  <si>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</si>
  <si>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</si>
  <si>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</si>
  <si>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</si>
  <si>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</si>
  <si>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</si>
  <si>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</si>
  <si>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</si>
  <si>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</si>
  <si>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</si>
  <si>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</si>
  <si>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</si>
  <si>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</si>
  <si>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</si>
  <si>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</si>
  <si>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</si>
  <si>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</si>
  <si>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</si>
  <si>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</si>
  <si>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</si>
  <si>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</si>
  <si>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</si>
  <si>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</si>
  <si>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</si>
  <si>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</si>
  <si>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</si>
  <si>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</si>
  <si>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</si>
  <si>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</si>
  <si>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</si>
  <si>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</si>
  <si>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</si>
  <si>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</si>
  <si>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</si>
  <si>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</si>
  <si>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</si>
  <si>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</si>
  <si>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</si>
  <si>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</si>
  <si>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</si>
  <si>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</si>
  <si>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</si>
  <si>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</si>
  <si>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</si>
  <si>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</si>
  <si>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</si>
  <si>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</si>
  <si>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</si>
  <si>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</si>
  <si>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</si>
  <si>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</si>
  <si>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</si>
  <si>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</si>
  <si>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</si>
  <si>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</si>
  <si>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</si>
  <si>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</si>
  <si>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</si>
  <si>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</si>
  <si>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</si>
  <si>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</si>
  <si>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</si>
  <si>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</si>
  <si>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</si>
  <si>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</si>
  <si>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</si>
  <si>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</si>
  <si>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</si>
  <si>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</si>
  <si>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</si>
  <si>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</si>
  <si>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</si>
  <si>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</si>
  <si>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</si>
  <si>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</si>
  <si>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</si>
  <si>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</si>
  <si>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</si>
  <si>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</si>
  <si>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</si>
  <si>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</si>
  <si>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</si>
  <si>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</si>
  <si>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</si>
  <si>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</si>
  <si>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</si>
  <si>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</si>
  <si>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</si>
  <si>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</si>
  <si>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</si>
  <si>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</si>
  <si>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</si>
  <si>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</si>
  <si>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</si>
  <si>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</si>
  <si>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</si>
  <si>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</si>
  <si>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</si>
  <si>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</si>
  <si>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</si>
  <si>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</si>
  <si>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</si>
  <si>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</si>
  <si>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</si>
  <si>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</si>
  <si>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</si>
  <si>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</si>
  <si>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</si>
  <si>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</si>
  <si>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</si>
  <si>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</si>
  <si>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</si>
  <si>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</si>
  <si>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</si>
  <si>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</si>
  <si>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</si>
  <si>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</si>
  <si>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</si>
  <si>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</si>
  <si>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</si>
  <si>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</si>
  <si>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</si>
  <si>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</si>
  <si>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</si>
  <si>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</si>
  <si>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</si>
  <si>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</si>
  <si>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</si>
  <si>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</si>
  <si>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</si>
  <si>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</si>
  <si>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</si>
  <si>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</si>
  <si>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</si>
  <si>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</si>
  <si>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</si>
  <si>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</si>
  <si>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</si>
  <si>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</si>
  <si>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</si>
  <si>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</si>
  <si>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</si>
  <si>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</si>
  <si>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</si>
  <si>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</si>
  <si>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</si>
  <si>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</si>
  <si>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</si>
  <si>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</si>
  <si>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</si>
  <si>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</si>
  <si>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</si>
  <si>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</si>
  <si>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</si>
  <si>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</si>
  <si>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</si>
  <si>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</si>
  <si>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</si>
  <si>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</si>
  <si>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</si>
  <si>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</si>
  <si>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</si>
  <si>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</si>
  <si>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</si>
  <si>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</si>
  <si>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</si>
  <si>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</si>
  <si>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</si>
  <si>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</si>
  <si>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</si>
  <si>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</si>
  <si>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</si>
  <si>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</si>
  <si>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</si>
  <si>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</si>
  <si>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</si>
  <si>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</si>
  <si>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</si>
  <si>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</si>
  <si>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</si>
  <si>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</si>
  <si>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</si>
  <si>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</si>
  <si>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</si>
  <si>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</si>
  <si>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</si>
  <si>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</si>
  <si>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</si>
  <si>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</si>
  <si>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</si>
  <si>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</si>
  <si>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</si>
  <si>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</si>
  <si>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</si>
  <si>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</si>
  <si>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</si>
  <si>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</si>
  <si>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</si>
  <si>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</si>
  <si>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</si>
  <si>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</si>
  <si>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</si>
  <si>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</si>
  <si>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</si>
  <si>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</si>
  <si>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</si>
  <si>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</si>
  <si>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</si>
  <si>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</si>
  <si>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</si>
  <si>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</si>
  <si>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</si>
  <si>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</si>
  <si>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</si>
  <si>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</si>
  <si>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</si>
  <si>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</si>
  <si>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</si>
  <si>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</si>
  <si>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</si>
  <si>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</si>
  <si>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</si>
  <si>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</si>
  <si>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</si>
  <si>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</si>
  <si>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</si>
  <si>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</si>
  <si>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</si>
  <si>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</si>
  <si>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</si>
  <si>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</si>
  <si>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</si>
  <si>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</si>
  <si>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</si>
  <si>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</si>
  <si>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</si>
  <si>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</si>
  <si>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</si>
  <si>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</si>
  <si>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</si>
  <si>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</si>
  <si>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</si>
  <si>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</si>
  <si>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</si>
  <si>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</si>
  <si>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</si>
  <si>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</si>
  <si>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</si>
  <si>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</si>
  <si>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</si>
  <si>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</si>
  <si>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</si>
  <si>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</si>
  <si>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</si>
  <si>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</si>
  <si>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</si>
  <si>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</si>
  <si>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</si>
  <si>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</si>
  <si>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</si>
  <si>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</si>
  <si>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</si>
  <si>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</si>
  <si>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</si>
  <si>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</si>
  <si>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</si>
  <si>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</si>
  <si>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</si>
  <si>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</si>
  <si>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</si>
  <si>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</si>
  <si>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</si>
  <si>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</si>
  <si>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</si>
  <si>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</si>
  <si>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</si>
  <si>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</si>
  <si>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</si>
  <si>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</si>
  <si>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</si>
  <si>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</si>
  <si>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</si>
  <si>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</si>
  <si>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</si>
  <si>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</si>
  <si>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</si>
  <si>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</si>
  <si>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</si>
  <si>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</si>
  <si>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</si>
  <si>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</si>
  <si>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</si>
  <si>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</si>
  <si>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</si>
  <si>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</si>
  <si>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</si>
  <si>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</si>
  <si>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</si>
  <si>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</si>
  <si>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</si>
  <si>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</si>
  <si>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</si>
  <si>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</si>
  <si>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</si>
  <si>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</si>
  <si>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</si>
  <si>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</si>
  <si>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</si>
  <si>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</si>
  <si>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</si>
  <si>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</si>
  <si>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</si>
  <si>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</si>
  <si>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</si>
  <si>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</si>
  <si>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</si>
  <si>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</si>
  <si>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</si>
  <si>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</si>
  <si>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</si>
  <si>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</si>
  <si>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</si>
  <si>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</si>
  <si>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</si>
  <si>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</si>
  <si>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</si>
  <si>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</si>
  <si>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</si>
  <si>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</si>
  <si>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</si>
  <si>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</si>
  <si>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</si>
  <si>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</si>
  <si>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</si>
  <si>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</si>
  <si>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</si>
  <si>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</si>
  <si>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</si>
  <si>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</si>
  <si>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</si>
  <si>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</si>
  <si>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</si>
  <si>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</si>
  <si>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</si>
  <si>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</si>
  <si>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</si>
  <si>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</si>
  <si>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</si>
  <si>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</si>
  <si>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</si>
  <si>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</si>
  <si>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</si>
  <si>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</si>
  <si>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</si>
  <si>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</si>
  <si>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</si>
  <si>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</si>
  <si>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</si>
  <si>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</si>
  <si>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</si>
  <si>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</si>
  <si>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</si>
  <si>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</si>
  <si>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</si>
  <si>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</si>
  <si>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</si>
  <si>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</si>
  <si>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</si>
  <si>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</si>
  <si>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</si>
  <si>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</si>
  <si>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</si>
  <si>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</si>
  <si>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</si>
  <si>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</si>
  <si>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</si>
  <si>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</si>
  <si>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</si>
  <si>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</si>
  <si>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</si>
  <si>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</si>
  <si>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</si>
  <si>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</si>
  <si>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</si>
  <si>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</si>
  <si>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</si>
  <si>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</si>
  <si>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</si>
  <si>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</si>
  <si>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</si>
  <si>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</si>
  <si>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</si>
  <si>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</si>
  <si>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</si>
  <si>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</si>
  <si>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</si>
  <si>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</si>
  <si>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</si>
  <si>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</si>
  <si>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</si>
  <si>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</si>
  <si>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</si>
  <si>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</si>
  <si>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</si>
  <si>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</si>
  <si>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</si>
  <si>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</si>
  <si>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</si>
  <si>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</si>
  <si>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</si>
  <si>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</si>
  <si>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</si>
  <si>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</si>
  <si>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</si>
  <si>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</si>
  <si>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</si>
  <si>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</si>
  <si>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</si>
  <si>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</si>
  <si>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</si>
  <si>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</si>
  <si>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</si>
  <si>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</si>
  <si>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</si>
  <si>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</si>
  <si>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</si>
  <si>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</si>
  <si>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</si>
  <si>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</si>
  <si>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</si>
  <si>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</si>
  <si>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</si>
  <si>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</si>
  <si>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</si>
  <si>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</si>
  <si>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</si>
  <si>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</si>
  <si>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</si>
  <si>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</si>
  <si>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</si>
  <si>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</si>
  <si>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</si>
  <si>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</si>
  <si>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</si>
  <si>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</si>
  <si>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</si>
  <si>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</si>
  <si>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</si>
  <si>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</si>
  <si>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</si>
  <si>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</si>
  <si>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</si>
  <si>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</si>
  <si>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</si>
  <si>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</si>
  <si>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</si>
  <si>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</si>
  <si>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</si>
  <si>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</si>
  <si>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</si>
  <si>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</si>
  <si>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</si>
  <si>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</si>
  <si>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</si>
  <si>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</si>
  <si>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</si>
  <si>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</si>
  <si>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</si>
  <si>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</si>
  <si>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</si>
  <si>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</si>
  <si>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</si>
  <si>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</si>
  <si>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</si>
  <si>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</si>
  <si>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</si>
  <si>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</si>
  <si>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</si>
  <si>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</si>
  <si>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</si>
  <si>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</si>
  <si>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</si>
  <si>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</si>
  <si>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</si>
  <si>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</si>
  <si>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</si>
  <si>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</si>
  <si>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</si>
  <si>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</si>
  <si>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</si>
  <si>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</si>
  <si>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</si>
  <si>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</si>
  <si>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</si>
  <si>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</si>
  <si>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</si>
  <si>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</si>
  <si>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</si>
  <si>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</si>
  <si>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</si>
  <si>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</si>
  <si>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</si>
  <si>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</si>
  <si>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</si>
  <si>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</si>
  <si>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</si>
  <si>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</si>
  <si>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</si>
  <si>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</si>
  <si>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</si>
  <si>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</si>
  <si>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</si>
  <si>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</si>
  <si>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</si>
  <si>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</si>
  <si>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</si>
  <si>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</si>
  <si>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</si>
  <si>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</si>
  <si>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</si>
  <si>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</si>
  <si>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</si>
  <si>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</si>
  <si>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</si>
  <si>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</si>
  <si>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</si>
  <si>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</si>
  <si>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</si>
  <si>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</si>
  <si>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</si>
  <si>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</si>
  <si>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</si>
  <si>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</si>
  <si>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</si>
  <si>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</si>
  <si>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</si>
  <si>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</si>
  <si>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</si>
  <si>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</si>
  <si>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</si>
  <si>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</si>
  <si>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</si>
  <si>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</si>
  <si>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</si>
  <si>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</si>
  <si>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</si>
  <si>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</si>
  <si>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</si>
  <si>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</si>
  <si>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</si>
  <si>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</si>
  <si>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</si>
  <si>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</si>
  <si>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</si>
  <si>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</si>
  <si>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</si>
  <si>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</si>
  <si>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</si>
  <si>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</si>
  <si>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</si>
  <si>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</si>
  <si>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</si>
  <si>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</si>
  <si>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</si>
  <si>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</si>
  <si>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</si>
  <si>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</si>
  <si>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</si>
  <si>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</si>
  <si>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</si>
  <si>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</si>
  <si>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</si>
  <si>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</si>
  <si>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</si>
  <si>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</si>
  <si>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</si>
  <si>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</si>
  <si>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</si>
  <si>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</si>
  <si>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</si>
  <si>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</si>
  <si>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</si>
  <si>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</si>
  <si>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</si>
  <si>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</si>
  <si>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</si>
  <si>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</si>
  <si>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</si>
  <si>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</si>
  <si>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</si>
  <si>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</si>
  <si>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</si>
  <si>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</si>
  <si>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</si>
  <si>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</si>
  <si>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</si>
  <si>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</si>
  <si>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</si>
  <si>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</si>
  <si>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</si>
  <si>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</si>
  <si>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</si>
  <si>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</si>
  <si>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</si>
  <si>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</si>
  <si>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</si>
  <si>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</si>
  <si>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</si>
  <si>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</si>
  <si>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</si>
  <si>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</si>
  <si>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</si>
  <si>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</si>
  <si>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</si>
  <si>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</si>
  <si>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</si>
  <si>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</si>
  <si>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</si>
  <si>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</si>
  <si>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</si>
  <si>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</si>
  <si>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</si>
  <si>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</si>
  <si>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</si>
  <si>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</si>
  <si>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</si>
  <si>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</si>
  <si>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</si>
  <si>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</si>
  <si>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</si>
  <si>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</si>
  <si>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</si>
  <si>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</si>
  <si>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</si>
  <si>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</si>
  <si>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</si>
  <si>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</si>
  <si>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</si>
  <si>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</si>
  <si>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</si>
  <si>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</si>
  <si>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</si>
  <si>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</si>
  <si>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</si>
  <si>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</si>
  <si>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</si>
  <si>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</si>
  <si>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</si>
  <si>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</si>
  <si>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</si>
  <si>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</si>
  <si>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</si>
  <si>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</si>
  <si>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</si>
  <si>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</si>
  <si>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</si>
  <si>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</si>
  <si>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</si>
  <si>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</si>
  <si>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</si>
  <si>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</si>
  <si>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</si>
  <si>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</si>
  <si>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</si>
  <si>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</si>
  <si>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</si>
  <si>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</si>
  <si>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</si>
  <si>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</si>
  <si>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</si>
  <si>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</si>
  <si>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</si>
  <si>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</si>
  <si>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</si>
  <si>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</si>
  <si>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</si>
  <si>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</si>
  <si>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</si>
  <si>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</si>
  <si>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</si>
  <si>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</si>
  <si>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</si>
  <si>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</si>
  <si>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</si>
  <si>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</si>
  <si>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</si>
  <si>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</si>
  <si>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</si>
  <si>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</si>
  <si>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</si>
  <si>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</si>
  <si>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</si>
  <si>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</si>
  <si>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</si>
  <si>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</si>
  <si>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</si>
  <si>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</si>
  <si>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</si>
  <si>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</si>
  <si>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</si>
  <si>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</si>
  <si>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</si>
  <si>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</si>
  <si>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</si>
  <si>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</si>
  <si>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</si>
  <si>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</si>
  <si>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</si>
  <si>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</si>
  <si>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</si>
  <si>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</si>
  <si>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</si>
  <si>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</si>
  <si>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</si>
  <si>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</si>
  <si>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</si>
  <si>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</si>
  <si>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</si>
  <si>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</si>
  <si>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</si>
  <si>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</si>
  <si>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</si>
  <si>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</si>
  <si>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</si>
  <si>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</si>
  <si>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</si>
  <si>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</si>
  <si>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</si>
  <si>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</si>
  <si>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</si>
  <si>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</si>
  <si>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</si>
  <si>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</si>
  <si>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</si>
  <si>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</si>
  <si>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</si>
  <si>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</si>
  <si>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</si>
  <si>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</si>
  <si>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</si>
  <si>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</si>
  <si>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</si>
  <si>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</si>
  <si>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</si>
  <si>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</si>
  <si>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</si>
  <si>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</si>
  <si>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</si>
  <si>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</si>
  <si>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</si>
  <si>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</si>
  <si>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</si>
  <si>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</si>
  <si>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</si>
  <si>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</si>
  <si>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</si>
  <si>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</si>
  <si>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</si>
  <si>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</si>
  <si>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</si>
  <si>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</si>
  <si>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</si>
  <si>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</si>
  <si>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</si>
  <si>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</si>
  <si>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</si>
  <si>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</si>
  <si>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</si>
  <si>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</si>
  <si>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</si>
  <si>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</si>
  <si>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</si>
  <si>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</si>
  <si>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</si>
  <si>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</si>
  <si>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</si>
  <si>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</si>
  <si>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</si>
  <si>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</si>
  <si>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</si>
  <si>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</si>
  <si>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</si>
  <si>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</si>
  <si>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</si>
  <si>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</si>
  <si>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</si>
  <si>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</si>
  <si>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</si>
  <si>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</si>
  <si>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</si>
  <si>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</si>
  <si>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</si>
  <si>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</si>
  <si>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</si>
  <si>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</si>
  <si>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</si>
  <si>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</si>
  <si>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</si>
  <si>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</si>
  <si>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</si>
  <si>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</si>
  <si>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</si>
  <si>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</si>
  <si>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</si>
  <si>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</si>
  <si>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</si>
  <si>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</si>
  <si>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</si>
  <si>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</si>
  <si>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</si>
  <si>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</si>
  <si>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</si>
  <si>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</si>
  <si>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</si>
  <si>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</si>
  <si>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</si>
  <si>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</si>
  <si>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</si>
  <si>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</si>
  <si>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</si>
  <si>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</si>
  <si>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</si>
  <si>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</si>
  <si>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</si>
  <si>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</si>
  <si>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</si>
  <si>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</si>
  <si>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</si>
  <si>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</si>
  <si>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</si>
  <si>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</si>
  <si>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</si>
  <si>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</si>
  <si>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</si>
  <si>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</si>
  <si>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</si>
  <si>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</si>
  <si>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</si>
  <si>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</si>
  <si>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</si>
  <si>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</si>
  <si>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</si>
  <si>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</si>
  <si>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</si>
  <si>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</si>
  <si>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</si>
  <si>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</si>
  <si>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</si>
  <si>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</si>
  <si>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</si>
  <si>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</si>
  <si>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</si>
  <si>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</si>
  <si>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</si>
  <si>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</si>
  <si>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</si>
  <si>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</si>
  <si>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</si>
  <si>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</si>
  <si>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</si>
  <si>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</si>
  <si>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</si>
  <si>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</si>
  <si>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</si>
  <si>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</si>
  <si>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</si>
  <si>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</si>
  <si>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</si>
  <si>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</si>
  <si>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</si>
  <si>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</si>
  <si>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</si>
  <si>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</si>
  <si>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</si>
  <si>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</si>
  <si>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</si>
  <si>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</si>
  <si>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</si>
  <si>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</si>
  <si>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</si>
  <si>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</si>
  <si>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</si>
  <si>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</si>
  <si>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</si>
  <si>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</si>
  <si>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</si>
  <si>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</si>
  <si>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</si>
  <si>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</si>
  <si>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</si>
  <si>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</si>
  <si>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</si>
  <si>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</si>
  <si>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</si>
  <si>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</si>
  <si>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</si>
  <si>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</si>
  <si>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</si>
  <si>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</si>
  <si>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</si>
  <si>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</si>
  <si>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</si>
  <si>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</si>
  <si>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</si>
  <si>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</si>
  <si>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</si>
  <si>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</si>
  <si>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</si>
  <si>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</si>
  <si>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</si>
  <si>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</si>
  <si>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</si>
  <si>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</si>
  <si>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</si>
  <si>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</si>
  <si>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</si>
  <si>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</si>
  <si>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</si>
  <si>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</si>
  <si>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</si>
  <si>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</si>
  <si>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</si>
  <si>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</si>
  <si>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</si>
  <si>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</si>
  <si>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</si>
  <si>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</si>
  <si>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</si>
  <si>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</si>
  <si>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</si>
  <si>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</si>
  <si>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</si>
  <si>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</si>
  <si>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</si>
  <si>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</si>
  <si>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</si>
  <si>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</si>
  <si>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</si>
  <si>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</si>
  <si>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</si>
  <si>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</si>
  <si>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</si>
  <si>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</si>
  <si>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</si>
  <si>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</si>
  <si>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</si>
  <si>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</si>
  <si>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</si>
  <si>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</si>
  <si>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</si>
  <si>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</si>
  <si>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</si>
  <si>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</si>
  <si>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</si>
  <si>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</si>
  <si>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</si>
  <si>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</si>
  <si>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</si>
  <si>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</si>
  <si>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</si>
  <si>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</si>
  <si>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</si>
  <si>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</si>
  <si>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</si>
  <si>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</si>
  <si>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</si>
  <si>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</si>
  <si>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</si>
  <si>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</si>
  <si>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</si>
  <si>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</si>
  <si>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</si>
  <si>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</si>
  <si>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</si>
  <si>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</si>
  <si>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</si>
  <si>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</si>
  <si>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</si>
  <si>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</si>
  <si>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</si>
  <si>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</si>
  <si>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</si>
  <si>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</si>
  <si>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</si>
  <si>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</si>
  <si>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</si>
  <si>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</si>
  <si>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</si>
  <si>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</si>
  <si>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</si>
  <si>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</si>
  <si>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</si>
  <si>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</si>
  <si>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</si>
  <si>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</si>
  <si>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</si>
  <si>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</si>
  <si>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</si>
  <si>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</si>
  <si>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</si>
  <si>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</si>
  <si>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</si>
  <si>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</si>
  <si>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</si>
  <si>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</si>
  <si>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</si>
  <si>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</si>
  <si>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</si>
  <si>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</si>
  <si>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</si>
  <si>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</si>
  <si>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</si>
  <si>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</si>
  <si>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</si>
  <si>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</si>
  <si>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</si>
  <si>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</si>
  <si>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</si>
  <si>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</si>
  <si>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</si>
  <si>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</si>
  <si>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</si>
  <si>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</si>
  <si>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</si>
  <si>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</si>
  <si>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</si>
  <si>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</si>
  <si>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</si>
  <si>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</si>
  <si>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</si>
  <si>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</si>
  <si>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</si>
  <si>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</si>
  <si>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</si>
  <si>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</si>
  <si>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</si>
  <si>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</si>
  <si>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</si>
  <si>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</si>
  <si>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</si>
  <si>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</si>
  <si>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</si>
  <si>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</si>
  <si>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</si>
  <si>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</si>
  <si>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</si>
  <si>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</si>
  <si>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</si>
  <si>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</si>
  <si>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</si>
  <si>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</si>
  <si>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</si>
  <si>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</si>
  <si>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</si>
  <si>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</si>
  <si>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</si>
  <si>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</si>
  <si>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</si>
  <si>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</si>
  <si>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</si>
  <si>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</si>
  <si>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</si>
  <si>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</si>
  <si>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</si>
  <si>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</si>
  <si>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</si>
  <si>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</si>
  <si>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</si>
  <si>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</si>
  <si>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</si>
  <si>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</si>
  <si>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</si>
  <si>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</si>
  <si>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</si>
  <si>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</si>
  <si>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</si>
  <si>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</si>
  <si>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</si>
  <si>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</si>
  <si>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</si>
  <si>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</si>
  <si>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</si>
  <si>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</si>
  <si>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</si>
  <si>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</si>
  <si>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</si>
  <si>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</si>
  <si>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</si>
  <si>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</si>
  <si>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</si>
  <si>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</si>
  <si>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</si>
  <si>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</si>
  <si>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</si>
  <si>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</si>
  <si>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</si>
  <si>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</si>
  <si>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</si>
  <si>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</si>
  <si>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</si>
  <si>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</si>
  <si>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</si>
  <si>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</si>
  <si>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</si>
  <si>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</si>
  <si>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</si>
  <si>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</si>
  <si>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</si>
  <si>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</si>
  <si>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</si>
  <si>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</si>
  <si>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</si>
  <si>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</si>
  <si>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</si>
  <si>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</si>
  <si>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</si>
  <si>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</si>
  <si>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</si>
  <si>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</si>
  <si>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</si>
  <si>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</si>
  <si>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</si>
  <si>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</si>
  <si>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</si>
  <si>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</si>
  <si>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</si>
  <si>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</si>
  <si>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</si>
  <si>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</si>
  <si>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</si>
  <si>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</si>
  <si>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</si>
  <si>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</si>
  <si>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</si>
  <si>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</si>
  <si>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</si>
  <si>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</si>
  <si>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</si>
  <si>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</si>
  <si>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</si>
  <si>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</si>
  <si>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</si>
  <si>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</si>
  <si>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</si>
  <si>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</si>
  <si>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</si>
  <si>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</si>
  <si>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</si>
  <si>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</si>
  <si>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</si>
  <si>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</si>
  <si>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</si>
  <si>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</si>
  <si>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</si>
  <si>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</si>
  <si>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</si>
  <si>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</si>
  <si>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</si>
  <si>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</si>
  <si>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</si>
  <si>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</si>
  <si>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</si>
  <si>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</si>
  <si>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</si>
  <si>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</si>
  <si>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</si>
  <si>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</si>
  <si>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</si>
  <si>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</si>
  <si>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</si>
  <si>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</si>
  <si>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</si>
  <si>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</si>
  <si>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</si>
  <si>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</si>
  <si>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</si>
  <si>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</si>
  <si>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</si>
  <si>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</si>
  <si>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</si>
  <si>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</si>
  <si>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</si>
  <si>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</si>
  <si>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</si>
  <si>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</si>
  <si>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</si>
  <si>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</si>
  <si>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</si>
  <si>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</si>
  <si>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</si>
  <si>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</si>
  <si>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</si>
  <si>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</si>
  <si>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</si>
  <si>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</si>
  <si>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</si>
  <si>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</si>
  <si>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</si>
  <si>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</si>
  <si>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</si>
  <si>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</si>
  <si>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</si>
  <si>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</si>
  <si>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</si>
  <si>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</si>
  <si>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</si>
  <si>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</si>
  <si>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</si>
  <si>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</si>
  <si>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</si>
  <si>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</si>
  <si>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</si>
  <si>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</si>
  <si>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</si>
  <si>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</si>
  <si>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</si>
  <si>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</si>
  <si>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</si>
  <si>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</si>
  <si>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</si>
  <si>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</si>
  <si>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</si>
  <si>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</si>
  <si>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</si>
  <si>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</si>
  <si>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</si>
  <si>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</si>
  <si>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</si>
  <si>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</si>
  <si>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</si>
  <si>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</si>
  <si>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</si>
  <si>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</si>
  <si>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</si>
  <si>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</si>
  <si>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</si>
  <si>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</si>
  <si>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</si>
  <si>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</si>
  <si>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</si>
  <si>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</si>
  <si>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</si>
  <si>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</si>
  <si>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</si>
  <si>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</si>
  <si>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</si>
  <si>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</si>
  <si>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</si>
  <si>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</si>
  <si>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</si>
  <si>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</si>
  <si>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</si>
  <si>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</si>
  <si>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</si>
  <si>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</si>
  <si>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</si>
  <si>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</si>
  <si>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</si>
  <si>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</si>
  <si>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</si>
  <si>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</si>
  <si>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</si>
  <si>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</si>
  <si>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</si>
  <si>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</si>
  <si>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</si>
  <si>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</si>
  <si>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</si>
  <si>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</si>
  <si>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</si>
  <si>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</si>
  <si>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</si>
  <si>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</si>
  <si>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</si>
  <si>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</si>
  <si>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</si>
  <si>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</si>
  <si>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</si>
  <si>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</si>
  <si>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</si>
  <si>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</si>
  <si>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</si>
  <si>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</si>
  <si>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</si>
  <si>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</si>
  <si>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</si>
  <si>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</si>
  <si>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</si>
  <si>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</si>
  <si>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</si>
  <si>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</si>
  <si>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</si>
  <si>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</si>
  <si>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梁津</t>
  </si>
  <si>
    <t>鹏瑞利美融加四（北京）置业有限公司</t>
    <phoneticPr fontId="6" type="noConversion"/>
  </si>
  <si>
    <t>抵押</t>
  </si>
  <si>
    <t>房地产抵押价值</t>
  </si>
  <si>
    <t>北京市</t>
  </si>
  <si>
    <t>企业</t>
  </si>
  <si>
    <t>办公、商业及地下车库</t>
    <phoneticPr fontId="6" type="noConversion"/>
  </si>
  <si>
    <t>建设工程规划许可证</t>
    <phoneticPr fontId="6" type="noConversion"/>
  </si>
  <si>
    <t>地上</t>
  </si>
  <si>
    <t>底商</t>
  </si>
  <si>
    <t>地下</t>
  </si>
  <si>
    <t>车库</t>
  </si>
  <si>
    <t>车库—办公</t>
  </si>
  <si>
    <t>商业</t>
    <phoneticPr fontId="7" type="noConversion"/>
  </si>
  <si>
    <t>地下车库</t>
    <phoneticPr fontId="7" type="noConversion"/>
  </si>
  <si>
    <t>工程进度</t>
  </si>
  <si>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</si>
  <si>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</si>
  <si>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</si>
  <si>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</si>
  <si>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</si>
  <si>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</si>
  <si>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</si>
  <si>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</si>
  <si>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</si>
  <si>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</si>
  <si>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</si>
  <si>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</si>
  <si>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</si>
  <si>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</si>
  <si>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</si>
  <si>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</si>
  <si>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</si>
  <si>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</si>
  <si>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</si>
  <si>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</si>
  <si>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</si>
  <si>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</si>
  <si>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</si>
  <si>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</si>
  <si>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</si>
  <si>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</si>
  <si>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</si>
  <si>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</si>
  <si>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</si>
  <si>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</si>
  <si>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</si>
  <si>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</si>
  <si>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</si>
  <si>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</si>
  <si>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</si>
  <si>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</si>
  <si>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</si>
  <si>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</si>
  <si>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</si>
  <si>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</si>
  <si>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</si>
  <si>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</si>
  <si>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</si>
  <si>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</si>
  <si>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</si>
  <si>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</si>
  <si>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</si>
  <si>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</si>
  <si>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</si>
  <si>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</si>
  <si>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</si>
  <si>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</si>
  <si>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</si>
  <si>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</si>
  <si>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</si>
  <si>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</si>
  <si>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</si>
  <si>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</si>
  <si>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</si>
  <si>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</si>
  <si>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</si>
  <si>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</si>
  <si>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</si>
  <si>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</si>
  <si>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</si>
  <si>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</si>
  <si>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</si>
  <si>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</si>
  <si>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</si>
  <si>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</si>
  <si>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</si>
  <si>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</si>
  <si>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</si>
  <si>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</si>
  <si>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</si>
  <si>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</si>
  <si>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</si>
  <si>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</si>
  <si>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</si>
  <si>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</si>
  <si>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</si>
  <si>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</si>
  <si>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</si>
  <si>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</si>
  <si>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</si>
  <si>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</si>
  <si>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</si>
  <si>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</si>
  <si>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</si>
  <si>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</si>
  <si>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</si>
  <si>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</si>
  <si>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</si>
  <si>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</si>
  <si>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</si>
  <si>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</si>
  <si>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</si>
  <si>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</si>
  <si>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</si>
  <si>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</si>
  <si>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</si>
  <si>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</si>
  <si>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</si>
  <si>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</si>
  <si>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</si>
  <si>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</si>
  <si>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</si>
  <si>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</si>
  <si>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</si>
  <si>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</si>
  <si>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</si>
  <si>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</si>
  <si>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</si>
  <si>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</si>
  <si>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</si>
  <si>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</si>
  <si>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</si>
  <si>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</si>
  <si>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</si>
  <si>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</si>
  <si>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</si>
  <si>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</si>
  <si>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</si>
  <si>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</si>
  <si>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</si>
  <si>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</si>
  <si>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</si>
  <si>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</si>
  <si>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</si>
  <si>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</si>
  <si>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</si>
  <si>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</si>
  <si>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</si>
  <si>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</si>
  <si>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</si>
  <si>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</si>
  <si>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</si>
  <si>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</si>
  <si>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</si>
  <si>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</si>
  <si>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</si>
  <si>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2017-1-0902-F02DYGJ1</t>
    <phoneticPr fontId="6" type="noConversion"/>
  </si>
  <si>
    <t>通州区运河西岸Ⅷ-11地块</t>
    <phoneticPr fontId="6" type="noConversion"/>
  </si>
  <si>
    <t>公寓</t>
  </si>
  <si>
    <t>公寓</t>
    <phoneticPr fontId="7" type="noConversion"/>
  </si>
  <si>
    <t>收益法（公寓）</t>
  </si>
  <si>
    <t>收益法（公寓）</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</si>
</sst>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2800</v>
      </c>
      <c r="B1" s="3046" t="s">
        <v>2889</v>
      </c>
    </row>
    <row r="2" spans="1:2" s="3051" customFormat="1" ht="15" thickTop="1">
      <c r="A2" s="3049" t="s">
        <v>2801</v>
      </c>
      <c r="B2" s="3050" t="str">
        <f>'预评函-封皮'!B37:I37</f>
        <v>北京市通州区运河西岸Ⅷ-11地块出让国有建设用地使用权及在建建筑物房地产抵押价值预评估</v>
      </c>
    </row>
    <row r="3" spans="1:2" s="3054" customFormat="1">
      <c r="A3" s="3052" t="s">
        <v>2802</v>
      </c>
      <c r="B3" s="3053" t="str">
        <f>'预评函-封皮'!B40</f>
        <v>鹏瑞利美融加四（北京）置业有限公司</v>
      </c>
    </row>
    <row r="4" spans="1:2" s="3054" customFormat="1">
      <c r="A4" s="3052" t="s">
        <v>2803</v>
      </c>
      <c r="B4" s="3053" t="str">
        <f ca="1">'预评函-封皮'!B46</f>
        <v>王鹏（注册号：1120050019)、梁津（注册号：1119970066)</v>
      </c>
    </row>
    <row r="5" spans="1:2" s="3048" customFormat="1" ht="15" thickBot="1">
      <c r="A5" s="3055" t="s">
        <v>2804</v>
      </c>
      <c r="B5" s="3056" t="str">
        <f>'预评函-封皮'!B49</f>
        <v>康正预评字2017-1-0902-F02DYGJ1号</v>
      </c>
    </row>
    <row r="6" spans="1:2" s="3051" customFormat="1" ht="15" thickTop="1">
      <c r="A6" s="3049" t="s">
        <v>2805</v>
      </c>
      <c r="B6" s="3050" t="str">
        <f>'预评函-1'!A4</f>
        <v>受贵公司委托，我公司对北京市通州区运河西岸Ⅷ-11地块出让国有建设用地使用权及在建建筑物房地产抵押价值进行了预评估。</v>
      </c>
    </row>
    <row r="7" spans="1:2" s="3054" customFormat="1">
      <c r="A7" s="3052" t="s">
        <v>2845</v>
      </c>
      <c r="B7" s="3053" t="str">
        <f>'预评函-1'!A7</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2" s="3054" customFormat="1">
      <c r="A8" s="3052" t="s">
        <v>2846</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2847</v>
      </c>
      <c r="B9" s="3053" t="str">
        <f>'预评函-1'!A10</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0" spans="1:2" s="3054" customFormat="1">
      <c r="A10" s="3052" t="s">
        <v>2848</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2806</v>
      </c>
      <c r="B11" s="3053" t="str">
        <f>'预评函-1'!A13</f>
        <v>为估价委托人在向办理贷款手续过程中，确定房地产抵押贷款额度提供参考依据而评估房地产抵押价值。</v>
      </c>
    </row>
    <row r="12" spans="1:2" s="3054" customFormat="1">
      <c r="A12" s="3052" t="s">
        <v>2807</v>
      </c>
      <c r="B12" s="3053" t="str">
        <f>'预评函-1'!A15</f>
        <v>2017年9月29日（评估专业人员实地查勘之日）</v>
      </c>
    </row>
    <row r="13" spans="1:2" s="3054" customFormat="1">
      <c r="A13" s="3052" t="s">
        <v>2808</v>
      </c>
      <c r="B13" s="3053"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4" customFormat="1">
      <c r="A14" s="3052" t="s">
        <v>2809</v>
      </c>
      <c r="B14" s="3053"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2810</v>
      </c>
      <c r="B15" s="3053" t="str">
        <f>'预评函-1'!A20</f>
        <v>本次估价的“房地产抵押价值”是指估价对象在价值时点的“房地产价值”扣减估价师于价值时点所知悉的法定优先受偿款后的余额。</v>
      </c>
    </row>
    <row r="16" spans="1:2" s="3054" customFormat="1">
      <c r="A16" s="3052" t="s">
        <v>2811</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2812</v>
      </c>
      <c r="B17" s="3053" t="str">
        <f>'预评函-1'!A22</f>
        <v/>
      </c>
    </row>
    <row r="18" spans="1:2" s="3048" customFormat="1" ht="15" thickBot="1">
      <c r="A18" s="3055" t="s">
        <v>2813</v>
      </c>
      <c r="B18" s="3056" t="str">
        <f>'预评函-1'!A24</f>
        <v>本次评估采用的主估价方法为成本法和假设开发法。</v>
      </c>
    </row>
    <row r="19" spans="1:2" s="3051" customFormat="1" ht="15" thickTop="1">
      <c r="A19" s="3049" t="s">
        <v>2814</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2815</v>
      </c>
      <c r="B20" s="3053">
        <f ca="1">'预评函-2'!D5</f>
        <v>115335</v>
      </c>
    </row>
    <row r="21" spans="1:2" s="3054" customFormat="1">
      <c r="A21" s="3052" t="s">
        <v>2816</v>
      </c>
      <c r="B21" s="3053">
        <f ca="1">'预评函-2'!D7</f>
        <v>12027</v>
      </c>
    </row>
    <row r="22" spans="1:2" s="3054" customFormat="1">
      <c r="A22" s="3052" t="s">
        <v>2817</v>
      </c>
      <c r="B22" s="3053" t="str">
        <f ca="1">'预评函-2'!D6</f>
        <v>壹拾壹亿伍仟叁佰叁拾伍万元整</v>
      </c>
    </row>
    <row r="23" spans="1:2" s="3054" customFormat="1">
      <c r="A23" s="3052" t="s">
        <v>2877</v>
      </c>
      <c r="B23" s="3053" t="str">
        <f>'预评函-2'!B8</f>
        <v>2.估价师知悉的法定优先受偿款</v>
      </c>
    </row>
    <row r="24" spans="1:2" s="3054" customFormat="1">
      <c r="A24" s="3052" t="s">
        <v>2883</v>
      </c>
      <c r="B24" s="3053">
        <f>'预评函-2'!D8</f>
        <v>0</v>
      </c>
    </row>
    <row r="25" spans="1:2" s="3054" customFormat="1">
      <c r="A25" s="3052" t="s">
        <v>2818</v>
      </c>
      <c r="B25" s="3053" t="str">
        <f>'预评函-2'!D9</f>
        <v>零元整</v>
      </c>
    </row>
    <row r="26" spans="1:2" s="3054" customFormat="1">
      <c r="A26" s="3052" t="s">
        <v>2819</v>
      </c>
      <c r="B26" s="3053">
        <f>'预评函-2'!D10</f>
        <v>0</v>
      </c>
    </row>
    <row r="27" spans="1:2" s="3054" customFormat="1">
      <c r="A27" s="3052" t="s">
        <v>2820</v>
      </c>
      <c r="B27" s="3053">
        <f>'预评函-2'!D11</f>
        <v>0</v>
      </c>
    </row>
    <row r="28" spans="1:2" s="3054" customFormat="1">
      <c r="A28" s="3052" t="s">
        <v>2821</v>
      </c>
      <c r="B28" s="3053">
        <f>'预评函-2'!D12</f>
        <v>0</v>
      </c>
    </row>
    <row r="29" spans="1:2" s="3054" customFormat="1">
      <c r="A29" s="3052" t="s">
        <v>2881</v>
      </c>
      <c r="B29" s="3053" t="str">
        <f>'预评函-2'!B13</f>
        <v>3.房地产抵押价值</v>
      </c>
    </row>
    <row r="30" spans="1:2" s="3054" customFormat="1">
      <c r="A30" s="3052" t="s">
        <v>2882</v>
      </c>
      <c r="B30" s="3053">
        <f ca="1">'预评函-2'!D13</f>
        <v>115335</v>
      </c>
    </row>
    <row r="31" spans="1:2" s="3054" customFormat="1">
      <c r="A31" s="3052" t="s">
        <v>2856</v>
      </c>
      <c r="B31" s="3053">
        <f ca="1">'预评函-2'!D15</f>
        <v>12027</v>
      </c>
    </row>
    <row r="32" spans="1:2" s="3054" customFormat="1">
      <c r="A32" s="3052" t="s">
        <v>2822</v>
      </c>
      <c r="B32" s="3053" t="str">
        <f ca="1">'预评函-2'!D14</f>
        <v>壹拾壹亿伍仟叁佰叁拾伍万元整</v>
      </c>
    </row>
    <row r="33" spans="1:2" s="3054" customFormat="1">
      <c r="A33" s="3052" t="s">
        <v>2858</v>
      </c>
      <c r="B33" s="3053" t="str">
        <f>'预评函-2'!B16</f>
        <v>——</v>
      </c>
    </row>
    <row r="34" spans="1:2" s="3054" customFormat="1">
      <c r="A34" s="3052" t="s">
        <v>2884</v>
      </c>
      <c r="B34" s="3053" t="str">
        <f>'预评函-2'!D16</f>
        <v>——</v>
      </c>
    </row>
    <row r="35" spans="1:2" s="3054" customFormat="1">
      <c r="A35" s="3052" t="s">
        <v>2857</v>
      </c>
      <c r="B35" s="3053" t="str">
        <f>'预评函-2'!D18</f>
        <v>——</v>
      </c>
    </row>
    <row r="36" spans="1:2" s="3054" customFormat="1">
      <c r="A36" s="3052" t="s">
        <v>2823</v>
      </c>
      <c r="B36" s="3053" t="e">
        <f>'预评函-2'!D17</f>
        <v>#VALUE!</v>
      </c>
    </row>
    <row r="37" spans="1:2" s="3054" customFormat="1">
      <c r="A37" s="3052" t="s">
        <v>2859</v>
      </c>
      <c r="B37" s="3053" t="str">
        <f>'预评函-2'!B19</f>
        <v>——</v>
      </c>
    </row>
    <row r="38" spans="1:2" s="3054" customFormat="1">
      <c r="A38" s="3052" t="s">
        <v>2885</v>
      </c>
      <c r="B38" s="3053" t="str">
        <f>'预评函-2'!D19</f>
        <v>——</v>
      </c>
    </row>
    <row r="39" spans="1:2" s="3054" customFormat="1">
      <c r="A39" s="3052" t="s">
        <v>2824</v>
      </c>
      <c r="B39" s="3053" t="str">
        <f>'预评函-2'!D21</f>
        <v>——</v>
      </c>
    </row>
    <row r="40" spans="1:2" s="3054" customFormat="1">
      <c r="A40" s="3052" t="s">
        <v>2825</v>
      </c>
      <c r="B40" s="3053" t="e">
        <f>'预评函-2'!D20</f>
        <v>#VALUE!</v>
      </c>
    </row>
    <row r="41" spans="1:2" s="3054" customFormat="1">
      <c r="A41" s="3052" t="s">
        <v>2880</v>
      </c>
      <c r="B41" s="3053" t="str">
        <f>'预评函-3'!A4</f>
        <v>北京市通州区运河西岸Ⅷ-11地块出让国有建设用地使用权及在建建筑物房地产</v>
      </c>
    </row>
    <row r="42" spans="1:2" s="3054" customFormat="1">
      <c r="A42" s="3052" t="s">
        <v>2878</v>
      </c>
      <c r="B42" s="3053" t="str">
        <f>'预评函-3'!B2</f>
        <v>建筑面积</v>
      </c>
    </row>
    <row r="43" spans="1:2" s="3054" customFormat="1">
      <c r="A43" s="3052" t="s">
        <v>2879</v>
      </c>
      <c r="B43" s="3053">
        <f>'预评函-3'!B4</f>
        <v>95896.06</v>
      </c>
    </row>
    <row r="44" spans="1:2" s="3054" customFormat="1">
      <c r="A44" s="3052" t="s">
        <v>2855</v>
      </c>
      <c r="B44" s="3053" t="str">
        <f>'预评函-3'!C2</f>
        <v>(分摊)土地面积</v>
      </c>
    </row>
    <row r="45" spans="1:2" s="3054" customFormat="1">
      <c r="A45" s="3052" t="s">
        <v>2826</v>
      </c>
      <c r="B45" s="3053">
        <f>'预评函-3'!C4</f>
        <v>15644.81</v>
      </c>
    </row>
    <row r="46" spans="1:2" s="3054" customFormat="1">
      <c r="A46" s="3052" t="s">
        <v>2853</v>
      </c>
      <c r="B46" s="3053" t="str">
        <f>'预评函-3'!D2</f>
        <v>出让国有建设用地使用权价值</v>
      </c>
    </row>
    <row r="47" spans="1:2" s="3054" customFormat="1">
      <c r="A47" s="3052" t="s">
        <v>2827</v>
      </c>
      <c r="B47" s="3053">
        <f ca="1">'预评函-3'!D4</f>
        <v>107146</v>
      </c>
    </row>
    <row r="48" spans="1:2" s="3054" customFormat="1">
      <c r="A48" s="3052" t="s">
        <v>2828</v>
      </c>
      <c r="B48" s="3053">
        <f ca="1">'预评函-3'!E4</f>
        <v>11173</v>
      </c>
    </row>
    <row r="49" spans="1:2" s="3054" customFormat="1">
      <c r="A49" s="3052" t="s">
        <v>2829</v>
      </c>
      <c r="B49" s="3053" t="str">
        <f ca="1">'预评函-3'!D5</f>
        <v>壹拾亿柒仟壹佰肆拾陆万元整</v>
      </c>
    </row>
    <row r="50" spans="1:2" s="3054" customFormat="1">
      <c r="A50" s="3052" t="s">
        <v>2854</v>
      </c>
      <c r="B50" s="3053" t="str">
        <f>'预评函-3'!F2</f>
        <v>在建建筑物价值</v>
      </c>
    </row>
    <row r="51" spans="1:2" s="3054" customFormat="1">
      <c r="A51" s="3052" t="s">
        <v>2830</v>
      </c>
      <c r="B51" s="3053">
        <f ca="1">'预评函-3'!F4</f>
        <v>8189</v>
      </c>
    </row>
    <row r="52" spans="1:2" s="3054" customFormat="1">
      <c r="A52" s="3052" t="s">
        <v>2831</v>
      </c>
      <c r="B52" s="3053">
        <f ca="1">'预评函-3'!G4</f>
        <v>854</v>
      </c>
    </row>
    <row r="53" spans="1:2" s="3054" customFormat="1">
      <c r="A53" s="3052" t="s">
        <v>2860</v>
      </c>
      <c r="B53" s="3053" t="str">
        <f ca="1">'预评函-3'!F5</f>
        <v>捌仟壹佰捌拾玖万元整</v>
      </c>
    </row>
    <row r="54" spans="1:2" s="3054" customFormat="1">
      <c r="A54" s="3052" t="s">
        <v>2887</v>
      </c>
      <c r="B54" s="3053" t="str">
        <f>'预评函-3'!A8</f>
        <v>房地产抵押价值</v>
      </c>
    </row>
    <row r="55" spans="1:2" s="3054" customFormat="1">
      <c r="A55" s="3052" t="s">
        <v>2861</v>
      </c>
      <c r="B55" s="3053" t="str">
        <f>'预评函-3'!A10</f>
        <v/>
      </c>
    </row>
    <row r="56" spans="1:2" s="3054" customFormat="1">
      <c r="A56" s="3052" t="s">
        <v>2862</v>
      </c>
      <c r="B56" s="3053" t="str">
        <f>'预评函-3'!A12</f>
        <v/>
      </c>
    </row>
    <row r="57" spans="1:2" s="3048" customFormat="1" ht="15" thickBot="1">
      <c r="A57" s="3055" t="s">
        <v>2888</v>
      </c>
      <c r="B57" s="3056" t="str">
        <f>'预评函-3'!A6</f>
        <v>估价师知悉的法定优先受偿款</v>
      </c>
    </row>
    <row r="58" spans="1:2" s="3051" customFormat="1" ht="15" thickTop="1">
      <c r="A58" s="3049" t="s">
        <v>2832</v>
      </c>
      <c r="B58" s="3050" t="str">
        <f>'预评函-4'!A12</f>
        <v>2.本《评估意见函》仅供金融机构进行内部审核使用，不做其他目的之用。</v>
      </c>
    </row>
    <row r="59" spans="1:2" s="3054" customFormat="1">
      <c r="A59" s="3052" t="s">
        <v>2833</v>
      </c>
      <c r="B59" s="3053" t="str">
        <f>'预评函-4'!A13</f>
        <v>3.抵押双方在办理抵押登记手续时，应使用本公司出具的正式《房地产评估报告》，特提醒报告使用者注意。</v>
      </c>
    </row>
    <row r="60" spans="1:2" s="3054" customFormat="1">
      <c r="A60" s="3052" t="s">
        <v>2834</v>
      </c>
      <c r="B60" s="3053" t="str">
        <f>'预评函-4'!A14</f>
        <v>4.本次评估估价师所知悉的法定优先受偿款情况说明如下：</v>
      </c>
    </row>
    <row r="61" spans="1:2" s="3054" customFormat="1">
      <c r="A61" s="3052" t="s">
        <v>2835</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4" customFormat="1">
      <c r="A62" s="3052" t="s">
        <v>2836</v>
      </c>
      <c r="B62" s="3053" t="str">
        <f>'预评函-4'!A16</f>
        <v>（2）根据《工程款支付情况说明》，截至价值时点，估价对象不存在应付未付工程款项。（只要没有施工方盖章的，均“设定”进行表述）</v>
      </c>
    </row>
    <row r="63" spans="1:2" s="3054" customFormat="1">
      <c r="A63" s="3052" t="s">
        <v>2837</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2849</v>
      </c>
      <c r="B64" s="3053" t="str">
        <f>'预评函-4'!A18</f>
        <v>故，本次评估不存在估价师知悉的法定优先受偿款</v>
      </c>
    </row>
    <row r="65" spans="1:2" s="3054" customFormat="1">
      <c r="A65" s="3052" t="s">
        <v>2838</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2839</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2850</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2851</v>
      </c>
      <c r="B68" s="3053" t="str">
        <f>'预评函-4'!A22</f>
        <v>8.其他需特殊说明事项：无（注意调整序号）</v>
      </c>
    </row>
    <row r="69" spans="1:2" s="3048" customFormat="1" ht="15" thickBot="1">
      <c r="A69" s="3055" t="s">
        <v>2840</v>
      </c>
      <c r="B69" s="3057">
        <f>'预评函-4'!C31</f>
        <v>42551</v>
      </c>
    </row>
    <row r="70" spans="1:2" ht="15" thickTop="1">
      <c r="A70" s="3058" t="s">
        <v>2841</v>
      </c>
      <c r="B70" s="3059" t="str">
        <f>'预评函-4'!A4</f>
        <v>王鹏</v>
      </c>
    </row>
    <row r="71" spans="1:2">
      <c r="A71" s="3052" t="s">
        <v>2842</v>
      </c>
      <c r="B71" s="3053">
        <f ca="1">'预评函-4'!B4</f>
        <v>1120050019</v>
      </c>
    </row>
    <row r="72" spans="1:2">
      <c r="A72" s="3052" t="s">
        <v>2843</v>
      </c>
      <c r="B72" s="3061" t="str">
        <f>'预评函-4'!A5</f>
        <v>梁津</v>
      </c>
    </row>
    <row r="73" spans="1:2" s="3048" customFormat="1" ht="15" thickBot="1">
      <c r="A73" s="3055" t="s">
        <v>2844</v>
      </c>
      <c r="B73" s="3056">
        <f ca="1">'预评函-4'!B5</f>
        <v>1119970066</v>
      </c>
    </row>
    <row r="74" spans="1:2" ht="15" thickTop="1">
      <c r="A74" s="3045" t="s">
        <v>2905</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253</v>
      </c>
      <c r="C1" s="1761" t="s">
        <v>1878</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1850</v>
      </c>
      <c r="Q1" s="11" t="s">
        <v>2645</v>
      </c>
      <c r="R1" s="1479" t="s">
        <v>2635</v>
      </c>
      <c r="S1" s="290" t="s">
        <v>266</v>
      </c>
      <c r="T1" s="291" t="s">
        <v>267</v>
      </c>
      <c r="U1" s="290" t="s">
        <v>268</v>
      </c>
      <c r="V1" s="290" t="s">
        <v>269</v>
      </c>
      <c r="W1" s="1479" t="s">
        <v>1853</v>
      </c>
    </row>
    <row r="2" spans="1:23">
      <c r="A2" s="2789" t="s">
        <v>113</v>
      </c>
      <c r="B2" s="2789" t="s">
        <v>576</v>
      </c>
      <c r="C2" s="1762" t="s">
        <v>1879</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5" t="s">
        <v>2639</v>
      </c>
      <c r="S2" s="292" t="s">
        <v>228</v>
      </c>
      <c r="T2" s="292" t="s">
        <v>229</v>
      </c>
      <c r="U2" s="292" t="s">
        <v>228</v>
      </c>
      <c r="V2" s="292" t="s">
        <v>230</v>
      </c>
      <c r="W2" s="292" t="s">
        <v>228</v>
      </c>
    </row>
    <row r="3" spans="1:23">
      <c r="A3" s="2789" t="s">
        <v>575</v>
      </c>
      <c r="B3" s="2790" t="s">
        <v>2681</v>
      </c>
      <c r="C3" s="1763" t="s">
        <v>1880</v>
      </c>
      <c r="D3" s="292" t="s">
        <v>231</v>
      </c>
      <c r="E3" s="292" t="s">
        <v>50</v>
      </c>
      <c r="F3" s="292" t="s">
        <v>232</v>
      </c>
      <c r="G3" s="292">
        <v>50</v>
      </c>
      <c r="H3" s="292" t="s">
        <v>233</v>
      </c>
      <c r="I3" s="292" t="s">
        <v>234</v>
      </c>
      <c r="J3" s="292" t="s">
        <v>235</v>
      </c>
      <c r="K3" s="292" t="s">
        <v>236</v>
      </c>
      <c r="L3" s="292" t="s">
        <v>236</v>
      </c>
      <c r="M3" s="292" t="s">
        <v>236</v>
      </c>
      <c r="N3" s="292" t="s">
        <v>236</v>
      </c>
      <c r="O3" s="292" t="s">
        <v>236</v>
      </c>
      <c r="P3" s="292" t="s">
        <v>236</v>
      </c>
      <c r="Q3" s="292" t="s">
        <v>236</v>
      </c>
      <c r="R3" s="2755" t="s">
        <v>2637</v>
      </c>
      <c r="S3" s="292" t="s">
        <v>236</v>
      </c>
      <c r="T3" s="292" t="s">
        <v>237</v>
      </c>
      <c r="U3" s="292" t="s">
        <v>236</v>
      </c>
      <c r="V3" s="292" t="s">
        <v>238</v>
      </c>
      <c r="W3" s="292" t="s">
        <v>236</v>
      </c>
    </row>
    <row r="4" spans="1:23">
      <c r="A4" s="2789" t="s">
        <v>577</v>
      </c>
      <c r="B4" s="2789" t="s">
        <v>578</v>
      </c>
      <c r="C4" s="1762" t="s">
        <v>1881</v>
      </c>
      <c r="D4" s="292" t="s">
        <v>2045</v>
      </c>
      <c r="E4" s="292" t="s">
        <v>275</v>
      </c>
      <c r="F4" s="292" t="s">
        <v>276</v>
      </c>
      <c r="G4" s="292">
        <v>70</v>
      </c>
      <c r="H4" s="292" t="s">
        <v>277</v>
      </c>
      <c r="I4" s="292" t="s">
        <v>278</v>
      </c>
      <c r="K4" s="292" t="s">
        <v>239</v>
      </c>
      <c r="L4" s="292" t="s">
        <v>239</v>
      </c>
      <c r="M4" s="292" t="s">
        <v>239</v>
      </c>
      <c r="N4" s="292" t="s">
        <v>239</v>
      </c>
      <c r="O4" s="292" t="s">
        <v>239</v>
      </c>
      <c r="P4" s="292" t="s">
        <v>239</v>
      </c>
      <c r="Q4" s="292" t="s">
        <v>239</v>
      </c>
      <c r="R4" s="2755" t="s">
        <v>2640</v>
      </c>
      <c r="S4" s="292" t="s">
        <v>239</v>
      </c>
      <c r="T4" s="292" t="s">
        <v>240</v>
      </c>
      <c r="U4" s="292" t="s">
        <v>239</v>
      </c>
      <c r="W4" s="292" t="s">
        <v>239</v>
      </c>
    </row>
    <row r="5" spans="1:23">
      <c r="A5" s="2789" t="s">
        <v>579</v>
      </c>
      <c r="B5" s="2789" t="s">
        <v>580</v>
      </c>
      <c r="C5" s="1762" t="s">
        <v>1882</v>
      </c>
      <c r="F5" s="292" t="s">
        <v>241</v>
      </c>
      <c r="H5" s="292" t="s">
        <v>242</v>
      </c>
      <c r="I5" s="292" t="s">
        <v>243</v>
      </c>
      <c r="K5" s="292" t="s">
        <v>244</v>
      </c>
      <c r="L5" s="292" t="s">
        <v>244</v>
      </c>
      <c r="M5" s="292" t="s">
        <v>244</v>
      </c>
      <c r="N5" s="292" t="s">
        <v>244</v>
      </c>
      <c r="O5" s="292" t="s">
        <v>244</v>
      </c>
      <c r="P5" s="292" t="s">
        <v>244</v>
      </c>
      <c r="Q5" s="292" t="s">
        <v>244</v>
      </c>
      <c r="R5" s="2755" t="s">
        <v>2641</v>
      </c>
      <c r="S5" s="292" t="s">
        <v>244</v>
      </c>
      <c r="T5" s="292" t="s">
        <v>245</v>
      </c>
      <c r="U5" s="292" t="s">
        <v>244</v>
      </c>
      <c r="W5" s="292" t="s">
        <v>244</v>
      </c>
    </row>
    <row r="6" spans="1:23">
      <c r="A6" s="2789" t="s">
        <v>581</v>
      </c>
      <c r="B6" s="2790" t="s">
        <v>2682</v>
      </c>
      <c r="C6" s="1764" t="s">
        <v>161</v>
      </c>
      <c r="F6" s="292" t="s">
        <v>246</v>
      </c>
      <c r="H6" s="292" t="s">
        <v>247</v>
      </c>
      <c r="I6" s="292" t="s">
        <v>248</v>
      </c>
      <c r="K6" s="292" t="s">
        <v>249</v>
      </c>
      <c r="L6" s="292" t="s">
        <v>249</v>
      </c>
      <c r="M6" s="292" t="s">
        <v>249</v>
      </c>
      <c r="N6" s="292" t="s">
        <v>249</v>
      </c>
      <c r="O6" s="292" t="s">
        <v>249</v>
      </c>
      <c r="P6" s="292" t="s">
        <v>249</v>
      </c>
      <c r="Q6" s="292" t="s">
        <v>249</v>
      </c>
      <c r="R6" s="2755" t="s">
        <v>2642</v>
      </c>
      <c r="S6" s="292" t="s">
        <v>249</v>
      </c>
      <c r="T6" s="292"/>
      <c r="U6" s="292" t="s">
        <v>249</v>
      </c>
      <c r="W6" s="292" t="s">
        <v>249</v>
      </c>
    </row>
    <row r="7" spans="1:23">
      <c r="A7" s="2789" t="s">
        <v>583</v>
      </c>
      <c r="B7" s="2790" t="s">
        <v>2683</v>
      </c>
      <c r="C7" s="1762" t="s">
        <v>162</v>
      </c>
      <c r="F7" s="292" t="s">
        <v>250</v>
      </c>
      <c r="H7" s="292" t="s">
        <v>251</v>
      </c>
      <c r="I7" s="292" t="s">
        <v>252</v>
      </c>
    </row>
    <row r="8" spans="1:23">
      <c r="A8" s="2789" t="s">
        <v>585</v>
      </c>
      <c r="B8" s="2789" t="s">
        <v>582</v>
      </c>
      <c r="C8" s="1762" t="s">
        <v>1883</v>
      </c>
      <c r="F8" s="292" t="s">
        <v>279</v>
      </c>
      <c r="H8" s="292"/>
      <c r="I8" s="292" t="s">
        <v>280</v>
      </c>
    </row>
    <row r="9" spans="1:23">
      <c r="A9" s="2789" t="s">
        <v>587</v>
      </c>
      <c r="B9" s="2789" t="s">
        <v>584</v>
      </c>
      <c r="C9" s="1762" t="s">
        <v>1884</v>
      </c>
      <c r="F9" s="292" t="s">
        <v>281</v>
      </c>
      <c r="H9" s="292"/>
    </row>
    <row r="10" spans="1:23">
      <c r="A10" s="2789" t="s">
        <v>589</v>
      </c>
      <c r="B10" s="2789" t="s">
        <v>586</v>
      </c>
      <c r="C10" s="1762" t="s">
        <v>1885</v>
      </c>
      <c r="F10" s="292" t="s">
        <v>50</v>
      </c>
    </row>
    <row r="11" spans="1:23">
      <c r="A11" s="2789" t="s">
        <v>591</v>
      </c>
      <c r="B11" s="2789" t="s">
        <v>588</v>
      </c>
      <c r="C11" s="1762" t="s">
        <v>1886</v>
      </c>
    </row>
    <row r="12" spans="1:23">
      <c r="A12" s="2789" t="s">
        <v>593</v>
      </c>
      <c r="B12" s="2789" t="s">
        <v>590</v>
      </c>
      <c r="C12" s="1762" t="s">
        <v>1887</v>
      </c>
    </row>
    <row r="13" spans="1:23">
      <c r="A13" s="2789" t="s">
        <v>595</v>
      </c>
      <c r="B13" s="2789" t="s">
        <v>592</v>
      </c>
      <c r="C13" s="1762" t="s">
        <v>1888</v>
      </c>
    </row>
    <row r="14" spans="1:23">
      <c r="A14" s="2789" t="s">
        <v>597</v>
      </c>
      <c r="B14" s="2789" t="s">
        <v>594</v>
      </c>
      <c r="C14" s="292" t="s">
        <v>50</v>
      </c>
    </row>
    <row r="15" spans="1:23">
      <c r="A15" s="2789" t="s">
        <v>598</v>
      </c>
      <c r="B15" s="2789" t="s">
        <v>596</v>
      </c>
      <c r="C15" s="1765"/>
    </row>
    <row r="16" spans="1:23">
      <c r="A16" s="2789" t="s">
        <v>599</v>
      </c>
      <c r="B16" s="2789" t="s">
        <v>1869</v>
      </c>
      <c r="C16" s="1765"/>
    </row>
    <row r="17" spans="1:3">
      <c r="A17" s="2789" t="s">
        <v>600</v>
      </c>
      <c r="B17" s="2789" t="s">
        <v>3232</v>
      </c>
      <c r="C17" s="1765"/>
    </row>
    <row r="18" spans="1:3">
      <c r="A18" s="2789" t="s">
        <v>601</v>
      </c>
      <c r="B18" s="2789" t="s">
        <v>3087</v>
      </c>
      <c r="C18" s="1765"/>
    </row>
    <row r="19" spans="1:3">
      <c r="A19" s="2789" t="s">
        <v>602</v>
      </c>
      <c r="B19" s="2789" t="s">
        <v>3089</v>
      </c>
      <c r="C19" s="1765"/>
    </row>
    <row r="20" spans="1:3">
      <c r="A20" s="2789" t="s">
        <v>603</v>
      </c>
      <c r="B20" s="2789" t="s">
        <v>1870</v>
      </c>
      <c r="C20" s="1765"/>
    </row>
    <row r="21" spans="1:3">
      <c r="A21" s="2789" t="s">
        <v>604</v>
      </c>
      <c r="B21" s="2789" t="s">
        <v>1870</v>
      </c>
      <c r="C21" s="1765"/>
    </row>
    <row r="22" spans="1:3">
      <c r="A22" s="2789" t="s">
        <v>605</v>
      </c>
      <c r="B22" s="2789" t="s">
        <v>1870</v>
      </c>
      <c r="C22" s="1765"/>
    </row>
    <row r="23" spans="1:3">
      <c r="A23" s="2789" t="s">
        <v>606</v>
      </c>
      <c r="B23" s="2789" t="s">
        <v>1870</v>
      </c>
      <c r="C23" s="1765"/>
    </row>
    <row r="24" spans="1:3">
      <c r="A24" s="2789" t="s">
        <v>607</v>
      </c>
      <c r="B24" s="2789" t="s">
        <v>1870</v>
      </c>
      <c r="C24" s="1765"/>
    </row>
    <row r="25" spans="1:3">
      <c r="A25" s="2789" t="s">
        <v>608</v>
      </c>
      <c r="B25" s="2789" t="s">
        <v>1870</v>
      </c>
      <c r="C25" s="1765"/>
    </row>
    <row r="26" spans="1:3">
      <c r="A26" s="2789" t="s">
        <v>609</v>
      </c>
      <c r="B26" s="2789" t="s">
        <v>1870</v>
      </c>
      <c r="C26" s="1765"/>
    </row>
    <row r="27" spans="1:3">
      <c r="A27" s="2789" t="s">
        <v>1870</v>
      </c>
      <c r="B27" s="2789" t="s">
        <v>1870</v>
      </c>
      <c r="C27" s="1765"/>
    </row>
    <row r="28" spans="1:3">
      <c r="A28" s="2789" t="s">
        <v>1870</v>
      </c>
      <c r="B28" s="2789" t="s">
        <v>1870</v>
      </c>
      <c r="C28" s="1765"/>
    </row>
    <row r="29" spans="1:3">
      <c r="A29" s="2789" t="s">
        <v>1870</v>
      </c>
      <c r="B29" s="2789" t="s">
        <v>1870</v>
      </c>
      <c r="C29" s="1765"/>
    </row>
    <row r="30" spans="1:3">
      <c r="A30" s="2789" t="s">
        <v>1870</v>
      </c>
      <c r="B30" s="2789" t="s">
        <v>1870</v>
      </c>
      <c r="C30" s="1765"/>
    </row>
    <row r="31" spans="1:3">
      <c r="A31" s="2789" t="s">
        <v>1870</v>
      </c>
      <c r="B31" s="2789" t="s">
        <v>1870</v>
      </c>
      <c r="C31" s="1765"/>
    </row>
    <row r="32" spans="1:3">
      <c r="A32" s="2789" t="s">
        <v>1870</v>
      </c>
      <c r="B32" s="2789" t="s">
        <v>1870</v>
      </c>
      <c r="C32" s="1765"/>
    </row>
    <row r="33" spans="1:3">
      <c r="A33" s="2789" t="s">
        <v>1870</v>
      </c>
      <c r="B33" s="2789" t="s">
        <v>1870</v>
      </c>
      <c r="C33" s="1765"/>
    </row>
    <row r="34" spans="1:3">
      <c r="A34" s="2789" t="s">
        <v>1870</v>
      </c>
      <c r="B34" s="2789" t="s">
        <v>1870</v>
      </c>
      <c r="C34" s="1765"/>
    </row>
    <row r="35" spans="1:3">
      <c r="A35" s="2789" t="s">
        <v>1870</v>
      </c>
      <c r="B35" s="2789" t="s">
        <v>1870</v>
      </c>
      <c r="C35" s="1765"/>
    </row>
    <row r="36" spans="1:3">
      <c r="A36" s="2789" t="s">
        <v>1870</v>
      </c>
      <c r="B36" s="2789" t="s">
        <v>1870</v>
      </c>
      <c r="C36" s="1765"/>
    </row>
    <row r="37" spans="1:3">
      <c r="A37" s="2789" t="s">
        <v>1870</v>
      </c>
      <c r="B37" s="2789" t="s">
        <v>1870</v>
      </c>
      <c r="C37" s="1765"/>
    </row>
    <row r="38" spans="1:3">
      <c r="A38" s="2789" t="s">
        <v>1870</v>
      </c>
      <c r="B38" s="2789" t="s">
        <v>1870</v>
      </c>
      <c r="C38" s="1765"/>
    </row>
    <row r="39" spans="1:3">
      <c r="A39" s="2789" t="s">
        <v>1870</v>
      </c>
      <c r="B39" s="2789" t="s">
        <v>1870</v>
      </c>
      <c r="C39" s="1765"/>
    </row>
    <row r="40" spans="1:3">
      <c r="A40" s="2789" t="s">
        <v>1870</v>
      </c>
      <c r="B40" s="2789" t="s">
        <v>1870</v>
      </c>
      <c r="C40" s="1765"/>
    </row>
    <row r="41" spans="1:3">
      <c r="A41" s="2789" t="s">
        <v>1870</v>
      </c>
      <c r="B41" s="2789" t="s">
        <v>1870</v>
      </c>
      <c r="C41" s="1765"/>
    </row>
    <row r="42" spans="1:3">
      <c r="A42" s="2789" t="s">
        <v>1870</v>
      </c>
      <c r="B42" s="2789" t="s">
        <v>1870</v>
      </c>
      <c r="C42" s="1765"/>
    </row>
    <row r="43" spans="1:3">
      <c r="A43" s="2789" t="s">
        <v>1870</v>
      </c>
      <c r="B43" s="2789" t="s">
        <v>1870</v>
      </c>
      <c r="C43" s="1765"/>
    </row>
    <row r="44" spans="1:3">
      <c r="A44" s="2789" t="s">
        <v>1870</v>
      </c>
      <c r="B44" s="2789" t="s">
        <v>1870</v>
      </c>
      <c r="C44" s="1765"/>
    </row>
    <row r="45" spans="1:3">
      <c r="A45" s="2789" t="s">
        <v>1870</v>
      </c>
      <c r="B45" s="2789" t="s">
        <v>1870</v>
      </c>
      <c r="C45" s="1765"/>
    </row>
    <row r="46" spans="1:3">
      <c r="A46" s="2789" t="s">
        <v>1870</v>
      </c>
      <c r="B46" s="2789" t="s">
        <v>1870</v>
      </c>
      <c r="C46" s="1765"/>
    </row>
    <row r="47" spans="1:3">
      <c r="A47" s="2789" t="s">
        <v>1870</v>
      </c>
      <c r="B47" s="2789" t="s">
        <v>1870</v>
      </c>
      <c r="C47" s="1765"/>
    </row>
    <row r="48" spans="1:3">
      <c r="A48" s="2789" t="s">
        <v>1870</v>
      </c>
      <c r="B48" s="2789" t="s">
        <v>1870</v>
      </c>
      <c r="C48" s="1765"/>
    </row>
    <row r="49" spans="1:4">
      <c r="A49" s="2789" t="s">
        <v>1870</v>
      </c>
      <c r="B49" s="2789" t="s">
        <v>1870</v>
      </c>
      <c r="C49" s="1765"/>
    </row>
    <row r="50" spans="1:4">
      <c r="A50" s="2789" t="s">
        <v>1870</v>
      </c>
      <c r="B50" s="2789" t="s">
        <v>1870</v>
      </c>
      <c r="C50" s="1765"/>
    </row>
    <row r="51" spans="1:4">
      <c r="A51" s="1945" t="s">
        <v>2012</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2868</v>
      </c>
    </row>
    <row r="52" spans="1:4">
      <c r="A52" s="1945" t="s">
        <v>2015</v>
      </c>
      <c r="B52" s="1945" t="s">
        <v>2016</v>
      </c>
      <c r="C52" s="1160" t="s">
        <v>2017</v>
      </c>
      <c r="D52" s="1160" t="s">
        <v>2018</v>
      </c>
    </row>
    <row r="53" spans="1:4">
      <c r="A53" s="3405" t="s">
        <v>2019</v>
      </c>
      <c r="B53" s="2088"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5"/>
      <c r="B54" s="2088" t="s">
        <v>2021</v>
      </c>
      <c r="C54" s="1160" t="s">
        <v>2865</v>
      </c>
    </row>
    <row r="55" spans="1:4">
      <c r="A55" s="3405"/>
      <c r="B55" s="2088" t="s">
        <v>2022</v>
      </c>
      <c r="C55" s="1160" t="s">
        <v>2866</v>
      </c>
    </row>
    <row r="56" spans="1:4">
      <c r="A56" s="3405"/>
      <c r="B56" s="2088" t="s">
        <v>2023</v>
      </c>
      <c r="C56" s="1160" t="s">
        <v>2876</v>
      </c>
    </row>
    <row r="57" spans="1:4">
      <c r="A57" s="3405"/>
      <c r="B57" s="2088" t="s">
        <v>2024</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2126</v>
      </c>
      <c r="B1" s="3406"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407"/>
      <c r="D1" s="3407"/>
      <c r="E1" s="3407"/>
      <c r="F1" s="3407"/>
      <c r="G1" s="3407"/>
      <c r="H1" s="3407"/>
      <c r="I1" s="3408"/>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1989" t="s">
        <v>2127</v>
      </c>
      <c r="B2" s="1936" t="s">
        <v>3227</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1934" t="s">
        <v>2005</v>
      </c>
      <c r="B3" s="3224">
        <v>43007</v>
      </c>
      <c r="C3" s="1917" t="s">
        <v>2006</v>
      </c>
      <c r="D3" s="3224">
        <f>B3</f>
        <v>43007</v>
      </c>
      <c r="E3" s="1989"/>
      <c r="F3" s="1989"/>
      <c r="G3" s="1989"/>
      <c r="H3" s="1989"/>
      <c r="I3" s="1989"/>
      <c r="J3" s="1989"/>
      <c r="K3" s="2095"/>
      <c r="L3" s="1990"/>
      <c r="M3" s="1990"/>
      <c r="N3" s="1195"/>
      <c r="O3" s="11"/>
      <c r="P3" s="1195"/>
      <c r="Q3" s="1195"/>
      <c r="R3" s="1195"/>
      <c r="S3" s="1194"/>
    </row>
    <row r="4" spans="1:19" ht="18" customHeight="1" thickBot="1">
      <c r="A4" s="1918" t="s">
        <v>2007</v>
      </c>
      <c r="B4" s="1919" t="s">
        <v>3069</v>
      </c>
      <c r="C4" s="1920">
        <f ca="1">SUMIF(注册房地产估价师,B4,估价师及机构信息!B3:B24)</f>
        <v>1120050019</v>
      </c>
      <c r="D4" s="1919" t="s">
        <v>3070</v>
      </c>
      <c r="E4" s="1921">
        <f ca="1">SUMIF(注册房地产估价师,D4,估价师及机构信息!B3:B24)</f>
        <v>1119970066</v>
      </c>
      <c r="F4" s="1919" t="s">
        <v>527</v>
      </c>
      <c r="G4" s="1948">
        <f>SUMIF(注册房地产估价师,F4,估价师及机构信息!B3:B24)</f>
        <v>0</v>
      </c>
      <c r="H4" s="1919" t="s">
        <v>527</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2091</v>
      </c>
      <c r="B5" s="3279" t="s">
        <v>3071</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2092</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2871</v>
      </c>
      <c r="B7" s="3280"/>
      <c r="C7" s="2035"/>
      <c r="D7" s="1996"/>
      <c r="E7" s="1992"/>
      <c r="F7" s="1994"/>
      <c r="G7" s="1994"/>
      <c r="H7" s="1994"/>
      <c r="I7" s="1994"/>
      <c r="J7" s="1994"/>
      <c r="K7" s="2097"/>
      <c r="L7" s="1990"/>
      <c r="M7" s="1990"/>
      <c r="N7" s="1195"/>
      <c r="O7" s="11"/>
      <c r="P7" s="1195"/>
      <c r="Q7" s="1195"/>
      <c r="R7" s="1195"/>
    </row>
    <row r="8" spans="1:19" ht="18" customHeight="1">
      <c r="A8" s="1923" t="s">
        <v>1957</v>
      </c>
      <c r="B8" s="2028" t="s">
        <v>3072</v>
      </c>
      <c r="C8" s="1997"/>
      <c r="D8" s="3409" t="s">
        <v>2014</v>
      </c>
      <c r="E8" s="2029" t="s">
        <v>3073</v>
      </c>
      <c r="F8" s="2030"/>
      <c r="G8" s="1989"/>
      <c r="H8" s="1989"/>
      <c r="I8" s="1989"/>
      <c r="J8" s="1994"/>
      <c r="K8" s="2096"/>
      <c r="L8" s="1990"/>
      <c r="M8" s="1990"/>
      <c r="N8" s="1195"/>
      <c r="O8" s="11"/>
      <c r="P8" s="1195"/>
      <c r="Q8" s="1195"/>
      <c r="R8" s="1195"/>
    </row>
    <row r="9" spans="1:19" ht="18" customHeight="1" thickBot="1">
      <c r="A9" s="1948" t="s">
        <v>1958</v>
      </c>
      <c r="B9" s="1949" t="s">
        <v>3073</v>
      </c>
      <c r="C9" s="1998"/>
      <c r="D9" s="3410"/>
      <c r="E9" s="1949" t="s">
        <v>527</v>
      </c>
      <c r="F9" s="2881"/>
      <c r="G9" s="1993"/>
      <c r="H9" s="1993"/>
      <c r="I9" s="1993"/>
      <c r="J9" s="1994"/>
      <c r="K9" s="2097"/>
      <c r="L9" s="1990"/>
      <c r="M9" s="1990"/>
      <c r="N9" s="1195"/>
      <c r="O9" s="11"/>
      <c r="P9" s="1195"/>
      <c r="Q9" s="1195"/>
      <c r="R9" s="1195"/>
    </row>
    <row r="10" spans="1:19" ht="18" customHeight="1" thickTop="1">
      <c r="A10" s="2003" t="s">
        <v>2063</v>
      </c>
      <c r="B10" s="2049" t="s">
        <v>3074</v>
      </c>
      <c r="C10" s="2031"/>
      <c r="D10" s="1995"/>
      <c r="E10" s="1933" t="s">
        <v>1959</v>
      </c>
      <c r="F10" s="1946" t="s">
        <v>3228</v>
      </c>
      <c r="G10" s="2879"/>
      <c r="H10" s="2880"/>
      <c r="I10" s="1995"/>
      <c r="J10" s="1994"/>
      <c r="K10" s="2097"/>
      <c r="L10" s="1990"/>
      <c r="M10" s="1990"/>
      <c r="N10" s="1195"/>
      <c r="O10" s="11"/>
      <c r="P10" s="1195"/>
      <c r="Q10" s="1195"/>
      <c r="R10" s="1195"/>
    </row>
    <row r="11" spans="1:19" ht="30" customHeight="1">
      <c r="A11" s="1952" t="s">
        <v>2064</v>
      </c>
      <c r="B11" s="2048" t="s">
        <v>3075</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2090</v>
      </c>
      <c r="B12" s="2048" t="s">
        <v>2025</v>
      </c>
      <c r="C12" s="2006" t="s">
        <v>2094</v>
      </c>
      <c r="D12" s="2018" t="s">
        <v>1951</v>
      </c>
      <c r="E12" s="2018" t="s">
        <v>2708</v>
      </c>
      <c r="F12" s="2018" t="s">
        <v>2709</v>
      </c>
      <c r="G12" s="2018" t="s">
        <v>2710</v>
      </c>
      <c r="H12" s="2018" t="s">
        <v>2711</v>
      </c>
      <c r="I12" s="2018" t="s">
        <v>2712</v>
      </c>
      <c r="J12" s="1994"/>
      <c r="K12" s="2097"/>
      <c r="L12" s="1990"/>
      <c r="M12" s="1990"/>
      <c r="N12" s="1195"/>
      <c r="O12" s="11"/>
      <c r="P12" s="1195"/>
      <c r="Q12" s="1195"/>
      <c r="R12" s="1195"/>
    </row>
    <row r="13" spans="1:19" ht="18" customHeight="1">
      <c r="A13" s="2002"/>
      <c r="B13" s="2077"/>
      <c r="C13" s="2078" t="s">
        <v>2093</v>
      </c>
      <c r="D13" s="3223"/>
      <c r="E13" s="3223">
        <v>56018</v>
      </c>
      <c r="F13" s="3223">
        <v>59670</v>
      </c>
      <c r="G13" s="3223">
        <v>59670</v>
      </c>
      <c r="H13" s="3223"/>
      <c r="I13" s="2043"/>
      <c r="J13" s="1994"/>
      <c r="K13" s="2097"/>
      <c r="L13" s="1990"/>
      <c r="M13" s="1990"/>
      <c r="N13" s="1195"/>
      <c r="O13" s="11"/>
      <c r="P13" s="1195"/>
      <c r="Q13" s="1195"/>
      <c r="R13" s="1195"/>
    </row>
    <row r="14" spans="1:19" ht="18" customHeight="1">
      <c r="A14" s="2002"/>
      <c r="B14" s="2077"/>
      <c r="C14" s="2078" t="s">
        <v>2095</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2096</v>
      </c>
      <c r="D15" s="2045" t="str">
        <f>IF(B12="出让",IF(D13="","",ROUNDDOWN(MIN((D13-$D$3)/365,D14),2)),D14)</f>
        <v/>
      </c>
      <c r="E15" s="2045">
        <f>IF(B12="出让",IF(E13="","",ROUNDDOWN(MIN((E13-$D$3)/365,E14),2)),E14)</f>
        <v>35.64</v>
      </c>
      <c r="F15" s="2045">
        <f>IF(B12="出让",IF(F13="","",ROUNDDOWN(MIN((F13-$D$3)/365,F14),2)),F14)</f>
        <v>45.65</v>
      </c>
      <c r="G15" s="2045">
        <f>IF(B12="出让",IF(G13="","",ROUNDDOWN(MIN((G13-$D$3)/365,G14),2)),G14)</f>
        <v>45.65</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2097</v>
      </c>
      <c r="B16" s="3416" t="s">
        <v>3076</v>
      </c>
      <c r="C16" s="3417"/>
      <c r="D16" s="3418"/>
      <c r="E16" s="1950" t="s">
        <v>2026</v>
      </c>
      <c r="F16" s="3419"/>
      <c r="G16" s="3420"/>
      <c r="H16" s="3420"/>
      <c r="I16" s="3421"/>
      <c r="J16" s="1195"/>
      <c r="K16" s="2099"/>
      <c r="L16" s="1229"/>
      <c r="M16" s="1229"/>
      <c r="N16" s="2014"/>
      <c r="O16" s="1229"/>
      <c r="P16" s="2014"/>
      <c r="Q16" s="1195"/>
      <c r="R16" s="1195"/>
    </row>
    <row r="17" spans="1:22" ht="18" customHeight="1">
      <c r="A17" s="2001" t="s">
        <v>1960</v>
      </c>
      <c r="B17" s="1934" t="s">
        <v>1961</v>
      </c>
      <c r="C17" s="2080">
        <f>'数据-汇总表'!E3</f>
        <v>95896.06</v>
      </c>
      <c r="D17" s="1935" t="s">
        <v>1962</v>
      </c>
      <c r="E17" s="3422" t="s">
        <v>3077</v>
      </c>
      <c r="F17" s="3423"/>
      <c r="G17" s="3423"/>
      <c r="H17" s="3423"/>
      <c r="I17" s="3424"/>
      <c r="J17" s="1195"/>
      <c r="K17" s="2688"/>
      <c r="L17" s="1229"/>
      <c r="M17" s="1229"/>
      <c r="N17" s="2014"/>
      <c r="O17" s="1229"/>
      <c r="P17" s="2014"/>
      <c r="Q17" s="1195"/>
      <c r="R17" s="1195"/>
      <c r="S17" s="1195"/>
      <c r="T17" s="1195"/>
      <c r="U17" s="1195"/>
      <c r="V17" s="1195"/>
    </row>
    <row r="18" spans="1:22" ht="36" customHeight="1" thickBot="1">
      <c r="A18" s="2887" t="s">
        <v>2704</v>
      </c>
      <c r="B18" s="1918" t="s">
        <v>1963</v>
      </c>
      <c r="C18" s="2888">
        <f>'数据-汇总表'!D3</f>
        <v>15644.81</v>
      </c>
      <c r="D18" s="2889" t="s">
        <v>1962</v>
      </c>
      <c r="E18" s="3425" t="s">
        <v>3014</v>
      </c>
      <c r="F18" s="3426"/>
      <c r="G18" s="3426"/>
      <c r="H18" s="3426"/>
      <c r="I18" s="3427"/>
      <c r="J18" s="1195"/>
      <c r="K18" s="2688"/>
      <c r="L18" s="1229"/>
      <c r="M18" s="1229"/>
      <c r="N18" s="2014"/>
      <c r="O18" s="1229"/>
      <c r="P18" s="2014"/>
      <c r="Q18" s="1195"/>
      <c r="R18" s="1195"/>
      <c r="S18" s="1195"/>
      <c r="T18" s="1195"/>
      <c r="U18" s="1195"/>
      <c r="V18" s="1195"/>
    </row>
    <row r="19" spans="1:22" ht="37.5" customHeight="1" thickTop="1" thickBot="1">
      <c r="A19" s="2886" t="s">
        <v>2043</v>
      </c>
      <c r="B19" s="2054" t="s">
        <v>2044</v>
      </c>
      <c r="C19" s="2055"/>
      <c r="D19" s="2037" t="s">
        <v>2047</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2048</v>
      </c>
      <c r="B20" s="3412" t="s">
        <v>2049</v>
      </c>
      <c r="C20" s="3413"/>
      <c r="D20" s="3414" t="s">
        <v>2050</v>
      </c>
      <c r="E20" s="3415"/>
      <c r="F20" s="2062" t="s">
        <v>2051</v>
      </c>
      <c r="G20" s="1994"/>
      <c r="H20" s="1994"/>
      <c r="I20" s="1994"/>
      <c r="J20" s="1994"/>
      <c r="K20" s="3411" t="s">
        <v>2046</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2052</v>
      </c>
      <c r="C21" s="2026" t="s">
        <v>2053</v>
      </c>
      <c r="D21" s="1983" t="s">
        <v>2056</v>
      </c>
      <c r="E21" s="2027" t="s">
        <v>2053</v>
      </c>
      <c r="F21" s="1972"/>
      <c r="G21" s="1994"/>
      <c r="H21" s="1994"/>
      <c r="I21" s="1994"/>
      <c r="J21" s="1994"/>
      <c r="K21" s="3411"/>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2054</v>
      </c>
      <c r="C22" s="2026" t="s">
        <v>2055</v>
      </c>
      <c r="D22" s="1989"/>
      <c r="E22" s="1989"/>
      <c r="F22" s="2063"/>
      <c r="G22" s="1994"/>
      <c r="H22" s="1994"/>
      <c r="I22" s="1994"/>
      <c r="J22" s="1994"/>
      <c r="K22" s="3411"/>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2057</v>
      </c>
      <c r="B23" s="2059" t="s">
        <v>2058</v>
      </c>
      <c r="C23" s="2060"/>
      <c r="D23" s="1973" t="s">
        <v>2058</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2059</v>
      </c>
      <c r="C24" s="2061"/>
      <c r="D24" s="1971" t="s">
        <v>2059</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2060</v>
      </c>
      <c r="C25" s="2061"/>
      <c r="D25" s="1971" t="s">
        <v>2060</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2061</v>
      </c>
      <c r="C26" s="2065"/>
      <c r="D26" s="2053" t="s">
        <v>2061</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29" t="s">
        <v>2065</v>
      </c>
      <c r="B27" s="2003" t="s">
        <v>2066</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29"/>
      <c r="B28" s="1934" t="s">
        <v>2067</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29"/>
      <c r="B29" s="1934" t="s">
        <v>2068</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30"/>
      <c r="B30" s="1934" t="s">
        <v>2069</v>
      </c>
      <c r="C30" s="3431"/>
      <c r="D30" s="3432"/>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33" t="s">
        <v>2070</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34"/>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34"/>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2027</v>
      </c>
      <c r="B34" s="1954"/>
      <c r="C34" s="1954"/>
      <c r="D34" s="1954"/>
      <c r="E34" s="1954"/>
      <c r="F34" s="1954"/>
      <c r="G34" s="1954"/>
      <c r="H34" s="1954"/>
      <c r="I34" s="1994"/>
      <c r="J34" s="1994"/>
      <c r="K34" s="2876">
        <f>COUNTIF(B34:H34,"——")</f>
        <v>0</v>
      </c>
      <c r="L34" s="2006" t="s">
        <v>2099</v>
      </c>
      <c r="M34" s="2006" t="s">
        <v>2100</v>
      </c>
      <c r="N34" s="2006" t="s">
        <v>2101</v>
      </c>
      <c r="O34" s="2006" t="s">
        <v>2102</v>
      </c>
      <c r="P34" s="2006" t="s">
        <v>2103</v>
      </c>
      <c r="Q34" s="2006" t="s">
        <v>2104</v>
      </c>
      <c r="R34" s="2006" t="s">
        <v>2105</v>
      </c>
      <c r="S34" s="3428" t="s">
        <v>2106</v>
      </c>
      <c r="T34" s="2007" t="str">
        <f>NUMBERSTRING(7-K34,1)&amp;"通"</f>
        <v>七通</v>
      </c>
      <c r="U34" s="1195"/>
      <c r="V34" s="1195"/>
    </row>
    <row r="35" spans="1:22" ht="18" customHeight="1">
      <c r="A35" s="2008"/>
      <c r="B35" s="3435" t="s">
        <v>1876</v>
      </c>
      <c r="C35" s="3435"/>
      <c r="D35" s="3435"/>
      <c r="E35" s="3435"/>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8"/>
      <c r="T35" s="23" t="str">
        <f>IF(T34="一通",L35,IF(T34="二通",M35,IF(T34="三通",N35,IF(T34="四通",O35,IF(T34="五通",P35,IF(T34="六通",Q35,R35))))))</f>
        <v>、、、、、、</v>
      </c>
      <c r="U35" s="1195"/>
      <c r="V35" s="1195"/>
    </row>
    <row r="36" spans="1:22" ht="18" customHeight="1">
      <c r="A36" s="2010"/>
      <c r="B36" s="2009" t="s">
        <v>1956</v>
      </c>
      <c r="C36" s="2009" t="s">
        <v>1952</v>
      </c>
      <c r="D36" s="2009" t="s">
        <v>1951</v>
      </c>
      <c r="E36" s="2009" t="s">
        <v>1953</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1875</v>
      </c>
      <c r="B37" s="2013" t="s">
        <v>1285</v>
      </c>
      <c r="C37" s="2013" t="s">
        <v>1285</v>
      </c>
      <c r="D37" s="2013" t="s">
        <v>1285</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1877</v>
      </c>
      <c r="B38" s="2041" t="s">
        <v>1338</v>
      </c>
      <c r="C38" s="2041" t="s">
        <v>1242</v>
      </c>
      <c r="D38" s="2041"/>
      <c r="E38" s="2041"/>
      <c r="F38" s="2042"/>
      <c r="G38" s="1993"/>
      <c r="H38" s="1993"/>
      <c r="I38" s="1993"/>
      <c r="J38" s="1994"/>
      <c r="K38" s="2097"/>
      <c r="L38" s="1990"/>
      <c r="M38" s="1990"/>
      <c r="N38" s="1195"/>
      <c r="O38" s="11"/>
      <c r="P38" s="1195"/>
      <c r="Q38" s="1195"/>
      <c r="R38" s="1195"/>
      <c r="S38" s="1195"/>
      <c r="T38" s="1195"/>
      <c r="U38" s="1195"/>
      <c r="V38" s="1195"/>
    </row>
    <row r="39" spans="1:22" s="3302" customFormat="1" ht="18" customHeight="1" thickTop="1" thickBot="1">
      <c r="A39" s="3303" t="s">
        <v>3034</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2071</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2072</v>
      </c>
      <c r="B42" s="1980" t="s">
        <v>2073</v>
      </c>
      <c r="C42" s="1980" t="s">
        <v>2074</v>
      </c>
      <c r="D42" s="1980" t="s">
        <v>2075</v>
      </c>
      <c r="E42" s="1980" t="s">
        <v>2076</v>
      </c>
      <c r="F42" s="1980" t="s">
        <v>2077</v>
      </c>
      <c r="G42" s="1980" t="s">
        <v>2078</v>
      </c>
      <c r="H42" s="1980" t="s">
        <v>2079</v>
      </c>
      <c r="I42" s="1980" t="s">
        <v>2080</v>
      </c>
      <c r="J42" s="2093" t="s">
        <v>2081</v>
      </c>
      <c r="K42" s="2018" t="s">
        <v>2082</v>
      </c>
      <c r="L42" s="2018" t="s">
        <v>2083</v>
      </c>
      <c r="M42" s="2018" t="s">
        <v>2084</v>
      </c>
      <c r="N42" s="1980" t="s">
        <v>2085</v>
      </c>
      <c r="O42" s="1980" t="s">
        <v>2086</v>
      </c>
      <c r="P42" s="1980" t="s">
        <v>2087</v>
      </c>
      <c r="Q42" s="2006" t="s">
        <v>2088</v>
      </c>
      <c r="R42" s="2006" t="s">
        <v>2089</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3"/>
      <c r="T43" s="3233"/>
      <c r="U43" s="3233"/>
      <c r="V43" s="3233"/>
    </row>
    <row r="44" spans="1:22" s="2232" customFormat="1" ht="18" customHeight="1">
      <c r="A44" s="1415"/>
      <c r="B44" s="1415"/>
      <c r="C44" s="216"/>
      <c r="D44" s="216"/>
      <c r="E44" s="216"/>
      <c r="F44" s="216"/>
      <c r="G44" s="216"/>
      <c r="H44" s="2"/>
      <c r="I44" s="2"/>
      <c r="J44" s="9"/>
      <c r="K44" s="4"/>
      <c r="L44" s="4"/>
      <c r="M44" s="2"/>
      <c r="N44" s="216"/>
      <c r="O44" s="2"/>
      <c r="P44" s="216"/>
      <c r="Q44" s="216"/>
      <c r="R44" s="216"/>
      <c r="S44" s="3233"/>
      <c r="T44" s="3233"/>
      <c r="U44" s="3233"/>
      <c r="V44" s="3233"/>
    </row>
    <row r="45" spans="1:22" s="2232" customFormat="1" ht="18" customHeight="1">
      <c r="A45" s="1415"/>
      <c r="B45" s="1415"/>
      <c r="C45" s="216"/>
      <c r="D45" s="216"/>
      <c r="E45" s="216"/>
      <c r="F45" s="216"/>
      <c r="G45" s="216"/>
      <c r="H45" s="2"/>
      <c r="I45" s="2"/>
      <c r="J45" s="9"/>
      <c r="K45" s="4"/>
      <c r="L45" s="4"/>
      <c r="M45" s="2"/>
      <c r="N45" s="216"/>
      <c r="O45" s="2"/>
      <c r="P45" s="216"/>
      <c r="Q45" s="216"/>
      <c r="R45" s="216"/>
      <c r="S45" s="3233"/>
      <c r="T45" s="3233"/>
      <c r="U45" s="3233"/>
      <c r="V45" s="3233"/>
    </row>
    <row r="46" spans="1:22" s="2232" customFormat="1" ht="18" customHeight="1">
      <c r="A46" s="1415"/>
      <c r="B46" s="1415"/>
      <c r="C46" s="216"/>
      <c r="D46" s="216"/>
      <c r="E46" s="216"/>
      <c r="F46" s="216"/>
      <c r="G46" s="216"/>
      <c r="H46" s="2"/>
      <c r="I46" s="2"/>
      <c r="J46" s="9"/>
      <c r="K46" s="4"/>
      <c r="L46" s="4"/>
      <c r="M46" s="2"/>
      <c r="N46" s="216"/>
      <c r="O46" s="2"/>
      <c r="P46" s="216"/>
      <c r="Q46" s="216"/>
      <c r="R46" s="216"/>
      <c r="S46" s="3233"/>
      <c r="T46" s="3233"/>
      <c r="U46" s="3233"/>
      <c r="V46" s="3233"/>
    </row>
    <row r="47" spans="1:22" s="2232" customFormat="1" ht="18" customHeight="1">
      <c r="A47" s="1415"/>
      <c r="B47" s="1415"/>
      <c r="C47" s="216"/>
      <c r="D47" s="216"/>
      <c r="E47" s="216"/>
      <c r="F47" s="216"/>
      <c r="G47" s="216"/>
      <c r="H47" s="2"/>
      <c r="I47" s="2"/>
      <c r="J47" s="9"/>
      <c r="K47" s="4"/>
      <c r="L47" s="4"/>
      <c r="M47" s="2"/>
      <c r="N47" s="216"/>
      <c r="O47" s="2"/>
      <c r="P47" s="216"/>
      <c r="Q47" s="216"/>
      <c r="R47" s="216"/>
      <c r="S47" s="3233"/>
      <c r="T47" s="3233"/>
      <c r="U47" s="3233"/>
      <c r="V47" s="3233"/>
    </row>
    <row r="48" spans="1:22" s="2232" customFormat="1" ht="18" customHeight="1">
      <c r="A48" s="1415"/>
      <c r="B48" s="1415"/>
      <c r="C48" s="216"/>
      <c r="D48" s="216"/>
      <c r="E48" s="216"/>
      <c r="F48" s="216"/>
      <c r="G48" s="216"/>
      <c r="H48" s="2"/>
      <c r="I48" s="2"/>
      <c r="J48" s="9"/>
      <c r="K48" s="4"/>
      <c r="L48" s="4"/>
      <c r="M48" s="2"/>
      <c r="N48" s="216"/>
      <c r="O48" s="2"/>
      <c r="P48" s="216"/>
      <c r="Q48" s="216"/>
      <c r="R48" s="216"/>
      <c r="S48" s="3233"/>
      <c r="T48" s="3233"/>
      <c r="U48" s="3233"/>
      <c r="V48" s="3233"/>
    </row>
    <row r="49" spans="1:22" s="2232" customFormat="1" ht="18" customHeight="1">
      <c r="A49" s="1415"/>
      <c r="B49" s="1415"/>
      <c r="C49" s="216"/>
      <c r="D49" s="216"/>
      <c r="E49" s="216"/>
      <c r="F49" s="216"/>
      <c r="G49" s="216"/>
      <c r="H49" s="2"/>
      <c r="I49" s="2"/>
      <c r="J49" s="9"/>
      <c r="K49" s="4"/>
      <c r="L49" s="4"/>
      <c r="M49" s="2"/>
      <c r="N49" s="216"/>
      <c r="O49" s="2"/>
      <c r="P49" s="216"/>
      <c r="Q49" s="216"/>
      <c r="R49" s="216"/>
      <c r="S49" s="3233"/>
      <c r="T49" s="3233"/>
      <c r="U49" s="3233"/>
      <c r="V49" s="3233"/>
    </row>
    <row r="50" spans="1:22" s="2232" customFormat="1" ht="18" customHeight="1">
      <c r="A50" s="1415"/>
      <c r="B50" s="1415"/>
      <c r="C50" s="216"/>
      <c r="D50" s="216"/>
      <c r="E50" s="216"/>
      <c r="F50" s="216"/>
      <c r="G50" s="216"/>
      <c r="H50" s="2"/>
      <c r="I50" s="2"/>
      <c r="J50" s="9"/>
      <c r="K50" s="4"/>
      <c r="L50" s="4"/>
      <c r="M50" s="2"/>
      <c r="N50" s="216"/>
      <c r="O50" s="2"/>
      <c r="P50" s="216"/>
      <c r="Q50" s="216"/>
      <c r="R50" s="216"/>
      <c r="S50" s="3233"/>
      <c r="T50" s="3233"/>
      <c r="U50" s="3233"/>
      <c r="V50" s="3233"/>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2407</v>
      </c>
      <c r="AZ2" s="2512" t="s">
        <v>2408</v>
      </c>
      <c r="BA2" s="2513" t="s">
        <v>2409</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16160</v>
      </c>
      <c r="B3" s="302">
        <f>IF(C3="否",G5-AT5,G5)</f>
        <v>99053.95</v>
      </c>
      <c r="C3" s="219" t="s">
        <v>3056</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99053.95</v>
      </c>
      <c r="H5" s="305">
        <f t="shared" ref="H5:AT5" si="0">SUM(H13:H656)</f>
        <v>86430.56</v>
      </c>
      <c r="I5" s="305">
        <f t="shared" si="0"/>
        <v>28977.16</v>
      </c>
      <c r="J5" s="305">
        <f t="shared" si="0"/>
        <v>0</v>
      </c>
      <c r="K5" s="305">
        <f t="shared" si="0"/>
        <v>25665.52</v>
      </c>
      <c r="L5" s="305">
        <f t="shared" si="0"/>
        <v>0</v>
      </c>
      <c r="M5" s="305">
        <f t="shared" si="0"/>
        <v>13156.32</v>
      </c>
      <c r="N5" s="305">
        <f t="shared" si="0"/>
        <v>0</v>
      </c>
      <c r="O5" s="305">
        <f t="shared" si="0"/>
        <v>18631.559999999998</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9465.5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1966.19</v>
      </c>
      <c r="AM5" s="305">
        <f t="shared" si="0"/>
        <v>0</v>
      </c>
      <c r="AN5" s="305">
        <f t="shared" si="0"/>
        <v>7499.3099999999995</v>
      </c>
      <c r="AO5" s="305">
        <f t="shared" si="0"/>
        <v>0</v>
      </c>
      <c r="AP5" s="305">
        <f t="shared" si="0"/>
        <v>0</v>
      </c>
      <c r="AQ5" s="305">
        <f t="shared" si="0"/>
        <v>0</v>
      </c>
      <c r="AR5" s="305">
        <f t="shared" si="0"/>
        <v>0</v>
      </c>
      <c r="AS5" s="305">
        <f t="shared" si="0"/>
        <v>0</v>
      </c>
      <c r="AT5" s="305">
        <f t="shared" si="0"/>
        <v>3157.8900000000003</v>
      </c>
      <c r="AU5" s="221"/>
      <c r="AV5" s="83" t="s">
        <v>615</v>
      </c>
      <c r="AW5" s="220"/>
      <c r="AX5" s="220"/>
      <c r="AY5" s="306" t="s">
        <v>29</v>
      </c>
      <c r="AZ5" s="307">
        <f t="shared" ref="AZ5:BT5" si="1">SUM(AZ13:AZ656)</f>
        <v>95896.06</v>
      </c>
      <c r="BA5" s="307">
        <f t="shared" si="1"/>
        <v>86430.56</v>
      </c>
      <c r="BB5" s="307">
        <f t="shared" si="1"/>
        <v>28977.16</v>
      </c>
      <c r="BC5" s="307">
        <f t="shared" si="1"/>
        <v>25665.52</v>
      </c>
      <c r="BD5" s="307">
        <f t="shared" si="1"/>
        <v>13156.32</v>
      </c>
      <c r="BE5" s="307">
        <f t="shared" si="1"/>
        <v>18631.559999999998</v>
      </c>
      <c r="BF5" s="307">
        <f t="shared" si="1"/>
        <v>0</v>
      </c>
      <c r="BG5" s="307">
        <f t="shared" si="1"/>
        <v>0</v>
      </c>
      <c r="BH5" s="307">
        <f t="shared" si="1"/>
        <v>0</v>
      </c>
      <c r="BI5" s="307">
        <f t="shared" si="1"/>
        <v>0</v>
      </c>
      <c r="BJ5" s="307">
        <f t="shared" si="1"/>
        <v>0</v>
      </c>
      <c r="BK5" s="307">
        <f t="shared" si="1"/>
        <v>0</v>
      </c>
      <c r="BL5" s="307">
        <f t="shared" si="1"/>
        <v>9465.5</v>
      </c>
      <c r="BM5" s="307">
        <f t="shared" si="1"/>
        <v>0</v>
      </c>
      <c r="BN5" s="307">
        <f t="shared" si="1"/>
        <v>0</v>
      </c>
      <c r="BO5" s="307">
        <f t="shared" si="1"/>
        <v>0</v>
      </c>
      <c r="BP5" s="307">
        <f t="shared" si="1"/>
        <v>0</v>
      </c>
      <c r="BQ5" s="307">
        <f t="shared" si="1"/>
        <v>1966.19</v>
      </c>
      <c r="BR5" s="307">
        <f t="shared" si="1"/>
        <v>7499.3099999999995</v>
      </c>
      <c r="BS5" s="307">
        <f t="shared" si="1"/>
        <v>0</v>
      </c>
      <c r="BT5" s="308">
        <f t="shared" si="1"/>
        <v>0</v>
      </c>
    </row>
    <row r="6" spans="1:72" s="1169" customFormat="1" ht="12.75">
      <c r="A6" s="83" t="s">
        <v>616</v>
      </c>
      <c r="B6" s="223"/>
      <c r="C6" s="223"/>
      <c r="D6" s="224"/>
      <c r="E6" s="305">
        <f>H6+AC6+AT6</f>
        <v>16159.999999999998</v>
      </c>
      <c r="F6" s="305" t="s">
        <v>23</v>
      </c>
      <c r="G6" s="305" t="s">
        <v>25</v>
      </c>
      <c r="H6" s="309">
        <f>SUMIF(I$12:AB$12,"总值",I6:AB6)</f>
        <v>14100.579999999998</v>
      </c>
      <c r="I6" s="305">
        <f t="shared" ref="I6:AB6" si="2">ROUND($A$3*I5/$B$3,2)</f>
        <v>4727.43</v>
      </c>
      <c r="J6" s="305">
        <f t="shared" si="2"/>
        <v>0</v>
      </c>
      <c r="K6" s="305">
        <f t="shared" si="2"/>
        <v>4187.16</v>
      </c>
      <c r="L6" s="305">
        <f t="shared" si="2"/>
        <v>0</v>
      </c>
      <c r="M6" s="305">
        <f t="shared" si="2"/>
        <v>2146.37</v>
      </c>
      <c r="N6" s="305">
        <f t="shared" si="2"/>
        <v>0</v>
      </c>
      <c r="O6" s="305">
        <f t="shared" si="2"/>
        <v>3039.62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1544.23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320.77</v>
      </c>
      <c r="AM6" s="305">
        <f t="shared" si="3"/>
        <v>0</v>
      </c>
      <c r="AN6" s="305">
        <f t="shared" si="3"/>
        <v>1223.46</v>
      </c>
      <c r="AO6" s="305">
        <f t="shared" si="3"/>
        <v>0</v>
      </c>
      <c r="AP6" s="305">
        <f t="shared" si="3"/>
        <v>0</v>
      </c>
      <c r="AQ6" s="305">
        <f t="shared" si="3"/>
        <v>0</v>
      </c>
      <c r="AR6" s="305">
        <f t="shared" si="3"/>
        <v>0</v>
      </c>
      <c r="AS6" s="305">
        <f t="shared" si="3"/>
        <v>0</v>
      </c>
      <c r="AT6" s="309">
        <f>IF(C3="是",ROUND($A$3*AT5/$B$3,2),0)</f>
        <v>515.19000000000005</v>
      </c>
      <c r="AU6" s="225"/>
      <c r="AV6" s="83" t="s">
        <v>616</v>
      </c>
      <c r="AW6" s="223"/>
      <c r="AX6" s="223"/>
      <c r="AY6" s="310">
        <f>IF(AY3&gt;0,AY3,ROUND($A$3*AZ5/$B$3,2))</f>
        <v>15644.81</v>
      </c>
      <c r="AZ6" s="305" t="s">
        <v>29</v>
      </c>
      <c r="BA6" s="305">
        <f>ROUND($AY$6*BA5/$AZ$5,2)</f>
        <v>14100.58</v>
      </c>
      <c r="BB6" s="305">
        <f>ROUND($AY$6*BB5/$AZ$5,2)</f>
        <v>4727.43</v>
      </c>
      <c r="BC6" s="305">
        <f t="shared" ref="BC6:BH6" si="4">ROUND($AY$6*BC5/$AZ$5,2)</f>
        <v>4187.16</v>
      </c>
      <c r="BD6" s="305">
        <f t="shared" si="4"/>
        <v>2146.37</v>
      </c>
      <c r="BE6" s="305">
        <f t="shared" si="4"/>
        <v>3039.62</v>
      </c>
      <c r="BF6" s="305">
        <f t="shared" si="4"/>
        <v>0</v>
      </c>
      <c r="BG6" s="305">
        <f t="shared" si="4"/>
        <v>0</v>
      </c>
      <c r="BH6" s="305">
        <f t="shared" si="4"/>
        <v>0</v>
      </c>
      <c r="BI6" s="305">
        <f t="shared" ref="BI6:BT6" si="5">ROUND($AY$6*BI5/$AZ$5,2)</f>
        <v>0</v>
      </c>
      <c r="BJ6" s="305">
        <f t="shared" si="5"/>
        <v>0</v>
      </c>
      <c r="BK6" s="305">
        <f t="shared" si="5"/>
        <v>0</v>
      </c>
      <c r="BL6" s="305">
        <f t="shared" si="5"/>
        <v>1544.23</v>
      </c>
      <c r="BM6" s="305">
        <f t="shared" si="5"/>
        <v>0</v>
      </c>
      <c r="BN6" s="305">
        <f t="shared" si="5"/>
        <v>0</v>
      </c>
      <c r="BO6" s="305">
        <f t="shared" si="5"/>
        <v>0</v>
      </c>
      <c r="BP6" s="305">
        <f t="shared" si="5"/>
        <v>0</v>
      </c>
      <c r="BQ6" s="305">
        <f t="shared" si="5"/>
        <v>320.77</v>
      </c>
      <c r="BR6" s="305">
        <f t="shared" si="5"/>
        <v>1223.46</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3078</v>
      </c>
      <c r="J9" s="245"/>
      <c r="K9" s="244" t="s">
        <v>3078</v>
      </c>
      <c r="L9" s="245"/>
      <c r="M9" s="244" t="s">
        <v>3080</v>
      </c>
      <c r="N9" s="245"/>
      <c r="O9" s="244" t="s">
        <v>3080</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140</v>
      </c>
      <c r="J10" s="245"/>
      <c r="K10" s="252" t="s">
        <v>3045</v>
      </c>
      <c r="L10" s="245"/>
      <c r="M10" s="252" t="s">
        <v>3045</v>
      </c>
      <c r="N10" s="245"/>
      <c r="O10" s="252" t="s">
        <v>3082</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3229</v>
      </c>
      <c r="J11" s="259"/>
      <c r="K11" s="258" t="s">
        <v>3079</v>
      </c>
      <c r="L11" s="259"/>
      <c r="M11" s="258" t="s">
        <v>3079</v>
      </c>
      <c r="N11" s="259"/>
      <c r="O11" s="258" t="s">
        <v>3081</v>
      </c>
      <c r="P11" s="259"/>
      <c r="Q11" s="258"/>
      <c r="R11" s="259"/>
      <c r="S11" s="258"/>
      <c r="T11" s="259"/>
      <c r="U11" s="258"/>
      <c r="V11" s="259"/>
      <c r="W11" s="258"/>
      <c r="X11" s="259"/>
      <c r="Y11" s="258"/>
      <c r="Z11" s="259"/>
      <c r="AA11" s="258"/>
      <c r="AB11" s="259"/>
      <c r="AC11" s="240"/>
      <c r="AD11" s="2504" t="s">
        <v>2396</v>
      </c>
      <c r="AE11" s="2483"/>
      <c r="AF11" s="2504" t="s">
        <v>2396</v>
      </c>
      <c r="AG11" s="2483"/>
      <c r="AH11" s="2504" t="s">
        <v>2397</v>
      </c>
      <c r="AI11" s="2505"/>
      <c r="AJ11" s="2504" t="s">
        <v>2397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公寓</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3056</v>
      </c>
      <c r="E13" s="305">
        <f>IF($C$3="是",ROUND($A$3*G13/$B$3,2),ROUND($A$3*(G13-AT13)/$B$3,2))</f>
        <v>16160</v>
      </c>
      <c r="F13" s="321"/>
      <c r="G13" s="322">
        <f>H13+AC13+AT13</f>
        <v>99053.95</v>
      </c>
      <c r="H13" s="309">
        <f>SUMIF(I$12:AB$12,"总值",I13:AB13)</f>
        <v>86430.56</v>
      </c>
      <c r="I13" s="1416">
        <v>28977.16</v>
      </c>
      <c r="J13" s="1416"/>
      <c r="K13" s="1416">
        <f>7333.97+3158.06+4405+10768.49</f>
        <v>25665.52</v>
      </c>
      <c r="L13" s="1416"/>
      <c r="M13" s="1416">
        <v>13156.32</v>
      </c>
      <c r="N13" s="1416"/>
      <c r="O13" s="1416">
        <f>21698.32-3066.76</f>
        <v>18631.559999999998</v>
      </c>
      <c r="P13" s="1416"/>
      <c r="Q13" s="1416"/>
      <c r="R13" s="1416"/>
      <c r="S13" s="1416"/>
      <c r="T13" s="1416"/>
      <c r="U13" s="1416"/>
      <c r="V13" s="1416"/>
      <c r="W13" s="1416"/>
      <c r="X13" s="1416"/>
      <c r="Y13" s="1416"/>
      <c r="Z13" s="1416"/>
      <c r="AA13" s="1416"/>
      <c r="AB13" s="1416"/>
      <c r="AC13" s="305">
        <f>SUMIF(AD$12:AS$12,"总值",AD13:AS13)</f>
        <v>9465.5</v>
      </c>
      <c r="AD13" s="1417"/>
      <c r="AE13" s="1417"/>
      <c r="AF13" s="1417"/>
      <c r="AG13" s="1417"/>
      <c r="AH13" s="1417"/>
      <c r="AI13" s="1417"/>
      <c r="AJ13" s="1417"/>
      <c r="AK13" s="1417"/>
      <c r="AL13" s="1417">
        <f>536.35+345.09+358.88+725.87</f>
        <v>1966.19</v>
      </c>
      <c r="AM13" s="1417"/>
      <c r="AN13" s="1417">
        <f>934.99+1307.41+1790.47+3466.44</f>
        <v>7499.3099999999995</v>
      </c>
      <c r="AO13" s="1417"/>
      <c r="AP13" s="1417"/>
      <c r="AQ13" s="1417"/>
      <c r="AR13" s="1417"/>
      <c r="AS13" s="1417"/>
      <c r="AT13" s="1418">
        <f>91.13+3066.76</f>
        <v>3157.8900000000003</v>
      </c>
      <c r="AU13" s="215"/>
      <c r="AV13" s="82">
        <f t="shared" ref="AV13:AX17" si="6">A13</f>
        <v>0</v>
      </c>
      <c r="AW13" s="82">
        <f t="shared" si="6"/>
        <v>0</v>
      </c>
      <c r="AX13" s="82">
        <f t="shared" si="6"/>
        <v>0</v>
      </c>
      <c r="AY13" s="304">
        <f>ROUND($AY$6*AZ13/$AZ$5,2)</f>
        <v>15644.81</v>
      </c>
      <c r="AZ13" s="305">
        <f>BA13+BL13</f>
        <v>95896.06</v>
      </c>
      <c r="BA13" s="305">
        <f>SUM(BB13:BK13)</f>
        <v>86430.56</v>
      </c>
      <c r="BB13" s="305">
        <f>IF($D13="是",I13-J13,0)</f>
        <v>28977.16</v>
      </c>
      <c r="BC13" s="305">
        <f>IF($D13="是",K13-L13,0)</f>
        <v>25665.52</v>
      </c>
      <c r="BD13" s="305">
        <f>IF($D13="是",M13-N13,0)</f>
        <v>13156.32</v>
      </c>
      <c r="BE13" s="305">
        <f>IF($D13="是",O13-P13,0)</f>
        <v>18631.559999999998</v>
      </c>
      <c r="BF13" s="305">
        <f>IF($D13="是",Q13-R13,0)</f>
        <v>0</v>
      </c>
      <c r="BG13" s="305">
        <f>IF($D13="是",S13-T13,0)</f>
        <v>0</v>
      </c>
      <c r="BH13" s="305">
        <f>IF($D13="是",U13-V13,0)</f>
        <v>0</v>
      </c>
      <c r="BI13" s="305">
        <f>IF($D13="是",W13-X13,0)</f>
        <v>0</v>
      </c>
      <c r="BJ13" s="305">
        <f>IF($D13="是",Y13-Z13,0)</f>
        <v>0</v>
      </c>
      <c r="BK13" s="305">
        <f>IF($D13="是",AA13-AB13,0)</f>
        <v>0</v>
      </c>
      <c r="BL13" s="305">
        <f>SUM(BM13:BT13)</f>
        <v>9465.5</v>
      </c>
      <c r="BM13" s="305">
        <f>IF($D13="是",AD13-AE13,0)</f>
        <v>0</v>
      </c>
      <c r="BN13" s="305">
        <f>IF($D13="是",AF13-AG13,0)</f>
        <v>0</v>
      </c>
      <c r="BO13" s="305">
        <f>IF($D13="是",AH13-AI13,0)</f>
        <v>0</v>
      </c>
      <c r="BP13" s="305">
        <f>IF($D13="是",AJ13-AK13,0)</f>
        <v>0</v>
      </c>
      <c r="BQ13" s="305">
        <f>IF($D13="是",AL13-AM13,0)</f>
        <v>1966.19</v>
      </c>
      <c r="BR13" s="305">
        <f>IF($D13="是",AN13-AO13,0)</f>
        <v>7499.3099999999995</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6" t="s">
        <v>2</v>
      </c>
      <c r="B1" s="3376" t="s">
        <v>37</v>
      </c>
      <c r="C1" s="3376" t="s">
        <v>38</v>
      </c>
      <c r="D1" s="3436" t="s">
        <v>198</v>
      </c>
      <c r="E1" s="3436" t="s">
        <v>199</v>
      </c>
      <c r="F1" s="3436"/>
      <c r="G1" s="3436"/>
      <c r="H1" s="3436"/>
      <c r="I1" s="3436"/>
      <c r="J1" s="3436"/>
      <c r="K1" s="3436"/>
      <c r="L1" s="3436"/>
      <c r="M1" s="3436"/>
    </row>
    <row r="2" spans="1:13" ht="27" customHeight="1">
      <c r="A2" s="3376"/>
      <c r="B2" s="3376"/>
      <c r="C2" s="3376"/>
      <c r="D2" s="3436"/>
      <c r="E2" s="3436" t="s">
        <v>182</v>
      </c>
      <c r="F2" s="3436" t="s">
        <v>183</v>
      </c>
      <c r="G2" s="3436"/>
      <c r="H2" s="3436"/>
      <c r="I2" s="3436"/>
      <c r="J2" s="3436" t="s">
        <v>184</v>
      </c>
      <c r="K2" s="3436"/>
      <c r="L2" s="3436"/>
      <c r="M2" s="3436"/>
    </row>
    <row r="3" spans="1:13" ht="28.5">
      <c r="A3" s="3376"/>
      <c r="B3" s="3376"/>
      <c r="C3" s="3376"/>
      <c r="D3" s="3436"/>
      <c r="E3" s="3436"/>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200</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639</v>
      </c>
      <c r="B1" s="2217"/>
      <c r="C1" s="2217"/>
      <c r="D1" s="2217"/>
      <c r="E1" s="2217"/>
      <c r="F1" s="2217"/>
      <c r="G1" s="2217"/>
      <c r="H1" s="2217"/>
      <c r="I1" s="2217"/>
      <c r="J1" s="2217"/>
      <c r="K1" s="2217"/>
      <c r="L1" s="2217"/>
      <c r="M1" s="2217"/>
      <c r="N1" s="2217"/>
      <c r="O1" s="2217"/>
      <c r="P1" s="2217"/>
    </row>
    <row r="2" spans="1:16">
      <c r="A2" s="3446" t="s">
        <v>640</v>
      </c>
      <c r="B2" s="3446"/>
      <c r="C2" s="3446"/>
      <c r="D2" s="2201" t="s">
        <v>641</v>
      </c>
      <c r="E2" s="19" t="s">
        <v>642</v>
      </c>
      <c r="F2" s="2217"/>
      <c r="G2" s="1178"/>
      <c r="H2" s="1179"/>
      <c r="I2" s="2209" t="s">
        <v>643</v>
      </c>
      <c r="J2" s="2217"/>
      <c r="K2" s="2217"/>
      <c r="L2" s="2217"/>
      <c r="M2" s="2217"/>
      <c r="N2" s="2226"/>
      <c r="O2" s="2217"/>
      <c r="P2" s="2217"/>
    </row>
    <row r="3" spans="1:16" ht="15.75" thickBot="1">
      <c r="A3" s="3447" t="s">
        <v>644</v>
      </c>
      <c r="B3" s="3447"/>
      <c r="C3" s="3447"/>
      <c r="D3" s="335">
        <f>'数据-基础表'!AY6</f>
        <v>15644.81</v>
      </c>
      <c r="E3" s="335">
        <f>'数据-基础表'!AZ5</f>
        <v>95896.06</v>
      </c>
      <c r="F3" s="2217"/>
      <c r="G3" s="441"/>
      <c r="H3" s="439" t="s">
        <v>645</v>
      </c>
      <c r="I3" s="344">
        <f>ROUND('数据-基础表'!B3/'数据-基础表'!A3,2)</f>
        <v>6.13</v>
      </c>
      <c r="J3" s="2217"/>
      <c r="K3" s="2217"/>
      <c r="L3" s="2217"/>
      <c r="M3" s="2217"/>
      <c r="N3" s="2226"/>
      <c r="O3" s="2217"/>
      <c r="P3" s="2217"/>
    </row>
    <row r="4" spans="1:16" ht="14.25">
      <c r="A4" s="3448"/>
      <c r="B4" s="3449"/>
      <c r="C4" s="3450"/>
      <c r="D4" s="20" t="s">
        <v>641</v>
      </c>
      <c r="E4" s="21" t="s">
        <v>642</v>
      </c>
      <c r="F4" s="2217"/>
      <c r="G4" s="1180" t="s">
        <v>1794</v>
      </c>
      <c r="H4" s="439" t="s">
        <v>646</v>
      </c>
      <c r="I4" s="344">
        <f>ROUND(SUMIF('数据-基础表'!I9:AS9,"地上",'数据-基础表'!I5:AS5)/'数据-基础表'!A3,2)</f>
        <v>3.5</v>
      </c>
      <c r="J4" s="2217"/>
      <c r="K4" s="2217"/>
      <c r="L4" s="2217"/>
      <c r="M4" s="2217"/>
      <c r="N4" s="2226"/>
      <c r="O4" s="2217"/>
      <c r="P4" s="2217"/>
    </row>
    <row r="5" spans="1:16" ht="14.25">
      <c r="A5" s="22" t="s">
        <v>647</v>
      </c>
      <c r="B5" s="3451" t="s">
        <v>648</v>
      </c>
      <c r="C5" s="3451"/>
      <c r="D5" s="337">
        <f>ROUND($D$3*E5/$E$3,2)</f>
        <v>0</v>
      </c>
      <c r="E5" s="338">
        <f>SUMIF('数据-基础表'!$11:$11,"住宅",'数据-基础表'!$5:$5)</f>
        <v>0</v>
      </c>
      <c r="F5" s="2217"/>
      <c r="G5" s="441"/>
      <c r="H5" s="439" t="s">
        <v>645</v>
      </c>
      <c r="I5" s="344">
        <f>ROUND(E31/D31,2)</f>
        <v>6.13</v>
      </c>
      <c r="J5" s="2217"/>
      <c r="K5" s="2217"/>
      <c r="L5" s="2217"/>
      <c r="M5" s="2217"/>
      <c r="N5" s="2217"/>
      <c r="O5" s="2217"/>
      <c r="P5" s="2217"/>
    </row>
    <row r="6" spans="1:16" ht="15" thickBot="1">
      <c r="A6" s="24"/>
      <c r="B6" s="3451" t="s">
        <v>649</v>
      </c>
      <c r="C6" s="3451"/>
      <c r="D6" s="337">
        <f>ROUND($D$3*E6/$E$3,2)</f>
        <v>15644.81</v>
      </c>
      <c r="E6" s="338">
        <f>E3-E5</f>
        <v>95896.06</v>
      </c>
      <c r="F6" s="2217"/>
      <c r="G6" s="1753" t="s">
        <v>1795</v>
      </c>
      <c r="H6" s="441" t="s">
        <v>646</v>
      </c>
      <c r="I6" s="1754">
        <f>ROUND(F31/D31,2)</f>
        <v>3.62</v>
      </c>
      <c r="J6" s="2217"/>
      <c r="K6" s="2217"/>
      <c r="L6" s="2217"/>
      <c r="M6" s="2217"/>
      <c r="N6" s="2217"/>
      <c r="O6" s="2217"/>
      <c r="P6" s="2217"/>
    </row>
    <row r="7" spans="1:16" ht="14.25">
      <c r="A7" s="3443"/>
      <c r="B7" s="3444"/>
      <c r="C7" s="3445"/>
      <c r="D7" s="20" t="s">
        <v>641</v>
      </c>
      <c r="E7" s="25" t="s">
        <v>642</v>
      </c>
      <c r="F7" s="2217"/>
      <c r="G7" s="1178" t="s">
        <v>1874</v>
      </c>
      <c r="H7" s="38"/>
      <c r="I7" s="762"/>
      <c r="J7" s="2217"/>
      <c r="K7" s="2217"/>
      <c r="L7" s="2217"/>
      <c r="M7" s="2217"/>
      <c r="N7" s="2217"/>
      <c r="O7" s="2217"/>
      <c r="P7" s="2217"/>
    </row>
    <row r="8" spans="1:16" ht="14.25">
      <c r="A8" s="22" t="s">
        <v>650</v>
      </c>
      <c r="B8" s="26" t="s">
        <v>651</v>
      </c>
      <c r="C8" s="23" t="s">
        <v>652</v>
      </c>
      <c r="D8" s="337">
        <f t="shared" ref="D8:D15" si="0">ROUND($D$3*E8/$E$3,2)</f>
        <v>8914.59</v>
      </c>
      <c r="E8" s="340">
        <f>SUMIF('数据-基础表'!BB10:BK10,"地上",'数据-基础表'!BB5:BK5)</f>
        <v>54642.68</v>
      </c>
      <c r="F8" s="2217"/>
      <c r="G8" s="2218"/>
      <c r="H8" s="2218"/>
      <c r="I8" s="2217"/>
      <c r="J8" s="2217"/>
      <c r="K8" s="2217"/>
      <c r="L8" s="2217"/>
      <c r="M8" s="2217"/>
      <c r="N8" s="2217"/>
      <c r="O8" s="2217"/>
      <c r="P8" s="2217"/>
    </row>
    <row r="9" spans="1:16" ht="14.25">
      <c r="A9" s="27"/>
      <c r="B9" s="28"/>
      <c r="C9" s="23" t="s">
        <v>653</v>
      </c>
      <c r="D9" s="337">
        <f t="shared" si="0"/>
        <v>0</v>
      </c>
      <c r="E9" s="341">
        <v>0</v>
      </c>
      <c r="F9" s="2217"/>
      <c r="G9" s="2218"/>
      <c r="H9" s="2218"/>
      <c r="I9" s="2217"/>
      <c r="J9" s="2217"/>
      <c r="K9" s="2217"/>
      <c r="L9" s="2217"/>
      <c r="M9" s="2217"/>
      <c r="N9" s="2217"/>
      <c r="O9" s="2217"/>
      <c r="P9" s="2217"/>
    </row>
    <row r="10" spans="1:16" ht="14.25">
      <c r="A10" s="27"/>
      <c r="B10" s="28"/>
      <c r="C10" s="23" t="s">
        <v>654</v>
      </c>
      <c r="D10" s="337">
        <f t="shared" si="0"/>
        <v>2146.37</v>
      </c>
      <c r="E10" s="340">
        <f>SUMPRODUCT(('数据-基础表'!BB10:BK10="地下")*('数据-基础表'!BB11:BK11="商业")*('数据-基础表'!BB5:BK5))</f>
        <v>13156.32</v>
      </c>
      <c r="F10" s="2217"/>
      <c r="G10" s="2218"/>
      <c r="H10" s="2218"/>
      <c r="I10" s="2217"/>
      <c r="J10" s="2217"/>
      <c r="K10" s="2217"/>
      <c r="L10" s="2217"/>
      <c r="M10" s="2217"/>
      <c r="N10" s="2217"/>
      <c r="O10" s="2217"/>
      <c r="P10" s="2217"/>
    </row>
    <row r="11" spans="1:16" ht="14.25">
      <c r="A11" s="27"/>
      <c r="B11" s="28"/>
      <c r="C11" s="23" t="s">
        <v>2398</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655</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656</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657</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658</v>
      </c>
      <c r="D15" s="337">
        <f t="shared" si="0"/>
        <v>3039.62</v>
      </c>
      <c r="E15" s="340">
        <f>SUMPRODUCT(('数据-基础表'!BB10:BK10="地下")*('数据-基础表'!BB11:BK11="车库—办公")*('数据-基础表'!BB5:BK5))</f>
        <v>18631.559999999998</v>
      </c>
      <c r="F15" s="2217"/>
      <c r="G15" s="2218"/>
      <c r="H15" s="2218"/>
      <c r="I15" s="2217"/>
      <c r="J15" s="2217"/>
      <c r="K15" s="2217"/>
      <c r="L15" s="2217"/>
      <c r="M15" s="2217"/>
      <c r="N15" s="2217"/>
      <c r="O15" s="2217"/>
      <c r="P15" s="2217"/>
    </row>
    <row r="16" spans="1:16" ht="15" thickBot="1">
      <c r="A16" s="24"/>
      <c r="B16" s="28"/>
      <c r="C16" s="26" t="s">
        <v>659</v>
      </c>
      <c r="D16" s="339">
        <f>SUM(D8:D15)</f>
        <v>14100.579999999998</v>
      </c>
      <c r="E16" s="342">
        <f>SUM(E8:E15)</f>
        <v>86430.56</v>
      </c>
      <c r="F16" s="2217"/>
      <c r="G16" s="2218"/>
      <c r="H16" s="1177" t="s">
        <v>530</v>
      </c>
      <c r="I16" s="1181"/>
      <c r="J16" s="2217"/>
      <c r="K16" s="3440" t="s">
        <v>530</v>
      </c>
      <c r="L16" s="3441"/>
      <c r="M16" s="3441"/>
      <c r="N16" s="3441"/>
      <c r="O16" s="3441"/>
      <c r="P16" s="3442"/>
    </row>
    <row r="17" spans="1:19" ht="14.25">
      <c r="A17" s="29" t="s">
        <v>660</v>
      </c>
      <c r="B17" s="30" t="s">
        <v>661</v>
      </c>
      <c r="C17" s="34" t="s">
        <v>2389</v>
      </c>
      <c r="D17" s="2069" t="s">
        <v>641</v>
      </c>
      <c r="E17" s="2067" t="s">
        <v>642</v>
      </c>
      <c r="F17" s="36"/>
      <c r="G17" s="37"/>
      <c r="H17" s="1182" t="s">
        <v>662</v>
      </c>
      <c r="I17" s="1183" t="s">
        <v>203</v>
      </c>
      <c r="J17" s="2217"/>
      <c r="K17" s="3437" t="s">
        <v>668</v>
      </c>
      <c r="L17" s="3438"/>
      <c r="M17" s="3439"/>
      <c r="N17" s="3437" t="s">
        <v>2692</v>
      </c>
      <c r="O17" s="3438"/>
      <c r="P17" s="3439"/>
      <c r="R17" s="2477" t="s">
        <v>2390</v>
      </c>
      <c r="S17" s="354"/>
    </row>
    <row r="18" spans="1:19">
      <c r="A18" s="27"/>
      <c r="B18" s="31"/>
      <c r="C18" s="35"/>
      <c r="D18" s="2070"/>
      <c r="E18" s="2068" t="s">
        <v>663</v>
      </c>
      <c r="F18" s="15" t="s">
        <v>664</v>
      </c>
      <c r="G18" s="16" t="s">
        <v>665</v>
      </c>
      <c r="H18" s="1184" t="s">
        <v>666</v>
      </c>
      <c r="I18" s="1185" t="s">
        <v>667</v>
      </c>
      <c r="J18" s="2217"/>
      <c r="K18" s="1184" t="s">
        <v>2685</v>
      </c>
      <c r="L18" s="6" t="s">
        <v>2693</v>
      </c>
      <c r="M18" s="2795" t="s">
        <v>2691</v>
      </c>
      <c r="N18" s="1184" t="s">
        <v>2685</v>
      </c>
      <c r="O18" s="6" t="s">
        <v>2693</v>
      </c>
      <c r="P18" s="2795" t="s">
        <v>2691</v>
      </c>
      <c r="R18" s="2478" t="s">
        <v>2391</v>
      </c>
      <c r="S18" s="2478" t="s">
        <v>2392</v>
      </c>
    </row>
    <row r="19" spans="1:19" ht="14.25">
      <c r="A19" s="32"/>
      <c r="B19" s="26" t="s">
        <v>118</v>
      </c>
      <c r="C19" s="1419" t="s">
        <v>3230</v>
      </c>
      <c r="D19" s="337">
        <f>ROUND($D$3*E19/$E$3,2)</f>
        <v>4727.43</v>
      </c>
      <c r="E19" s="345">
        <f t="shared" ref="E19:E26" si="1">SUM(F19:G19)</f>
        <v>28977.16</v>
      </c>
      <c r="F19" s="346">
        <f>'数据-基础表'!I13</f>
        <v>28977.16</v>
      </c>
      <c r="G19" s="347"/>
      <c r="H19" s="1131">
        <f>ROUND($D$3*I19/$E$3,2)</f>
        <v>517.73</v>
      </c>
      <c r="I19" s="340">
        <f t="shared" ref="I19:I26" si="2">IF($I$17="自定义",P19,M19)</f>
        <v>3173.45</v>
      </c>
      <c r="J19" s="2217"/>
      <c r="K19" s="2796">
        <f t="shared" ref="K19:K26" si="3">ROUND(E$28*E19/E$27,2)</f>
        <v>3173.45</v>
      </c>
      <c r="L19" s="2479">
        <f t="shared" ref="L19:L26" si="4">ROUND(IF(COUNTIF(C19,"*住宅*")&gt;0,E$29*E19/E$32,0),2)</f>
        <v>0</v>
      </c>
      <c r="M19" s="2814">
        <f>K19+L19</f>
        <v>3173.45</v>
      </c>
      <c r="N19" s="2812"/>
      <c r="O19" s="2794"/>
      <c r="P19" s="2797">
        <f>N19+O19</f>
        <v>0</v>
      </c>
      <c r="R19" s="2479">
        <f t="shared" ref="R19:S26" si="5">D19+H19</f>
        <v>5245.16</v>
      </c>
      <c r="S19" s="2480">
        <f t="shared" si="5"/>
        <v>32150.61</v>
      </c>
    </row>
    <row r="20" spans="1:19" ht="14.25">
      <c r="A20" s="33"/>
      <c r="B20" s="26" t="s">
        <v>634</v>
      </c>
      <c r="C20" s="1419" t="s">
        <v>3083</v>
      </c>
      <c r="D20" s="337">
        <f t="shared" ref="D20:D26" si="6">ROUND($D$3*E20/$E$3,2)</f>
        <v>6333.53</v>
      </c>
      <c r="E20" s="345">
        <f t="shared" si="1"/>
        <v>38821.839999999997</v>
      </c>
      <c r="F20" s="346">
        <f>'数据-基础表'!K13</f>
        <v>25665.52</v>
      </c>
      <c r="G20" s="347">
        <f>'数据-基础表'!M13</f>
        <v>13156.32</v>
      </c>
      <c r="H20" s="1131">
        <f t="shared" ref="H20:H26" si="7">ROUND($D$3*I20/$E$3,2)</f>
        <v>693.62</v>
      </c>
      <c r="I20" s="340">
        <f t="shared" si="2"/>
        <v>4251.6000000000004</v>
      </c>
      <c r="J20" s="2217"/>
      <c r="K20" s="2796">
        <f t="shared" si="3"/>
        <v>4251.6000000000004</v>
      </c>
      <c r="L20" s="2479">
        <f t="shared" si="4"/>
        <v>0</v>
      </c>
      <c r="M20" s="2814">
        <f t="shared" ref="M20:M26" si="8">K20+L20</f>
        <v>4251.6000000000004</v>
      </c>
      <c r="N20" s="2812"/>
      <c r="O20" s="2794"/>
      <c r="P20" s="2797">
        <f t="shared" ref="P20:P26" si="9">N20+O20</f>
        <v>0</v>
      </c>
      <c r="R20" s="2479">
        <f t="shared" si="5"/>
        <v>7027.15</v>
      </c>
      <c r="S20" s="2480">
        <f t="shared" si="5"/>
        <v>43073.439999999995</v>
      </c>
    </row>
    <row r="21" spans="1:19" ht="14.25">
      <c r="A21" s="33"/>
      <c r="B21" s="26" t="s">
        <v>634</v>
      </c>
      <c r="C21" s="1419" t="s">
        <v>3084</v>
      </c>
      <c r="D21" s="337">
        <f t="shared" si="6"/>
        <v>3039.62</v>
      </c>
      <c r="E21" s="345">
        <f t="shared" si="1"/>
        <v>18631.559999999998</v>
      </c>
      <c r="F21" s="346"/>
      <c r="G21" s="347">
        <f>'数据-基础表'!O13</f>
        <v>18631.559999999998</v>
      </c>
      <c r="H21" s="1131">
        <f t="shared" si="7"/>
        <v>332.89</v>
      </c>
      <c r="I21" s="340">
        <f t="shared" si="2"/>
        <v>2040.45</v>
      </c>
      <c r="J21" s="2217"/>
      <c r="K21" s="2796">
        <f t="shared" si="3"/>
        <v>2040.45</v>
      </c>
      <c r="L21" s="2479">
        <f t="shared" si="4"/>
        <v>0</v>
      </c>
      <c r="M21" s="2814">
        <f t="shared" si="8"/>
        <v>2040.45</v>
      </c>
      <c r="N21" s="2812"/>
      <c r="O21" s="2794"/>
      <c r="P21" s="2797">
        <f t="shared" si="9"/>
        <v>0</v>
      </c>
      <c r="R21" s="2479">
        <f t="shared" si="5"/>
        <v>3372.5099999999998</v>
      </c>
      <c r="S21" s="2480">
        <f t="shared" si="5"/>
        <v>20672.009999999998</v>
      </c>
    </row>
    <row r="22" spans="1:19" ht="14.25">
      <c r="A22" s="33"/>
      <c r="B22" s="26" t="s">
        <v>634</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634</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634</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634</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634</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29.25" thickBot="1">
      <c r="A27" s="33"/>
      <c r="B27" s="23"/>
      <c r="C27" s="2770" t="s">
        <v>635</v>
      </c>
      <c r="D27" s="2799">
        <f>SUM(D19:D26)</f>
        <v>14100.579999999998</v>
      </c>
      <c r="E27" s="2800">
        <f>IF(SUM(E19:E26)='数据-基础表'!BA5,SUM(E19:E26),IF(F27="地上面积有误","面积有误","地下面积有误"))</f>
        <v>86430.56</v>
      </c>
      <c r="F27" s="2799">
        <f>IF(SUM(F19:F26)=E8,SUM(F19:F26),"地上面积有误")</f>
        <v>54642.68</v>
      </c>
      <c r="G27" s="2801">
        <f>SUM(G19:G26)</f>
        <v>31787.879999999997</v>
      </c>
      <c r="H27" s="2802">
        <f>SUM(H19:H26)</f>
        <v>1544.2399999999998</v>
      </c>
      <c r="I27" s="2803">
        <f>SUM(I19:I26)</f>
        <v>9465.5</v>
      </c>
      <c r="J27" s="2217"/>
      <c r="K27" s="2809">
        <f>SUM(K19:K26)</f>
        <v>9465.5</v>
      </c>
      <c r="L27" s="2810">
        <f>SUM(L19:L26)</f>
        <v>0</v>
      </c>
      <c r="M27" s="2815">
        <f>SUM(M19:M26)</f>
        <v>9465.5</v>
      </c>
      <c r="N27" s="2809">
        <f t="shared" ref="N27:O27" si="10">SUM(N19:N26)</f>
        <v>0</v>
      </c>
      <c r="O27" s="2810">
        <f t="shared" si="10"/>
        <v>0</v>
      </c>
      <c r="P27" s="2811">
        <f>SUM(P19:P26)</f>
        <v>0</v>
      </c>
      <c r="R27" s="2481" t="str">
        <f>IF(SUM(R19:R26)=$D$3,SUM(R19:R26),SUM(R19:R26)&amp;"误差"&amp;ROUND(SUM(R19:R26)-$D$3,2))</f>
        <v>15644.82误差0.01</v>
      </c>
      <c r="S27" s="2479">
        <f>IF(SUM(S19:S26)=$E$3,SUM(S19:S26),SUM(S19:S26)&amp;"误差"&amp;ROUND(SUM(S19:S26)-E3,2))</f>
        <v>95896.059999999983</v>
      </c>
    </row>
    <row r="28" spans="1:19" ht="14.25">
      <c r="A28" s="33"/>
      <c r="B28" s="26" t="s">
        <v>636</v>
      </c>
      <c r="C28" s="5" t="s">
        <v>637</v>
      </c>
      <c r="D28" s="337">
        <f>ROUND($D$3*E28/$E$3,2)</f>
        <v>1544.23</v>
      </c>
      <c r="E28" s="345">
        <f>SUM(F28:G28)</f>
        <v>9465.5</v>
      </c>
      <c r="F28" s="354">
        <f>'数据-基础表'!BQ5+'数据-基础表'!BS5</f>
        <v>1966.19</v>
      </c>
      <c r="G28" s="355">
        <f>'数据-基础表'!BR5+'数据-基础表'!BT5</f>
        <v>7499.3099999999995</v>
      </c>
      <c r="H28" s="2217"/>
      <c r="I28" s="2217"/>
      <c r="J28" s="2217"/>
      <c r="K28" s="2217"/>
      <c r="L28" s="2217"/>
      <c r="M28" s="2217"/>
      <c r="N28" s="2798"/>
      <c r="O28" s="2798"/>
      <c r="P28" s="2217"/>
    </row>
    <row r="29" spans="1:19" ht="14.25">
      <c r="A29" s="33"/>
      <c r="B29" s="26" t="s">
        <v>636</v>
      </c>
      <c r="C29" s="13" t="s">
        <v>2393</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635</v>
      </c>
      <c r="D30" s="2799">
        <f>SUM(D28:D29)</f>
        <v>1544.23</v>
      </c>
      <c r="E30" s="2799">
        <f>SUM(E28:E29)</f>
        <v>9465.5</v>
      </c>
      <c r="F30" s="2799">
        <f>SUM(F28:F29)</f>
        <v>1966.19</v>
      </c>
      <c r="G30" s="2801">
        <f>SUM(G28:G29)</f>
        <v>7499.3099999999995</v>
      </c>
      <c r="H30" s="2217"/>
      <c r="I30" s="2217"/>
      <c r="J30" s="2217"/>
      <c r="K30" s="2217"/>
      <c r="L30" s="2217"/>
      <c r="M30" s="2217"/>
      <c r="N30" s="2798"/>
      <c r="O30" s="2798"/>
      <c r="P30" s="2217"/>
    </row>
    <row r="31" spans="1:19" ht="15.75" thickBot="1">
      <c r="A31" s="1186"/>
      <c r="B31" s="2518"/>
      <c r="C31" s="2519" t="s">
        <v>638</v>
      </c>
      <c r="D31" s="1187">
        <f>D27+D30</f>
        <v>15644.809999999998</v>
      </c>
      <c r="E31" s="1187">
        <f>E27+E30</f>
        <v>95896.06</v>
      </c>
      <c r="F31" s="1188">
        <f>F27+F30</f>
        <v>56608.87</v>
      </c>
      <c r="G31" s="1189">
        <f>G27+G30</f>
        <v>39287.189999999995</v>
      </c>
      <c r="H31" s="2217"/>
      <c r="I31" s="2217"/>
      <c r="J31" s="2217"/>
      <c r="K31" s="2217"/>
      <c r="L31" s="2217"/>
      <c r="M31" s="2217"/>
      <c r="N31" s="2217"/>
      <c r="O31" s="2217"/>
      <c r="P31" s="2217"/>
    </row>
    <row r="32" spans="1:19" ht="14.25">
      <c r="A32" s="1180"/>
      <c r="B32" s="1180" t="s">
        <v>2706</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669</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670</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2395</v>
      </c>
      <c r="B5" s="48" t="s">
        <v>675</v>
      </c>
      <c r="C5" s="49" t="s">
        <v>676</v>
      </c>
      <c r="D5" s="50" t="s">
        <v>677</v>
      </c>
      <c r="E5" s="51" t="s">
        <v>678</v>
      </c>
      <c r="F5" s="52" t="s">
        <v>679</v>
      </c>
      <c r="G5" s="51" t="s">
        <v>680</v>
      </c>
      <c r="H5" s="51" t="s">
        <v>681</v>
      </c>
      <c r="I5" s="51" t="s">
        <v>682</v>
      </c>
      <c r="J5" s="53" t="s">
        <v>683</v>
      </c>
      <c r="K5" s="54" t="s">
        <v>684</v>
      </c>
      <c r="L5" s="55" t="s">
        <v>685</v>
      </c>
      <c r="M5" s="56" t="s">
        <v>686</v>
      </c>
      <c r="N5" s="1200" t="s">
        <v>3085</v>
      </c>
      <c r="O5" s="55" t="s">
        <v>687</v>
      </c>
      <c r="P5" s="57" t="s">
        <v>688</v>
      </c>
      <c r="Q5" s="58" t="s">
        <v>689</v>
      </c>
      <c r="R5" s="273" t="s">
        <v>690</v>
      </c>
      <c r="S5" s="59" t="s">
        <v>2686</v>
      </c>
      <c r="T5" s="274" t="s">
        <v>691</v>
      </c>
      <c r="U5" s="2509" t="s">
        <v>2401</v>
      </c>
      <c r="V5" s="51" t="s">
        <v>692</v>
      </c>
      <c r="W5" s="2510" t="s">
        <v>2402</v>
      </c>
      <c r="X5" s="62"/>
      <c r="Y5" s="60" t="s">
        <v>693</v>
      </c>
      <c r="Z5" s="61" t="s">
        <v>694</v>
      </c>
      <c r="AA5" s="51" t="s">
        <v>692</v>
      </c>
      <c r="AB5" s="2510" t="s">
        <v>2402</v>
      </c>
      <c r="AC5" s="62"/>
      <c r="AD5" s="62" t="s">
        <v>693</v>
      </c>
      <c r="AE5" s="14" t="s">
        <v>535</v>
      </c>
      <c r="AF5" s="51" t="s">
        <v>695</v>
      </c>
      <c r="AG5" s="60" t="s">
        <v>696</v>
      </c>
      <c r="AH5" s="14" t="s">
        <v>2406</v>
      </c>
      <c r="AI5" s="61" t="s">
        <v>2323</v>
      </c>
      <c r="AJ5" s="61" t="s">
        <v>697</v>
      </c>
      <c r="AK5" s="2510" t="s">
        <v>2403</v>
      </c>
      <c r="AL5" s="2510" t="s">
        <v>2404</v>
      </c>
      <c r="AM5" s="360" t="s">
        <v>2405</v>
      </c>
      <c r="AN5" s="2567" t="s">
        <v>2445</v>
      </c>
      <c r="AO5" s="2006" t="s">
        <v>2677</v>
      </c>
      <c r="AP5" s="2883" t="s">
        <v>2687</v>
      </c>
      <c r="AQ5" s="2884" t="s">
        <v>2797</v>
      </c>
      <c r="AR5" s="2884" t="s">
        <v>2798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公寓</v>
      </c>
      <c r="B6" s="2485" t="str">
        <f>IF(A6=0,"","经营性")</f>
        <v>经营性</v>
      </c>
      <c r="C6" s="39" t="s">
        <v>140</v>
      </c>
      <c r="D6" s="2050">
        <f>SUMIF(项目基本情况!D$12:I$12,C6,项目基本情况!D$14:I$14)</f>
        <v>50</v>
      </c>
      <c r="E6" s="2044">
        <f>IF(B6="","",SUMIF(项目基本情况!D$12:I$12,C6,项目基本情况!D$13:I$13))</f>
        <v>59670</v>
      </c>
      <c r="F6" s="362">
        <f>SUMIF(项目基本情况!D$12:I$12,C6,项目基本情况!D$15:I$15)</f>
        <v>45.65</v>
      </c>
      <c r="G6" s="363">
        <f>IF(ISERROR(ROUND(POWER(1+H6,D6-F6)*(POWER(1+H6,F6)-1)/(POWER(1+H6,D6)-1),3)),0,ROUND(POWER(1+H6,D6-F6)*(POWER(1+H6,F6)-1)/(POWER(1+H6,D6)-1),3))</f>
        <v>0.97699999999999998</v>
      </c>
      <c r="H6" s="3355">
        <v>0.05</v>
      </c>
      <c r="I6" s="3355">
        <v>0.06</v>
      </c>
      <c r="J6" s="364">
        <v>8.5000000000000006E-2</v>
      </c>
      <c r="K6" s="2488">
        <f>SUMIF('数据-汇总表'!C$19:C$33,A6,'数据-汇总表'!E$19:E$33)</f>
        <v>28977.16</v>
      </c>
      <c r="L6" s="381">
        <v>4500</v>
      </c>
      <c r="M6" s="365">
        <f t="shared" ref="M6:M14" si="0">ROUND(K6*L6/10000,0)</f>
        <v>13040</v>
      </c>
      <c r="N6" s="1473">
        <v>0.05</v>
      </c>
      <c r="O6" s="365">
        <f>IF($N$5="成新度","——",ROUND(M6*N6,0))</f>
        <v>652</v>
      </c>
      <c r="P6" s="366">
        <f>IF($N$5="成新度","——",M6-O6)</f>
        <v>12388</v>
      </c>
      <c r="Q6" s="1475">
        <v>0.2</v>
      </c>
      <c r="R6" s="367">
        <f ca="1">SUMIF('数据-汇总表'!C$19:C$33,A6,'数据-汇总表'!R$19:R$27)</f>
        <v>5245.16</v>
      </c>
      <c r="S6" s="343">
        <f>IF('数据-汇总表'!$I$17="按面积比例",SUMIF('数据-汇总表'!C$19:C$33,A6,'数据-汇总表'!K$19:K$33),SUMIF('数据-汇总表'!C$19:C$33,A6,'数据-汇总表'!N$19:N$33))</f>
        <v>3173.45</v>
      </c>
      <c r="T6" s="2882">
        <f>ROUND($L$14*S6/10000,0)</f>
        <v>793</v>
      </c>
      <c r="U6" s="3362">
        <v>4</v>
      </c>
      <c r="V6" s="369">
        <v>3.5000000000000003E-2</v>
      </c>
      <c r="W6" s="369">
        <v>0.1</v>
      </c>
      <c r="X6" s="2498"/>
      <c r="Y6" s="370">
        <v>1</v>
      </c>
      <c r="Z6" s="371"/>
      <c r="AA6" s="364"/>
      <c r="AB6" s="364"/>
      <c r="AC6" s="2498"/>
      <c r="AD6" s="372"/>
      <c r="AE6" s="2499">
        <f ca="1">IF(AN6="",0,SUMIF(INDIRECT("'"&amp;AN6&amp;"'"&amp;"!E:E"),$AE$5,INDIRECT("'"&amp;AN6&amp;"'"&amp;"!F:F")))</f>
        <v>45.65</v>
      </c>
      <c r="AF6" s="352"/>
      <c r="AG6" s="477">
        <f>IF(AF6="",0,AE6-AF6)</f>
        <v>0</v>
      </c>
      <c r="AH6" s="373"/>
      <c r="AI6" s="375">
        <v>365</v>
      </c>
      <c r="AJ6" s="376"/>
      <c r="AK6" s="377">
        <v>1.4999999999999999E-2</v>
      </c>
      <c r="AL6" s="378">
        <v>2E-3</v>
      </c>
      <c r="AM6" s="379">
        <v>0.02</v>
      </c>
      <c r="AN6" s="2568" t="s">
        <v>3231</v>
      </c>
      <c r="AO6" s="344">
        <f ca="1">SUMIF(INDIRECT("'"&amp;AN6&amp;"'"&amp;"!A:A"),"总价",INDIRECT("'"&amp;AN6&amp;"'"&amp;"!B:B"))</f>
        <v>79822</v>
      </c>
      <c r="AP6" s="2885">
        <f>IF(C6="住宅",K6*L6,0)</f>
        <v>0</v>
      </c>
      <c r="AQ6" s="344">
        <f>ROUND($L$14*$N$14*S6/10000,0)</f>
        <v>317</v>
      </c>
      <c r="AR6" s="344">
        <f>ROUND($L$14*(1-$N$14)*S6/10000,0)</f>
        <v>476</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3045</v>
      </c>
      <c r="D7" s="2050">
        <f>SUMIF(项目基本情况!D$12:I$12,C7,项目基本情况!D$14:I$14)</f>
        <v>40</v>
      </c>
      <c r="E7" s="2044">
        <f>IF(B7="","",SUMIF(项目基本情况!D$12:I$12,C7,项目基本情况!D$13:I$13))</f>
        <v>56018</v>
      </c>
      <c r="F7" s="362">
        <f>SUMIF(项目基本情况!D$12:I$12,C7,项目基本情况!D$15:I$15)</f>
        <v>35.64</v>
      </c>
      <c r="G7" s="363">
        <f t="shared" ref="G7:G11" si="2">IF(ISERROR(ROUND(POWER(1+H7,D7-F7)*(POWER(1+H7,F7)-1)/(POWER(1+H7,D7)-1),3)),0,ROUND(POWER(1+H7,D7-F7)*(POWER(1+H7,F7)-1)/(POWER(1+H7,D7)-1),3))</f>
        <v>0.96499999999999997</v>
      </c>
      <c r="H7" s="3355">
        <v>5.5E-2</v>
      </c>
      <c r="I7" s="3355">
        <v>6.5000000000000002E-2</v>
      </c>
      <c r="J7" s="364">
        <v>8.5000000000000006E-2</v>
      </c>
      <c r="K7" s="2488">
        <f>SUMIF('数据-汇总表'!C$19:C$33,A7,'数据-汇总表'!E$19:E$33)</f>
        <v>38821.839999999997</v>
      </c>
      <c r="L7" s="381">
        <v>4000</v>
      </c>
      <c r="M7" s="365">
        <f t="shared" si="0"/>
        <v>15529</v>
      </c>
      <c r="N7" s="1473">
        <v>0.1</v>
      </c>
      <c r="O7" s="365">
        <f t="shared" ref="O7:O14" si="3">IF($N$5="成新度","——",ROUND(M7*N7,0))</f>
        <v>1553</v>
      </c>
      <c r="P7" s="366">
        <f t="shared" ref="P7:P14" si="4">IF($N$5="成新度","——",M7-O7)</f>
        <v>13976</v>
      </c>
      <c r="Q7" s="1475">
        <v>0.25</v>
      </c>
      <c r="R7" s="367">
        <f ca="1">SUMIF('数据-汇总表'!C$19:C$33,A7,'数据-汇总表'!R$19:R$27)</f>
        <v>7027.15</v>
      </c>
      <c r="S7" s="343">
        <f>IF('数据-汇总表'!$I$17="按面积比例",SUMIF('数据-汇总表'!C$19:C$33,A7,'数据-汇总表'!K$19:K$33),SUMIF('数据-汇总表'!C$19:C$33,A7,'数据-汇总表'!N$19:N$33))</f>
        <v>4251.6000000000004</v>
      </c>
      <c r="T7" s="2882">
        <f t="shared" ref="T7:T13" si="5">ROUND($L$14*S7/10000,0)</f>
        <v>1063</v>
      </c>
      <c r="U7" s="3362">
        <v>5.3</v>
      </c>
      <c r="V7" s="369">
        <v>3.5000000000000003E-2</v>
      </c>
      <c r="W7" s="369">
        <v>0.1</v>
      </c>
      <c r="X7" s="2498"/>
      <c r="Y7" s="370">
        <v>1</v>
      </c>
      <c r="Z7" s="371"/>
      <c r="AA7" s="364"/>
      <c r="AB7" s="364"/>
      <c r="AC7" s="2498"/>
      <c r="AD7" s="372"/>
      <c r="AE7" s="2499">
        <f t="shared" ref="AE7:AE13" ca="1" si="6">IF(AN7="",0,SUMIF(INDIRECT("'"&amp;AN7&amp;"'"&amp;"!E:E"),$AE$5,INDIRECT("'"&amp;AN7&amp;"'"&amp;"!F:F")))</f>
        <v>35.64</v>
      </c>
      <c r="AF7" s="352"/>
      <c r="AG7" s="477">
        <f t="shared" ref="AG7:AG13" si="7">IF(AF7="",0,AE7-AF7)</f>
        <v>0</v>
      </c>
      <c r="AH7" s="373"/>
      <c r="AI7" s="375">
        <v>365</v>
      </c>
      <c r="AJ7" s="376"/>
      <c r="AK7" s="377">
        <v>1.4999999999999999E-2</v>
      </c>
      <c r="AL7" s="378">
        <v>2E-3</v>
      </c>
      <c r="AM7" s="379">
        <v>0.02</v>
      </c>
      <c r="AN7" s="2568" t="s">
        <v>3086</v>
      </c>
      <c r="AO7" s="344">
        <f t="shared" ref="AO7:AO13" ca="1" si="8">SUMIF(INDIRECT("'"&amp;AN7&amp;"'"&amp;"!A:A"),"总价",INDIRECT("'"&amp;AN7&amp;"'"&amp;"!B:B"))</f>
        <v>119522</v>
      </c>
      <c r="AP7" s="2885">
        <f t="shared" ref="AP7:AP13" si="9">IF(C7="住宅",K7*L7,0)</f>
        <v>0</v>
      </c>
      <c r="AQ7" s="344">
        <f t="shared" ref="AQ7:AQ13" si="10">ROUND($L$14*$N$14*S7/10000,0)</f>
        <v>425</v>
      </c>
      <c r="AR7" s="344">
        <f t="shared" ref="AR7:AR13" si="11">ROUND($L$14*(1-$N$14)*S7/10000,0)</f>
        <v>638</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3081</v>
      </c>
      <c r="D8" s="2050">
        <f>SUMIF(项目基本情况!D$12:I$12,C8,项目基本情况!D$14:I$14)</f>
        <v>50</v>
      </c>
      <c r="E8" s="2044">
        <f>IF(B8="","",SUMIF(项目基本情况!D$12:I$12,C8,项目基本情况!D$13:I$13))</f>
        <v>59670</v>
      </c>
      <c r="F8" s="362">
        <f>SUMIF(项目基本情况!D$12:I$12,C8,项目基本情况!D$15:I$15)</f>
        <v>45.65</v>
      </c>
      <c r="G8" s="363">
        <f t="shared" si="2"/>
        <v>0.97399999999999998</v>
      </c>
      <c r="H8" s="3355">
        <v>4.4999999999999998E-2</v>
      </c>
      <c r="I8" s="3355">
        <v>0.05</v>
      </c>
      <c r="J8" s="364">
        <v>8.5000000000000006E-2</v>
      </c>
      <c r="K8" s="2488">
        <f>SUMIF('数据-汇总表'!C$19:C$33,A8,'数据-汇总表'!E$19:E$33)</f>
        <v>18631.559999999998</v>
      </c>
      <c r="L8" s="381">
        <v>3000</v>
      </c>
      <c r="M8" s="365">
        <f>ROUND(K8*L8/10000,0)</f>
        <v>5589</v>
      </c>
      <c r="N8" s="1473">
        <v>0.4</v>
      </c>
      <c r="O8" s="365">
        <f t="shared" si="3"/>
        <v>2236</v>
      </c>
      <c r="P8" s="366">
        <f t="shared" si="4"/>
        <v>3353</v>
      </c>
      <c r="Q8" s="1475">
        <v>0.1</v>
      </c>
      <c r="R8" s="367">
        <f ca="1">SUMIF('数据-汇总表'!C$19:C$33,A8,'数据-汇总表'!R$19:R$27)</f>
        <v>3372.5099999999998</v>
      </c>
      <c r="S8" s="343">
        <f>IF('数据-汇总表'!$I$17="按面积比例",SUMIF('数据-汇总表'!C$19:C$33,A8,'数据-汇总表'!K$19:K$33),SUMIF('数据-汇总表'!C$19:C$33,A8,'数据-汇总表'!N$19:N$33))</f>
        <v>2040.45</v>
      </c>
      <c r="T8" s="2882">
        <f t="shared" si="5"/>
        <v>510</v>
      </c>
      <c r="U8" s="3362">
        <v>800</v>
      </c>
      <c r="V8" s="369">
        <v>2.5000000000000001E-2</v>
      </c>
      <c r="W8" s="369">
        <v>0.05</v>
      </c>
      <c r="X8" s="2498"/>
      <c r="Y8" s="1476">
        <v>1</v>
      </c>
      <c r="Z8" s="371"/>
      <c r="AA8" s="364"/>
      <c r="AB8" s="364"/>
      <c r="AC8" s="2498"/>
      <c r="AD8" s="372"/>
      <c r="AE8" s="2499">
        <f t="shared" ca="1" si="6"/>
        <v>45.65</v>
      </c>
      <c r="AF8" s="352"/>
      <c r="AG8" s="477">
        <f t="shared" si="7"/>
        <v>0</v>
      </c>
      <c r="AH8" s="1477">
        <v>532</v>
      </c>
      <c r="AI8" s="375">
        <v>12</v>
      </c>
      <c r="AJ8" s="376"/>
      <c r="AK8" s="377">
        <v>1.4999999999999999E-2</v>
      </c>
      <c r="AL8" s="378">
        <v>1.5E-3</v>
      </c>
      <c r="AM8" s="379">
        <v>1.4999999999999999E-2</v>
      </c>
      <c r="AN8" s="2568" t="s">
        <v>3088</v>
      </c>
      <c r="AO8" s="344">
        <f t="shared" ca="1" si="8"/>
        <v>6351</v>
      </c>
      <c r="AP8" s="2885">
        <f t="shared" si="9"/>
        <v>0</v>
      </c>
      <c r="AQ8" s="344">
        <f t="shared" si="10"/>
        <v>204</v>
      </c>
      <c r="AR8" s="344">
        <f t="shared" si="11"/>
        <v>306</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532</v>
      </c>
      <c r="B14" s="2485" t="s">
        <v>531</v>
      </c>
      <c r="C14" s="2486" t="s">
        <v>532</v>
      </c>
      <c r="D14" s="2050"/>
      <c r="E14" s="2044"/>
      <c r="F14" s="362"/>
      <c r="G14" s="363"/>
      <c r="H14" s="2487"/>
      <c r="I14" s="2487"/>
      <c r="J14" s="2487"/>
      <c r="K14" s="2488">
        <f>SUMIF('数据-汇总表'!C$19:C$33,A14,'数据-汇总表'!E$19:E$33)</f>
        <v>9465.5</v>
      </c>
      <c r="L14" s="381">
        <v>2500</v>
      </c>
      <c r="M14" s="365">
        <f t="shared" si="0"/>
        <v>2366</v>
      </c>
      <c r="N14" s="382">
        <v>0.4</v>
      </c>
      <c r="O14" s="365">
        <f t="shared" si="3"/>
        <v>946</v>
      </c>
      <c r="P14" s="366">
        <f t="shared" si="4"/>
        <v>1420</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2394</v>
      </c>
      <c r="B15" s="2485" t="s">
        <v>531</v>
      </c>
      <c r="C15" s="2486" t="s">
        <v>2098</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0.97099999999999997</v>
      </c>
      <c r="H16" s="389">
        <f>ROUND(SUMPRODUCT(H6:H13,K6:K13)/SUMPRODUCT((H6:H13&gt;0)*(K6:K13)),3)</f>
        <v>5.0999999999999997E-2</v>
      </c>
      <c r="I16" s="390"/>
      <c r="J16" s="390"/>
      <c r="K16" s="391">
        <f>SUM(K6:K15)</f>
        <v>95896.06</v>
      </c>
      <c r="L16" s="392">
        <f>ROUND(M16*10000/SUM(K6:K14),0)</f>
        <v>3809</v>
      </c>
      <c r="M16" s="392">
        <f>SUM(M6:M14)</f>
        <v>36524</v>
      </c>
      <c r="N16" s="393">
        <f>ROUND(SUMPRODUCT(M6:M14,N6:N14)/M16,3)</f>
        <v>0.14699999999999999</v>
      </c>
      <c r="O16" s="392">
        <f>SUM(O6:O14)</f>
        <v>5387</v>
      </c>
      <c r="P16" s="392">
        <f>SUM(P6:P14)</f>
        <v>31137</v>
      </c>
      <c r="Q16" s="394">
        <f>ROUND(SUMPRODUCT(Q6:Q13,K6:K13)/SUMPRODUCT((Q6:Q13&gt;0)*(K6:K13)),2)</f>
        <v>0.2</v>
      </c>
      <c r="R16" s="2492">
        <f ca="1">SUM(R6:R13)</f>
        <v>15644.82</v>
      </c>
      <c r="S16" s="395">
        <f>SUM(S6:S13)</f>
        <v>9465.5</v>
      </c>
      <c r="T16" s="396">
        <f>IF(SUMIF(T6:T13,"&lt;9E307")=M14,SUMIF(T6:T13,"&lt;9E307"),"有误，请检查")</f>
        <v>2366</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2410</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698</v>
      </c>
      <c r="B20" s="3361">
        <v>2</v>
      </c>
      <c r="C20" s="2224" t="s">
        <v>2411</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699</v>
      </c>
      <c r="B21" s="3361">
        <v>0.6</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700</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701</v>
      </c>
      <c r="B23" s="403">
        <f>B19+B21</f>
        <v>0.6</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702</v>
      </c>
      <c r="B24" s="404">
        <f>B20-B21</f>
        <v>1.4</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703</v>
      </c>
      <c r="B26" s="72" t="s">
        <v>704</v>
      </c>
      <c r="C26" s="2227" t="s">
        <v>705</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706</v>
      </c>
      <c r="B27" s="405"/>
      <c r="C27" s="2520" t="s">
        <v>707</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708</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2689</v>
      </c>
      <c r="B29" s="410">
        <f ca="1">成本法!C10</f>
        <v>1918</v>
      </c>
      <c r="C29" s="2520" t="s">
        <v>2690</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709</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710</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711</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712</v>
      </c>
      <c r="B33" s="1134">
        <v>0.03</v>
      </c>
      <c r="C33" s="3281" t="s">
        <v>3001</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713</v>
      </c>
      <c r="B34" s="411">
        <v>0</v>
      </c>
      <c r="C34" s="3281" t="s">
        <v>3002</v>
      </c>
      <c r="D34" s="2225" t="s">
        <v>714</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715</v>
      </c>
      <c r="B35" s="408">
        <v>200</v>
      </c>
      <c r="C35" s="3281" t="s">
        <v>3003</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716</v>
      </c>
      <c r="B36" s="412">
        <v>1.4999999999999999E-2</v>
      </c>
      <c r="C36" s="3281" t="s">
        <v>3004</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717</v>
      </c>
      <c r="B37" s="413">
        <v>0.02</v>
      </c>
      <c r="C37" s="3281" t="s">
        <v>3005</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718</v>
      </c>
      <c r="B38" s="411">
        <v>0.02</v>
      </c>
      <c r="C38" s="3281" t="s">
        <v>3005</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2539</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2615</v>
      </c>
      <c r="B40" s="2628">
        <f ca="1">存贷款利率!G1</f>
        <v>4.7500000000000001E-2</v>
      </c>
      <c r="C40" s="2522" t="s">
        <v>536</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719</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720</v>
      </c>
      <c r="B42" s="415">
        <v>0.05</v>
      </c>
      <c r="C42" s="3306">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721</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722</v>
      </c>
      <c r="B44" s="417">
        <v>0.05</v>
      </c>
      <c r="C44" s="3281" t="s">
        <v>3007</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723</v>
      </c>
      <c r="B45" s="415">
        <v>0.03</v>
      </c>
      <c r="C45" s="3282" t="s">
        <v>3006</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724</v>
      </c>
      <c r="B46" s="415">
        <v>0.02</v>
      </c>
      <c r="C46" s="3282" t="s">
        <v>3035</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725</v>
      </c>
      <c r="B47" s="418"/>
      <c r="C47" s="2520" t="s">
        <v>726</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727</v>
      </c>
      <c r="B48" s="419">
        <v>0.03</v>
      </c>
      <c r="C48" s="3304" t="s">
        <v>3036</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728</v>
      </c>
      <c r="B49" s="415">
        <v>5.0000000000000001E-4</v>
      </c>
      <c r="C49" s="3304" t="s">
        <v>3037</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729</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730</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731</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732</v>
      </c>
      <c r="B53" s="41" t="s">
        <v>201</v>
      </c>
      <c r="C53" s="2226" t="s">
        <v>3008</v>
      </c>
      <c r="D53" s="2229" t="s">
        <v>3012</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163</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164</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159</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160</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161</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162</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1179</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3009</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3010</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3011</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2" t="s">
        <v>749</v>
      </c>
      <c r="B1" s="3453"/>
      <c r="C1" s="3453"/>
      <c r="D1" s="3453"/>
      <c r="E1" s="3453"/>
      <c r="F1" s="3453"/>
      <c r="G1" s="345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750</v>
      </c>
      <c r="D2" s="1210"/>
      <c r="E2" s="1211"/>
      <c r="F2" s="1198"/>
      <c r="G2" s="1209" t="s">
        <v>751</v>
      </c>
      <c r="H2" s="2247"/>
      <c r="I2" s="2247"/>
      <c r="J2" s="2247"/>
      <c r="K2" s="2247"/>
      <c r="L2" s="2247"/>
      <c r="M2" s="2247"/>
      <c r="N2" s="2247"/>
      <c r="O2" s="2247"/>
      <c r="P2" s="2247"/>
      <c r="Q2" s="2247"/>
      <c r="R2" s="2247"/>
    </row>
    <row r="3" spans="1:29" ht="54">
      <c r="A3" s="1019" t="s">
        <v>752</v>
      </c>
      <c r="B3" s="51" t="s">
        <v>51</v>
      </c>
      <c r="C3" s="3283" t="s">
        <v>753</v>
      </c>
      <c r="D3" s="2248"/>
      <c r="E3" s="1028" t="s">
        <v>752</v>
      </c>
      <c r="F3" s="1212" t="s">
        <v>98</v>
      </c>
      <c r="G3" s="3287" t="s">
        <v>3015</v>
      </c>
      <c r="H3" s="2247"/>
      <c r="I3" s="2247"/>
      <c r="J3" s="2247"/>
      <c r="K3" s="2247"/>
      <c r="L3" s="2247"/>
      <c r="M3" s="2247"/>
      <c r="N3" s="2247"/>
      <c r="O3" s="2247"/>
      <c r="P3" s="2247"/>
      <c r="Q3" s="2247"/>
      <c r="R3" s="2247"/>
    </row>
    <row r="4" spans="1:29" ht="40.5">
      <c r="A4" s="1028"/>
      <c r="B4" s="2203" t="s">
        <v>754</v>
      </c>
      <c r="C4" s="3284" t="s">
        <v>755</v>
      </c>
      <c r="D4" s="2248"/>
      <c r="E4" s="1213"/>
      <c r="F4" s="2207" t="s">
        <v>756</v>
      </c>
      <c r="G4" s="3285" t="s">
        <v>757</v>
      </c>
      <c r="H4" s="2247"/>
      <c r="I4" s="2247"/>
      <c r="J4" s="2247"/>
      <c r="K4" s="2247"/>
      <c r="L4" s="2247"/>
      <c r="M4" s="2247"/>
      <c r="N4" s="2247"/>
      <c r="O4" s="2247"/>
      <c r="P4" s="2247"/>
      <c r="Q4" s="2247"/>
      <c r="R4" s="2247"/>
    </row>
    <row r="5" spans="1:29" ht="40.5">
      <c r="A5" s="1028"/>
      <c r="B5" s="2203" t="s">
        <v>758</v>
      </c>
      <c r="C5" s="3284" t="s">
        <v>759</v>
      </c>
      <c r="D5" s="2248"/>
      <c r="E5" s="1213"/>
      <c r="F5" s="2736" t="s">
        <v>2632</v>
      </c>
      <c r="G5" s="3285" t="s">
        <v>2634</v>
      </c>
      <c r="H5" s="2247"/>
      <c r="I5" s="2247"/>
      <c r="J5" s="2247"/>
      <c r="K5" s="2247"/>
      <c r="L5" s="2247"/>
      <c r="M5" s="2247"/>
      <c r="N5" s="2247"/>
      <c r="O5" s="2247"/>
      <c r="P5" s="2247"/>
      <c r="Q5" s="2247"/>
      <c r="R5" s="2247"/>
    </row>
    <row r="6" spans="1:29" ht="54">
      <c r="A6" s="1028"/>
      <c r="B6" s="2203" t="s">
        <v>71</v>
      </c>
      <c r="C6" s="3285" t="s">
        <v>733</v>
      </c>
      <c r="D6" s="2248"/>
      <c r="E6" s="1213"/>
      <c r="F6" s="2736" t="s">
        <v>2631</v>
      </c>
      <c r="G6" s="3285" t="s">
        <v>2633</v>
      </c>
      <c r="H6" s="2247"/>
      <c r="I6" s="2247"/>
      <c r="J6" s="2247"/>
      <c r="K6" s="2247"/>
      <c r="L6" s="2247"/>
      <c r="M6" s="2247"/>
      <c r="N6" s="2247"/>
      <c r="O6" s="2247"/>
      <c r="P6" s="2247"/>
      <c r="Q6" s="2247"/>
      <c r="R6" s="2247"/>
    </row>
    <row r="7" spans="1:29" ht="41.25" thickBot="1">
      <c r="A7" s="1028"/>
      <c r="B7" s="2203" t="s">
        <v>2632</v>
      </c>
      <c r="C7" s="3285" t="s">
        <v>2634</v>
      </c>
      <c r="D7" s="2249"/>
      <c r="E7" s="1214"/>
      <c r="F7" s="1215" t="s">
        <v>734</v>
      </c>
      <c r="G7" s="3288" t="s">
        <v>3016</v>
      </c>
      <c r="H7" s="2247"/>
      <c r="I7" s="2247"/>
      <c r="J7" s="2247"/>
      <c r="K7" s="2247"/>
      <c r="L7" s="2247"/>
      <c r="M7" s="2247"/>
      <c r="N7" s="2247"/>
      <c r="O7" s="2247"/>
      <c r="P7" s="2247"/>
      <c r="Q7" s="2247"/>
      <c r="R7" s="2247"/>
    </row>
    <row r="8" spans="1:29" ht="27">
      <c r="A8" s="1028"/>
      <c r="B8" s="2736" t="s">
        <v>2631</v>
      </c>
      <c r="C8" s="3285" t="s">
        <v>2633</v>
      </c>
      <c r="D8" s="2249"/>
      <c r="E8" s="2249"/>
      <c r="F8" s="2250"/>
      <c r="G8" s="2250"/>
      <c r="H8" s="2247"/>
      <c r="I8" s="2247"/>
      <c r="J8" s="2247"/>
      <c r="K8" s="2247"/>
      <c r="L8" s="2247"/>
      <c r="M8" s="2247"/>
      <c r="N8" s="2247"/>
      <c r="O8" s="2247"/>
      <c r="P8" s="2247"/>
      <c r="Q8" s="2247"/>
      <c r="R8" s="2247"/>
    </row>
    <row r="9" spans="1:29" ht="40.5">
      <c r="A9" s="1028"/>
      <c r="B9" s="2203" t="s">
        <v>72</v>
      </c>
      <c r="C9" s="3284" t="s">
        <v>735</v>
      </c>
      <c r="D9" s="2248"/>
      <c r="E9" s="2249"/>
      <c r="F9" s="2250"/>
      <c r="G9" s="2250"/>
      <c r="H9" s="2247"/>
      <c r="I9" s="2247"/>
      <c r="J9" s="2247"/>
      <c r="K9" s="2247"/>
      <c r="L9" s="2247"/>
      <c r="M9" s="2247"/>
      <c r="N9" s="2247"/>
      <c r="O9" s="2247"/>
      <c r="P9" s="2247"/>
      <c r="Q9" s="2247"/>
      <c r="R9" s="2247"/>
    </row>
    <row r="10" spans="1:29" s="40" customFormat="1" ht="14.25" thickBot="1">
      <c r="A10" s="1217"/>
      <c r="B10" s="1218" t="s">
        <v>736</v>
      </c>
      <c r="C10" s="3286"/>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737</v>
      </c>
      <c r="B13" s="2734"/>
      <c r="C13" s="2734"/>
      <c r="D13" s="2246"/>
      <c r="E13" s="2734"/>
      <c r="F13" s="2734"/>
      <c r="G13" s="2734"/>
    </row>
    <row r="14" spans="1:29" ht="14.25" thickBot="1">
      <c r="A14" s="1219"/>
      <c r="B14" s="1220"/>
      <c r="C14" s="1221" t="s">
        <v>738</v>
      </c>
      <c r="D14" s="2248"/>
      <c r="E14" s="1222"/>
      <c r="F14" s="1222"/>
      <c r="G14" s="1209" t="s">
        <v>739</v>
      </c>
    </row>
    <row r="15" spans="1:29" ht="54">
      <c r="A15" s="46" t="s">
        <v>740</v>
      </c>
      <c r="B15" s="14" t="s">
        <v>51</v>
      </c>
      <c r="C15" s="1223" t="str">
        <f>C3</f>
        <v>估价对象周边居住用地比例、居住小区规模和社区发展完善程度，综合评价居住社区成熟度一般</v>
      </c>
      <c r="D15" s="2248"/>
      <c r="E15" s="2749" t="s">
        <v>741</v>
      </c>
      <c r="F15" s="14" t="s">
        <v>742</v>
      </c>
      <c r="G15" s="1021" t="str">
        <f>G3</f>
        <v>估价对象位于XX开发区，园区建设成熟度XX，产业集聚程度XX</v>
      </c>
    </row>
    <row r="16" spans="1:29" ht="40.5">
      <c r="A16" s="2752"/>
      <c r="B16" s="1224" t="s">
        <v>743</v>
      </c>
      <c r="C16" s="1225" t="str">
        <f>C4</f>
        <v>估价对象位于XX商圈，周边商业氛围成熟，人流量大，商业繁华度好</v>
      </c>
      <c r="D16" s="2248"/>
      <c r="E16" s="2750"/>
      <c r="F16" s="1226" t="s">
        <v>744</v>
      </c>
      <c r="G16" s="1023" t="str">
        <f>G4</f>
        <v>估价对象周边道路状况、公共交通通达情况、停车便捷程度，综合评价交通便捷度较好</v>
      </c>
    </row>
    <row r="17" spans="1:18" ht="40.5">
      <c r="A17" s="2752"/>
      <c r="B17" s="1224" t="s">
        <v>745</v>
      </c>
      <c r="C17" s="1225" t="str">
        <f>C5</f>
        <v>估价对象位于XX商圈，周边办公楼项目较多，入驻率高，办公集聚程度较好</v>
      </c>
      <c r="D17" s="2249"/>
      <c r="E17" s="2750"/>
      <c r="F17" s="1226" t="s">
        <v>746</v>
      </c>
      <c r="G17" s="271"/>
    </row>
    <row r="18" spans="1:18" ht="54">
      <c r="A18" s="2752"/>
      <c r="B18" s="1226" t="s">
        <v>71</v>
      </c>
      <c r="C18" s="1023" t="str">
        <f>C6</f>
        <v>估价对象周边道路状况、公共交通通达情况、停车便捷程度，综合评价交通便捷度较好</v>
      </c>
      <c r="D18" s="2249"/>
      <c r="E18" s="2750"/>
      <c r="F18" s="1226" t="s">
        <v>734</v>
      </c>
      <c r="G18" s="1023" t="str">
        <f>G7</f>
        <v>该园区内是否有污染型企业，绿化情况，卫生条件，整体环境状况判断</v>
      </c>
    </row>
    <row r="19" spans="1:18" ht="27">
      <c r="A19" s="2752"/>
      <c r="B19" s="1226" t="s">
        <v>90</v>
      </c>
      <c r="C19" s="271"/>
      <c r="D19" s="2248"/>
      <c r="E19" s="2750"/>
      <c r="F19" s="2736" t="s">
        <v>2632</v>
      </c>
      <c r="G19" s="1023" t="str">
        <f>G5</f>
        <v>估价对象所在区域公共配套设施齐备情况</v>
      </c>
    </row>
    <row r="20" spans="1:18" ht="40.5">
      <c r="A20" s="2752"/>
      <c r="B20" s="1226" t="s">
        <v>89</v>
      </c>
      <c r="C20" s="1225" t="str">
        <f>C9</f>
        <v>区域自然环境：；人文环境；综合评价环境状况一般</v>
      </c>
      <c r="D20" s="2249"/>
      <c r="E20" s="2750"/>
      <c r="F20" s="2736" t="s">
        <v>2631</v>
      </c>
      <c r="G20" s="1023" t="str">
        <f>G6</f>
        <v>估价对象所在区域基础设施水平</v>
      </c>
    </row>
    <row r="21" spans="1:18" ht="27">
      <c r="A21" s="2752"/>
      <c r="B21" s="2736" t="s">
        <v>2632</v>
      </c>
      <c r="C21" s="1023" t="str">
        <f>C7</f>
        <v>估价对象所在区域公共配套设施齐备情况</v>
      </c>
      <c r="D21" s="2248"/>
      <c r="E21" s="2750"/>
      <c r="F21" s="1226" t="s">
        <v>88</v>
      </c>
      <c r="G21" s="283"/>
    </row>
    <row r="22" spans="1:18" ht="13.5" customHeight="1">
      <c r="A22" s="2752"/>
      <c r="B22" s="2736" t="s">
        <v>2631</v>
      </c>
      <c r="C22" s="1023" t="str">
        <f>C8</f>
        <v>估价对象所在区域基础设施水平</v>
      </c>
      <c r="D22" s="2248"/>
      <c r="E22" s="2750"/>
      <c r="F22" s="1226" t="s">
        <v>747</v>
      </c>
      <c r="G22" s="271"/>
    </row>
    <row r="23" spans="1:18" s="2247" customFormat="1" ht="14.25" thickBot="1">
      <c r="A23" s="2752"/>
      <c r="B23" s="1226" t="s">
        <v>88</v>
      </c>
      <c r="C23" s="283"/>
      <c r="D23" s="2260"/>
      <c r="E23" s="2751"/>
      <c r="F23" s="1227" t="s">
        <v>748</v>
      </c>
      <c r="G23" s="284"/>
      <c r="H23" s="2260"/>
      <c r="I23" s="2261"/>
      <c r="J23" s="2260"/>
      <c r="K23" s="2260"/>
      <c r="L23" s="2261"/>
      <c r="M23" s="2260"/>
      <c r="N23" s="2260"/>
      <c r="O23" s="2261"/>
      <c r="P23" s="2260"/>
      <c r="Q23" s="2260"/>
      <c r="R23" s="2262"/>
    </row>
    <row r="24" spans="1:18" s="2247" customFormat="1" ht="14.25" thickBot="1">
      <c r="A24" s="2753"/>
      <c r="B24" s="1227" t="s">
        <v>87</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2" customWidth="1"/>
    <col min="2" max="9" width="15.75" style="3242" customWidth="1"/>
    <col min="10" max="16384" width="9" style="3242"/>
  </cols>
  <sheetData>
    <row r="1" spans="1:10" ht="16.5">
      <c r="A1" s="3247" t="s">
        <v>2984</v>
      </c>
      <c r="B1" s="3247">
        <f>SUM(B14:B23)</f>
        <v>95896.06</v>
      </c>
      <c r="C1" s="3246"/>
      <c r="D1" s="3246"/>
      <c r="E1" s="3246"/>
      <c r="F1" s="3246"/>
      <c r="G1" s="3244"/>
    </row>
    <row r="2" spans="1:10" ht="16.5">
      <c r="A2" s="3247" t="s">
        <v>2972</v>
      </c>
      <c r="B2" s="3247">
        <f>SUM(C14:C23)</f>
        <v>15644.81</v>
      </c>
      <c r="C2" s="3246"/>
      <c r="D2" s="3246"/>
      <c r="E2" s="3246"/>
      <c r="F2" s="3246"/>
      <c r="G2" s="3244"/>
    </row>
    <row r="3" spans="1:10" ht="16.5">
      <c r="A3" s="3247" t="s">
        <v>2981</v>
      </c>
      <c r="B3" s="3248">
        <f>项目基本情况!D3</f>
        <v>43007</v>
      </c>
      <c r="C3" s="3246"/>
      <c r="D3" s="3246"/>
      <c r="E3" s="3246"/>
      <c r="F3" s="3246"/>
      <c r="G3" s="3244"/>
    </row>
    <row r="4" spans="1:10" ht="33">
      <c r="A4" s="3247" t="s">
        <v>2980</v>
      </c>
      <c r="B4" s="3247" t="s">
        <v>2979</v>
      </c>
      <c r="C4" s="3247" t="s">
        <v>2978</v>
      </c>
      <c r="D4" s="3247" t="s">
        <v>2977</v>
      </c>
      <c r="E4" s="3246"/>
      <c r="F4" s="3244"/>
      <c r="G4" s="3244"/>
    </row>
    <row r="5" spans="1:10" ht="16.5">
      <c r="A5" s="3247" t="s">
        <v>2976</v>
      </c>
      <c r="B5" s="3247">
        <f ca="1">SUM(D14:D23)</f>
        <v>115335</v>
      </c>
      <c r="C5" s="3247">
        <f ca="1">ROUND(B5*10000/$B$1,0)</f>
        <v>12027</v>
      </c>
      <c r="D5" s="3247">
        <f ca="1">ROUND(B5*10000/$B$2,0)</f>
        <v>73721</v>
      </c>
      <c r="E5" s="3246"/>
      <c r="F5" s="3244"/>
      <c r="G5" s="3244"/>
    </row>
    <row r="6" spans="1:10" ht="16.5">
      <c r="A6" s="3247" t="s">
        <v>2975</v>
      </c>
      <c r="B6" s="3247">
        <f ca="1">SUM(G14:G23)</f>
        <v>115335</v>
      </c>
      <c r="C6" s="3247">
        <f ca="1">ROUND(B6*10000/$B$1,0)</f>
        <v>12027</v>
      </c>
      <c r="D6" s="3247">
        <f ca="1">ROUND(B6*10000/$B$2,0)</f>
        <v>73721</v>
      </c>
      <c r="E6" s="3246"/>
      <c r="F6" s="3244"/>
      <c r="G6" s="3244"/>
    </row>
    <row r="7" spans="1:10" ht="16.5">
      <c r="A7" s="3247" t="s">
        <v>2983</v>
      </c>
      <c r="B7" s="3247">
        <f>SUM(H14:H23)</f>
        <v>0</v>
      </c>
      <c r="C7" s="3247">
        <f>ROUND(B7*10000/$B$1,0)</f>
        <v>0</v>
      </c>
      <c r="D7" s="3247">
        <f>ROUND(B7*10000/$B$2,0)</f>
        <v>0</v>
      </c>
      <c r="E7" s="3246"/>
      <c r="F7" s="3244"/>
      <c r="G7" s="3244"/>
    </row>
    <row r="8" spans="1:10" ht="16.5">
      <c r="A8" s="3247" t="s">
        <v>2872</v>
      </c>
      <c r="B8" s="3247">
        <f>SUM(I14:I23)</f>
        <v>0</v>
      </c>
      <c r="C8" s="3247">
        <f>ROUND(B8*10000/$B$1,0)</f>
        <v>0</v>
      </c>
      <c r="D8" s="3247">
        <f>ROUND(B8*10000/$B$2,0)</f>
        <v>0</v>
      </c>
      <c r="E8" s="3246"/>
      <c r="F8" s="3244"/>
      <c r="G8" s="3244"/>
    </row>
    <row r="9" spans="1:10" ht="16.5">
      <c r="A9" s="3247" t="s">
        <v>2974</v>
      </c>
      <c r="B9" s="3249"/>
      <c r="C9" s="3246"/>
      <c r="D9" s="3246"/>
      <c r="E9" s="3246"/>
      <c r="F9" s="3244"/>
      <c r="G9" s="3244"/>
    </row>
    <row r="10" spans="1:10" ht="16.5">
      <c r="A10" s="3247" t="s">
        <v>2973</v>
      </c>
      <c r="B10" s="3249"/>
      <c r="C10" s="3246"/>
      <c r="D10" s="3246"/>
      <c r="E10" s="3246"/>
      <c r="F10" s="3244"/>
      <c r="G10" s="3244"/>
    </row>
    <row r="11" spans="1:10" ht="16.5">
      <c r="A11" s="3247" t="s">
        <v>2989</v>
      </c>
      <c r="B11" s="3249"/>
      <c r="C11" s="3246"/>
      <c r="D11" s="3246"/>
      <c r="E11" s="3246"/>
      <c r="F11" s="3244"/>
      <c r="G11" s="3244"/>
    </row>
    <row r="12" spans="1:10" ht="16.5">
      <c r="A12" s="3246"/>
      <c r="B12" s="3246"/>
      <c r="C12" s="3246"/>
      <c r="D12" s="3246"/>
      <c r="E12" s="3246"/>
      <c r="F12" s="3244"/>
      <c r="G12" s="3244"/>
    </row>
    <row r="13" spans="1:10" ht="33">
      <c r="A13" s="3252" t="s">
        <v>2988</v>
      </c>
      <c r="B13" s="3245" t="s">
        <v>2985</v>
      </c>
      <c r="C13" s="3245" t="s">
        <v>2987</v>
      </c>
      <c r="D13" s="3245" t="s">
        <v>2986</v>
      </c>
      <c r="E13" s="3247" t="s">
        <v>2978</v>
      </c>
      <c r="F13" s="3247" t="s">
        <v>2977</v>
      </c>
      <c r="G13" s="3245" t="s">
        <v>2971</v>
      </c>
      <c r="H13" s="3245" t="s">
        <v>2982</v>
      </c>
      <c r="I13" s="3245" t="s">
        <v>2970</v>
      </c>
      <c r="J13" s="3244"/>
    </row>
    <row r="14" spans="1:10" ht="16.5">
      <c r="A14" s="3243" t="s">
        <v>2969</v>
      </c>
      <c r="B14" s="3245">
        <f>'数据-汇总表'!E3</f>
        <v>95896.06</v>
      </c>
      <c r="C14" s="3245">
        <f>'数据-汇总表'!D3</f>
        <v>15644.81</v>
      </c>
      <c r="D14" s="3245">
        <f ca="1">结果表!H118</f>
        <v>115335</v>
      </c>
      <c r="E14" s="3245">
        <f ca="1">ROUND(D14*10000/B14,0)</f>
        <v>12027</v>
      </c>
      <c r="F14" s="3245">
        <f ca="1">ROUND(D14*10000/C14,0)</f>
        <v>73721</v>
      </c>
      <c r="G14" s="3245">
        <f ca="1">结果表!D122</f>
        <v>115335</v>
      </c>
      <c r="H14" s="3245" t="str">
        <f>结果表!D124</f>
        <v>——</v>
      </c>
      <c r="I14" s="3245" t="str">
        <f>结果表!D126</f>
        <v>——</v>
      </c>
      <c r="J14" s="3244"/>
    </row>
    <row r="15" spans="1:10" ht="16.5">
      <c r="A15" s="3243" t="s">
        <v>2968</v>
      </c>
      <c r="B15" s="3250"/>
      <c r="C15" s="3250"/>
      <c r="D15" s="3250"/>
      <c r="E15" s="3245" t="e">
        <f t="shared" ref="E15:E23" si="0">ROUND(D15*10000/B15,0)</f>
        <v>#DIV/0!</v>
      </c>
      <c r="F15" s="3245" t="e">
        <f t="shared" ref="F15:F23" si="1">ROUND(D15*10000/C15,0)</f>
        <v>#DIV/0!</v>
      </c>
      <c r="G15" s="3251"/>
      <c r="H15" s="3251"/>
      <c r="I15" s="3250"/>
      <c r="J15" s="3244"/>
    </row>
    <row r="16" spans="1:10" ht="16.5">
      <c r="A16" s="3243" t="s">
        <v>2967</v>
      </c>
      <c r="B16" s="3250"/>
      <c r="C16" s="3250"/>
      <c r="D16" s="3250"/>
      <c r="E16" s="3245" t="e">
        <f t="shared" si="0"/>
        <v>#DIV/0!</v>
      </c>
      <c r="F16" s="3245" t="e">
        <f t="shared" si="1"/>
        <v>#DIV/0!</v>
      </c>
      <c r="G16" s="3251"/>
      <c r="H16" s="3251"/>
      <c r="I16" s="3250"/>
    </row>
    <row r="17" spans="1:9" ht="16.5">
      <c r="A17" s="3243" t="s">
        <v>2966</v>
      </c>
      <c r="B17" s="3250"/>
      <c r="C17" s="3250"/>
      <c r="D17" s="3250"/>
      <c r="E17" s="3245" t="e">
        <f t="shared" si="0"/>
        <v>#DIV/0!</v>
      </c>
      <c r="F17" s="3245" t="e">
        <f t="shared" si="1"/>
        <v>#DIV/0!</v>
      </c>
      <c r="G17" s="3251"/>
      <c r="H17" s="3251"/>
      <c r="I17" s="3250"/>
    </row>
    <row r="18" spans="1:9" ht="16.5">
      <c r="A18" s="3243" t="s">
        <v>2965</v>
      </c>
      <c r="B18" s="3250"/>
      <c r="C18" s="3250"/>
      <c r="D18" s="3250"/>
      <c r="E18" s="3245" t="e">
        <f t="shared" si="0"/>
        <v>#DIV/0!</v>
      </c>
      <c r="F18" s="3245" t="e">
        <f t="shared" si="1"/>
        <v>#DIV/0!</v>
      </c>
      <c r="G18" s="3250"/>
      <c r="H18" s="3250"/>
      <c r="I18" s="3250"/>
    </row>
    <row r="19" spans="1:9" ht="16.5">
      <c r="A19" s="3243" t="s">
        <v>2964</v>
      </c>
      <c r="B19" s="3250"/>
      <c r="C19" s="3250"/>
      <c r="D19" s="3250"/>
      <c r="E19" s="3245" t="e">
        <f t="shared" si="0"/>
        <v>#DIV/0!</v>
      </c>
      <c r="F19" s="3245" t="e">
        <f t="shared" si="1"/>
        <v>#DIV/0!</v>
      </c>
      <c r="G19" s="3250"/>
      <c r="H19" s="3250"/>
      <c r="I19" s="3250"/>
    </row>
    <row r="20" spans="1:9" ht="16.5">
      <c r="A20" s="3243" t="s">
        <v>2963</v>
      </c>
      <c r="B20" s="3250"/>
      <c r="C20" s="3250"/>
      <c r="D20" s="3250"/>
      <c r="E20" s="3245" t="e">
        <f t="shared" si="0"/>
        <v>#DIV/0!</v>
      </c>
      <c r="F20" s="3245" t="e">
        <f t="shared" si="1"/>
        <v>#DIV/0!</v>
      </c>
      <c r="G20" s="3250"/>
      <c r="H20" s="3250"/>
      <c r="I20" s="3250"/>
    </row>
    <row r="21" spans="1:9" ht="16.5">
      <c r="A21" s="3243" t="s">
        <v>2962</v>
      </c>
      <c r="B21" s="3250"/>
      <c r="C21" s="3250"/>
      <c r="D21" s="3250"/>
      <c r="E21" s="3245" t="e">
        <f t="shared" si="0"/>
        <v>#DIV/0!</v>
      </c>
      <c r="F21" s="3245" t="e">
        <f t="shared" si="1"/>
        <v>#DIV/0!</v>
      </c>
      <c r="G21" s="3250"/>
      <c r="H21" s="3250"/>
      <c r="I21" s="3250"/>
    </row>
    <row r="22" spans="1:9" ht="16.5">
      <c r="A22" s="3243" t="s">
        <v>2961</v>
      </c>
      <c r="B22" s="3250"/>
      <c r="C22" s="3250"/>
      <c r="D22" s="3250"/>
      <c r="E22" s="3245" t="e">
        <f t="shared" si="0"/>
        <v>#DIV/0!</v>
      </c>
      <c r="F22" s="3245" t="e">
        <f t="shared" si="1"/>
        <v>#DIV/0!</v>
      </c>
      <c r="G22" s="3250"/>
      <c r="H22" s="3250"/>
      <c r="I22" s="3250"/>
    </row>
    <row r="23" spans="1:9" ht="16.5">
      <c r="A23" s="3243" t="s">
        <v>2960</v>
      </c>
      <c r="B23" s="3250"/>
      <c r="C23" s="3250"/>
      <c r="D23" s="3250"/>
      <c r="E23" s="3247" t="e">
        <f t="shared" si="0"/>
        <v>#DIV/0!</v>
      </c>
      <c r="F23" s="3247" t="e">
        <f t="shared" si="1"/>
        <v>#DIV/0!</v>
      </c>
      <c r="G23" s="3250"/>
      <c r="H23" s="3250"/>
      <c r="I23" s="325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D33" sqref="D33"/>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1"/>
      <c r="D1" s="1241"/>
      <c r="E1" s="1241"/>
      <c r="F1" s="2075" t="s">
        <v>2107</v>
      </c>
      <c r="G1" s="2048" t="s">
        <v>3068</v>
      </c>
      <c r="H1" s="2104" t="str">
        <f>IF(G1="现房","——","估价对象范围")</f>
        <v>估价对象范围</v>
      </c>
      <c r="I1" s="2081"/>
    </row>
    <row r="2" spans="1:12" ht="21.75" customHeight="1" thickBot="1">
      <c r="A2" s="3531" t="str">
        <f>项目基本情况!S2</f>
        <v>北京市通州区运河西岸Ⅷ-11地块出让国有建设用地使用权及在建建筑物房地产</v>
      </c>
      <c r="B2" s="3532"/>
      <c r="C2" s="3532"/>
      <c r="D2" s="3532"/>
      <c r="E2" s="3532"/>
      <c r="F2" s="3532"/>
      <c r="G2" s="3532"/>
      <c r="H2" s="3532"/>
      <c r="I2" s="3533"/>
    </row>
    <row r="3" spans="1:12" ht="12">
      <c r="A3" s="3535" t="s">
        <v>10</v>
      </c>
      <c r="B3" s="3536"/>
      <c r="C3" s="3536"/>
      <c r="D3" s="3536"/>
      <c r="E3" s="3536"/>
      <c r="F3" s="3536"/>
      <c r="G3" s="3536"/>
      <c r="H3" s="3536"/>
      <c r="I3" s="3536"/>
    </row>
    <row r="4" spans="1:12" ht="13.5">
      <c r="A4" s="428" t="s">
        <v>11</v>
      </c>
      <c r="B4" s="429" t="s">
        <v>12</v>
      </c>
      <c r="C4" s="430" t="s">
        <v>3224</v>
      </c>
      <c r="D4" s="430" t="s">
        <v>3225</v>
      </c>
      <c r="E4" s="3540" t="s">
        <v>761</v>
      </c>
      <c r="F4" s="3541"/>
      <c r="G4" s="3541"/>
      <c r="H4" s="3541"/>
      <c r="I4" s="3542"/>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06" t="s">
        <v>13</v>
      </c>
      <c r="B5" s="3534">
        <v>25</v>
      </c>
      <c r="C5" s="3537"/>
      <c r="D5" s="3524"/>
      <c r="E5" s="470" t="s">
        <v>805</v>
      </c>
      <c r="F5" s="431"/>
      <c r="G5" s="431"/>
      <c r="H5" s="431"/>
      <c r="I5" s="432"/>
    </row>
    <row r="6" spans="1:12" ht="12.75">
      <c r="A6" s="3506"/>
      <c r="B6" s="3534"/>
      <c r="C6" s="3539"/>
      <c r="D6" s="3524"/>
      <c r="E6" s="470" t="s">
        <v>806</v>
      </c>
      <c r="F6" s="431"/>
      <c r="G6" s="431"/>
      <c r="H6" s="431"/>
      <c r="I6" s="432"/>
    </row>
    <row r="7" spans="1:12" ht="12.75">
      <c r="A7" s="3506"/>
      <c r="B7" s="3534"/>
      <c r="C7" s="3538"/>
      <c r="D7" s="3524"/>
      <c r="E7" s="470" t="s">
        <v>807</v>
      </c>
      <c r="F7" s="431"/>
      <c r="G7" s="431"/>
      <c r="H7" s="431"/>
      <c r="I7" s="432"/>
    </row>
    <row r="8" spans="1:12" ht="12.75">
      <c r="A8" s="3506" t="s">
        <v>14</v>
      </c>
      <c r="B8" s="3534">
        <v>15</v>
      </c>
      <c r="C8" s="3537"/>
      <c r="D8" s="3524"/>
      <c r="E8" s="470" t="s">
        <v>808</v>
      </c>
      <c r="F8" s="431"/>
      <c r="G8" s="431"/>
      <c r="H8" s="431"/>
      <c r="I8" s="432"/>
    </row>
    <row r="9" spans="1:12" ht="12.75">
      <c r="A9" s="3506"/>
      <c r="B9" s="3534"/>
      <c r="C9" s="3538"/>
      <c r="D9" s="3524"/>
      <c r="E9" s="470" t="s">
        <v>809</v>
      </c>
      <c r="F9" s="431"/>
      <c r="G9" s="431"/>
      <c r="H9" s="431"/>
      <c r="I9" s="432"/>
    </row>
    <row r="10" spans="1:12" ht="12.75">
      <c r="A10" s="3506" t="s">
        <v>15</v>
      </c>
      <c r="B10" s="3534">
        <v>15</v>
      </c>
      <c r="C10" s="3537"/>
      <c r="D10" s="3524"/>
      <c r="E10" s="470" t="s">
        <v>810</v>
      </c>
      <c r="F10" s="431"/>
      <c r="G10" s="431"/>
      <c r="H10" s="431"/>
      <c r="I10" s="432"/>
    </row>
    <row r="11" spans="1:12" ht="12.75">
      <c r="A11" s="3506"/>
      <c r="B11" s="3534"/>
      <c r="C11" s="3538"/>
      <c r="D11" s="3524"/>
      <c r="E11" s="470" t="s">
        <v>811</v>
      </c>
      <c r="F11" s="431"/>
      <c r="G11" s="431"/>
      <c r="H11" s="431"/>
      <c r="I11" s="432"/>
    </row>
    <row r="12" spans="1:12" ht="12.75">
      <c r="A12" s="3506" t="s">
        <v>16</v>
      </c>
      <c r="B12" s="3534">
        <v>15</v>
      </c>
      <c r="C12" s="3537"/>
      <c r="D12" s="3524"/>
      <c r="E12" s="470" t="s">
        <v>812</v>
      </c>
      <c r="F12" s="431"/>
      <c r="G12" s="431"/>
      <c r="H12" s="431"/>
      <c r="I12" s="432"/>
    </row>
    <row r="13" spans="1:12" ht="12.75">
      <c r="A13" s="3506"/>
      <c r="B13" s="3534"/>
      <c r="C13" s="3538"/>
      <c r="D13" s="3524"/>
      <c r="E13" s="470" t="s">
        <v>813</v>
      </c>
      <c r="F13" s="431"/>
      <c r="G13" s="431"/>
      <c r="H13" s="431"/>
      <c r="I13" s="432"/>
    </row>
    <row r="14" spans="1:12" ht="12.75">
      <c r="A14" s="3506" t="s">
        <v>17</v>
      </c>
      <c r="B14" s="3534">
        <v>30</v>
      </c>
      <c r="C14" s="3537">
        <v>5</v>
      </c>
      <c r="D14" s="3524">
        <v>5</v>
      </c>
      <c r="E14" s="470" t="s">
        <v>814</v>
      </c>
      <c r="F14" s="431"/>
      <c r="G14" s="431"/>
      <c r="H14" s="431"/>
      <c r="I14" s="432"/>
    </row>
    <row r="15" spans="1:12" ht="12.75">
      <c r="A15" s="3506"/>
      <c r="B15" s="3534"/>
      <c r="C15" s="3539"/>
      <c r="D15" s="3524"/>
      <c r="E15" s="470" t="s">
        <v>815</v>
      </c>
      <c r="F15" s="431"/>
      <c r="G15" s="431"/>
      <c r="H15" s="431"/>
      <c r="I15" s="432"/>
    </row>
    <row r="16" spans="1:12" ht="12.75">
      <c r="A16" s="3506"/>
      <c r="B16" s="3534"/>
      <c r="C16" s="3538"/>
      <c r="D16" s="3524"/>
      <c r="E16" s="470" t="s">
        <v>816</v>
      </c>
      <c r="F16" s="431"/>
      <c r="G16" s="431"/>
      <c r="H16" s="431"/>
      <c r="I16" s="432"/>
    </row>
    <row r="17" spans="1:35" ht="14.25">
      <c r="A17" s="433" t="s">
        <v>18</v>
      </c>
      <c r="B17" s="38"/>
      <c r="C17" s="471">
        <f>SUM(C5:C16)</f>
        <v>5</v>
      </c>
      <c r="D17" s="471">
        <f>SUM(D5:D16)</f>
        <v>5</v>
      </c>
      <c r="E17" s="2268"/>
      <c r="F17" s="2268"/>
      <c r="G17" s="2268"/>
      <c r="H17" s="2268"/>
      <c r="I17" s="2268"/>
      <c r="K17" s="2177"/>
      <c r="L17" s="2178" t="s">
        <v>2315</v>
      </c>
      <c r="M17" s="2178" t="s">
        <v>2316</v>
      </c>
    </row>
    <row r="18" spans="1:35" ht="15" thickBot="1">
      <c r="A18" s="434" t="s">
        <v>19</v>
      </c>
      <c r="B18" s="18"/>
      <c r="C18" s="472">
        <f>ROUND(C17/SUM(C17:D17),2)</f>
        <v>0.5</v>
      </c>
      <c r="D18" s="472">
        <f>1-C18</f>
        <v>0.5</v>
      </c>
      <c r="E18" s="2268"/>
      <c r="F18" s="2268"/>
      <c r="G18" s="2268"/>
      <c r="H18" s="2268"/>
      <c r="I18" s="2268"/>
      <c r="K18" s="2177" t="s">
        <v>2129</v>
      </c>
      <c r="L18" s="2177">
        <f>IF(C1="",'数据-汇总表'!E3,SUMIF(项目类型,C1,'数据-汇总表'!E17:E26)+SUMIF(项目类型,C1,'数据-汇总表'!I17:I26))</f>
        <v>95896.06</v>
      </c>
      <c r="M18" s="2177">
        <f>IF(C1="",'数据-汇总表'!E3,SUMIF(项目类型,C1,'数据-汇总表'!E17:E26))</f>
        <v>95896.06</v>
      </c>
    </row>
    <row r="19" spans="1:35" ht="14.25">
      <c r="A19" s="435" t="s">
        <v>178</v>
      </c>
      <c r="B19" s="436" t="s">
        <v>20</v>
      </c>
      <c r="C19" s="473">
        <f ca="1">SUMIF(INDIRECT("'"&amp;C4&amp;"'"&amp;"!A:A"),结果表!B19,INDIRECT("'"&amp;C4&amp;"'"&amp;"!B:B"))</f>
        <v>111836</v>
      </c>
      <c r="D19" s="474">
        <f ca="1">SUMIF(INDIRECT("'"&amp;D4&amp;"'"&amp;"!A:A"),结果表!B19,INDIRECT("'"&amp;D4&amp;"'"&amp;"!B:B"))</f>
        <v>118833</v>
      </c>
      <c r="E19" s="435" t="s">
        <v>177</v>
      </c>
      <c r="F19" s="436" t="s">
        <v>20</v>
      </c>
      <c r="G19" s="475">
        <f ca="1">ROUND(C19*$C$18+D19*$D$18,0)</f>
        <v>115335</v>
      </c>
      <c r="H19" s="437" t="s">
        <v>224</v>
      </c>
      <c r="I19" s="2268"/>
      <c r="K19" s="2177" t="s">
        <v>2130</v>
      </c>
      <c r="L19" s="2177">
        <f>IF(C1="",'数据-汇总表'!D3,SUMIF(项目类型,C1,'数据-汇总表'!D17:D26)+SUMIF(项目类型,C1,'数据-汇总表'!H17:H27))</f>
        <v>15644.81</v>
      </c>
      <c r="M19" s="2177">
        <f>IF(C1="",'数据-汇总表'!D3,SUMIF(项目类型,C1,'数据-汇总表'!D17:D26))</f>
        <v>15644.81</v>
      </c>
    </row>
    <row r="20" spans="1:35" ht="14.25">
      <c r="A20" s="438"/>
      <c r="B20" s="439" t="s">
        <v>21</v>
      </c>
      <c r="C20" s="476">
        <f ca="1">SUMIF(INDIRECT("'"&amp;C4&amp;"'"&amp;"!A:A"),结果表!B20,INDIRECT("'"&amp;C4&amp;"'"&amp;"!B:B"))</f>
        <v>11662</v>
      </c>
      <c r="D20" s="477">
        <f ca="1">SUMIF(INDIRECT("'"&amp;D4&amp;"'"&amp;"!A:A"),结果表!B20,INDIRECT("'"&amp;D4&amp;"'"&amp;"!B:B"))</f>
        <v>12392</v>
      </c>
      <c r="E20" s="438"/>
      <c r="F20" s="439" t="s">
        <v>21</v>
      </c>
      <c r="G20" s="478">
        <f ca="1">ROUND(C20*$C$18+D20*$D$18,0)</f>
        <v>12027</v>
      </c>
      <c r="H20" s="440" t="s">
        <v>223</v>
      </c>
      <c r="I20" s="2268"/>
    </row>
    <row r="21" spans="1:35" ht="15" customHeight="1" thickBot="1">
      <c r="A21" s="442"/>
      <c r="B21" s="443" t="s">
        <v>22</v>
      </c>
      <c r="C21" s="1420">
        <f ca="1">ROUND(C19*10000/L19,0)</f>
        <v>71484</v>
      </c>
      <c r="D21" s="1421">
        <f ca="1">ROUND(D19*10000/L19,0)</f>
        <v>75957</v>
      </c>
      <c r="E21" s="442"/>
      <c r="F21" s="443" t="s">
        <v>22</v>
      </c>
      <c r="G21" s="479">
        <f ca="1">ROUND(G19*10000/L19,0)</f>
        <v>73721</v>
      </c>
      <c r="H21" s="444" t="s">
        <v>223</v>
      </c>
      <c r="I21" s="2268"/>
    </row>
    <row r="22" spans="1:35" ht="15" thickBot="1">
      <c r="A22" s="275" t="s">
        <v>179</v>
      </c>
      <c r="B22" s="1422"/>
      <c r="C22" s="1423"/>
      <c r="D22" s="1424">
        <f ca="1">IF(C19&lt;D19,D19/C19-1,C19/D19-1)</f>
        <v>6.2564827068207096E-2</v>
      </c>
      <c r="E22" s="2268"/>
      <c r="F22" s="2268"/>
      <c r="G22" s="2268"/>
      <c r="H22" s="2268"/>
      <c r="I22" s="2268"/>
    </row>
    <row r="23" spans="1:35" ht="12.75" thickBot="1">
      <c r="A23" s="1241"/>
      <c r="B23" s="1241"/>
      <c r="C23" s="1241"/>
      <c r="D23" s="1241"/>
      <c r="E23" s="2268"/>
      <c r="F23" s="2268"/>
      <c r="G23" s="2268"/>
      <c r="H23" s="2268"/>
      <c r="I23" s="2268"/>
    </row>
    <row r="24" spans="1:35" ht="14.25">
      <c r="A24" s="3549" t="s">
        <v>175</v>
      </c>
      <c r="B24" s="436" t="s">
        <v>20</v>
      </c>
      <c r="C24" s="475">
        <f>IF(B30=0,0,D30)</f>
        <v>0</v>
      </c>
      <c r="D24" s="445"/>
      <c r="E24" s="2268"/>
      <c r="F24" s="2268"/>
      <c r="G24" s="2268"/>
      <c r="H24" s="2268"/>
      <c r="I24" s="2268"/>
    </row>
    <row r="25" spans="1:35" ht="14.25">
      <c r="A25" s="3550"/>
      <c r="B25" s="439" t="s">
        <v>21</v>
      </c>
      <c r="C25" s="480">
        <f>IF(B30=0,0,C30)</f>
        <v>0</v>
      </c>
      <c r="D25" s="446"/>
      <c r="E25" s="2268"/>
      <c r="F25" s="2268"/>
      <c r="G25" s="2268"/>
      <c r="H25" s="2268"/>
      <c r="I25" s="2268"/>
    </row>
    <row r="26" spans="1:35" ht="13.5" customHeight="1">
      <c r="A26" s="447" t="s">
        <v>176</v>
      </c>
      <c r="B26" s="448" t="s">
        <v>119</v>
      </c>
      <c r="C26" s="448" t="s">
        <v>120</v>
      </c>
      <c r="D26" s="449" t="s">
        <v>121</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174</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173</v>
      </c>
      <c r="B32" s="453"/>
      <c r="C32" s="484">
        <f ca="1">IF(D32="总价",G19-C24,G20-C25)</f>
        <v>115335</v>
      </c>
      <c r="D32" s="2085" t="s">
        <v>206</v>
      </c>
      <c r="E32" s="2268"/>
      <c r="F32" s="2268"/>
      <c r="G32" s="2268"/>
      <c r="H32" s="2268"/>
      <c r="I32" s="2268"/>
    </row>
    <row r="33" spans="1:15" ht="13.5">
      <c r="A33" s="456" t="s">
        <v>762</v>
      </c>
      <c r="B33" s="2084"/>
      <c r="C33" s="2865" t="s">
        <v>3226</v>
      </c>
      <c r="D33" s="2868" t="s">
        <v>3224</v>
      </c>
      <c r="E33" s="2082" t="s">
        <v>2109</v>
      </c>
      <c r="F33" s="2083" t="str">
        <f>IF(D32="楼面单价","取值（单价）","取值（总价）")</f>
        <v>取值（总价）</v>
      </c>
      <c r="G33" s="2268"/>
      <c r="H33" s="2268"/>
      <c r="I33" s="2268"/>
    </row>
    <row r="34" spans="1:15" ht="15">
      <c r="A34" s="457"/>
      <c r="B34" s="458" t="s">
        <v>765</v>
      </c>
      <c r="C34" s="488">
        <f ca="1">IF(C33="自定义",F34,C32-C35)</f>
        <v>107146</v>
      </c>
      <c r="D34" s="2086">
        <f ca="1">IF(C33="自定义",ROUND(C34/C32,3),IF(C33="收益比率",SUMIF(INDIRECT("'"&amp;D33&amp;"'"&amp;"!b:b"),"土地收益比率",INDIRECT("'"&amp;D33&amp;"'"&amp;"!c:c")),SUMIF(INDIRECT("'"&amp;D33&amp;"'"&amp;"!b:b"),"土地成本比率",INDIRECT("'"&amp;D33&amp;"'"&amp;"!c:c"))))</f>
        <v>0.92900000000000005</v>
      </c>
      <c r="E34" s="2866" t="s">
        <v>2110</v>
      </c>
      <c r="F34" s="3240"/>
      <c r="G34" s="2268"/>
      <c r="H34" s="2268"/>
      <c r="I34" s="2268"/>
    </row>
    <row r="35" spans="1:15" ht="15.75" thickBot="1">
      <c r="A35" s="460"/>
      <c r="B35" s="2869" t="s">
        <v>767</v>
      </c>
      <c r="C35" s="2870">
        <f ca="1">IF(C33="自定义",F35,ROUND(C32*D35,0))</f>
        <v>8189</v>
      </c>
      <c r="D35" s="2871">
        <f ca="1">IF(C33="自定义",ROUND(C35/C32,3),IF(C33="收益比率",SUMIF(INDIRECT("'"&amp;D33&amp;"'"&amp;"!b:b"),"建筑物收益比率",INDIRECT("'"&amp;D33&amp;"'"&amp;"!c:c")),SUMIF(INDIRECT("'"&amp;D33&amp;"'"&amp;"!b:b"),"建筑物成本比率",INDIRECT("'"&amp;D33&amp;"'"&amp;"!c:c"))))</f>
        <v>7.0999999999999994E-2</v>
      </c>
      <c r="E35" s="2867" t="s">
        <v>2111</v>
      </c>
      <c r="F35" s="494"/>
      <c r="G35" s="2268"/>
      <c r="H35" s="2268"/>
      <c r="I35" s="2268"/>
    </row>
    <row r="36" spans="1:15" ht="15.75" thickBot="1">
      <c r="A36" s="3525" t="s">
        <v>763</v>
      </c>
      <c r="B36" s="454" t="s">
        <v>764</v>
      </c>
      <c r="C36" s="485"/>
      <c r="D36" s="455"/>
      <c r="E36" s="1244"/>
      <c r="F36" s="2269"/>
      <c r="G36" s="2268"/>
      <c r="H36" s="2268"/>
      <c r="I36" s="2268"/>
    </row>
    <row r="37" spans="1:15" ht="15.75" thickBot="1">
      <c r="A37" s="3526"/>
      <c r="B37" s="13" t="s">
        <v>766</v>
      </c>
      <c r="C37" s="487"/>
      <c r="D37" s="2217"/>
      <c r="E37" s="2217"/>
      <c r="F37" s="2269"/>
      <c r="G37" s="2268"/>
      <c r="H37" s="2268"/>
      <c r="I37" s="2268"/>
    </row>
    <row r="38" spans="1:15" ht="15.75" thickBot="1">
      <c r="A38" s="3527"/>
      <c r="B38" s="459" t="s">
        <v>768</v>
      </c>
      <c r="C38" s="1135"/>
      <c r="D38" s="1245" t="s">
        <v>769</v>
      </c>
      <c r="E38" s="2217"/>
      <c r="F38" s="2269"/>
      <c r="G38" s="2268"/>
      <c r="H38" s="2268"/>
      <c r="I38" s="2268"/>
    </row>
    <row r="39" spans="1:15" ht="13.5">
      <c r="A39" s="438" t="s">
        <v>770</v>
      </c>
      <c r="B39" s="461" t="s">
        <v>771</v>
      </c>
      <c r="C39" s="462" t="s">
        <v>772</v>
      </c>
      <c r="D39" s="462" t="s">
        <v>773</v>
      </c>
      <c r="E39" s="463" t="s">
        <v>774</v>
      </c>
      <c r="F39" s="2269"/>
      <c r="G39" s="2268"/>
      <c r="H39" s="2268"/>
      <c r="I39" s="2268"/>
    </row>
    <row r="40" spans="1:15" ht="13.5">
      <c r="A40" s="1246" t="s">
        <v>775</v>
      </c>
      <c r="B40" s="489"/>
      <c r="C40" s="490"/>
      <c r="D40" s="490"/>
      <c r="E40" s="491"/>
      <c r="F40" s="2269"/>
      <c r="G40" s="2268"/>
      <c r="H40" s="2268"/>
      <c r="I40" s="2268"/>
    </row>
    <row r="41" spans="1:15" ht="13.5">
      <c r="A41" s="1246" t="s">
        <v>776</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c r="A44" s="1250" t="s">
        <v>777</v>
      </c>
      <c r="B44" s="1251"/>
      <c r="C44" s="1251"/>
      <c r="D44" s="1252"/>
      <c r="E44" s="1252"/>
      <c r="F44" s="1253"/>
      <c r="G44" s="1253"/>
      <c r="H44" s="1253"/>
      <c r="I44" s="1253"/>
      <c r="J44" s="3257" t="s">
        <v>210</v>
      </c>
      <c r="K44" s="3258"/>
      <c r="L44" s="3258"/>
      <c r="M44" s="3258"/>
      <c r="N44" s="3258"/>
      <c r="O44" s="3258"/>
    </row>
    <row r="45" spans="1:15" ht="14.25" customHeight="1" thickBot="1">
      <c r="A45" s="3546" t="s">
        <v>797</v>
      </c>
      <c r="B45" s="3547"/>
      <c r="C45" s="3548"/>
      <c r="D45" s="495">
        <f ca="1">ROUND(H101*F45,0)</f>
        <v>115335</v>
      </c>
      <c r="E45" s="496" t="s">
        <v>798</v>
      </c>
      <c r="F45" s="497">
        <v>1</v>
      </c>
      <c r="G45" s="498" t="s">
        <v>799</v>
      </c>
      <c r="H45" s="2268"/>
      <c r="I45" s="2268"/>
      <c r="J45" s="3456" t="s">
        <v>211</v>
      </c>
      <c r="K45" s="3456"/>
      <c r="L45" s="3456"/>
      <c r="M45" s="3456"/>
      <c r="N45" s="3456"/>
      <c r="O45" s="3456"/>
    </row>
    <row r="46" spans="1:15" ht="14.25" customHeight="1">
      <c r="A46" s="3543" t="s">
        <v>283</v>
      </c>
      <c r="B46" s="3544"/>
      <c r="C46" s="3544"/>
      <c r="D46" s="3544"/>
      <c r="E46" s="3544"/>
      <c r="F46" s="3544"/>
      <c r="G46" s="3545"/>
      <c r="H46" s="2270"/>
      <c r="I46" s="2223"/>
      <c r="J46" s="1493">
        <v>1</v>
      </c>
      <c r="K46" s="3456" t="s">
        <v>212</v>
      </c>
      <c r="L46" s="3456"/>
      <c r="M46" s="3457"/>
      <c r="N46" s="3457"/>
      <c r="O46" s="3457"/>
    </row>
    <row r="47" spans="1:15" ht="12" customHeight="1">
      <c r="A47" s="500" t="s">
        <v>284</v>
      </c>
      <c r="B47" s="501"/>
      <c r="C47" s="502"/>
      <c r="D47" s="503" t="s">
        <v>285</v>
      </c>
      <c r="E47" s="313" t="s">
        <v>286</v>
      </c>
      <c r="F47" s="504" t="s">
        <v>800</v>
      </c>
      <c r="G47" s="505" t="s">
        <v>801</v>
      </c>
      <c r="H47" s="2270"/>
      <c r="I47" s="2223"/>
      <c r="J47" s="1493">
        <v>2</v>
      </c>
      <c r="K47" s="3456" t="s">
        <v>213</v>
      </c>
      <c r="L47" s="3456"/>
      <c r="M47" s="3458">
        <f>'数据-取费表'!B2</f>
        <v>43007</v>
      </c>
      <c r="N47" s="3458"/>
      <c r="O47" s="3458"/>
    </row>
    <row r="48" spans="1:15" ht="25.5">
      <c r="A48" s="3529" t="s">
        <v>287</v>
      </c>
      <c r="B48" s="3530"/>
      <c r="C48" s="3530"/>
      <c r="D48" s="470">
        <f>IF(H48="情况1",0,IF(H48="情况2",D52,IF(H48="情况3",D53,IF(H48="情况4",D54))))</f>
        <v>0</v>
      </c>
      <c r="E48" s="1916" t="str">
        <f>IF(H48="情况4","(销售额-原购置价)×税（费）率","销售额×税（费）率")</f>
        <v>销售额×税（费）率</v>
      </c>
      <c r="F48" s="506" t="str">
        <f>IF(H48="情况1","免征",'数据-取费表'!B41)</f>
        <v>免征</v>
      </c>
      <c r="G48" s="464" t="s">
        <v>778</v>
      </c>
      <c r="H48" s="1430" t="s">
        <v>2412</v>
      </c>
      <c r="I48" s="2270"/>
      <c r="J48" s="1493">
        <v>3</v>
      </c>
      <c r="K48" s="3456" t="s">
        <v>779</v>
      </c>
      <c r="L48" s="3456"/>
      <c r="M48" s="3459">
        <f ca="1">H101</f>
        <v>115335</v>
      </c>
      <c r="N48" s="3459"/>
      <c r="O48" s="3459"/>
    </row>
    <row r="49" spans="1:35" ht="25.5" customHeight="1">
      <c r="A49" s="507" t="s">
        <v>802</v>
      </c>
      <c r="B49" s="3509" t="s">
        <v>803</v>
      </c>
      <c r="C49" s="3509"/>
      <c r="D49" s="508">
        <v>0</v>
      </c>
      <c r="E49" s="312" t="s">
        <v>804</v>
      </c>
      <c r="F49" s="317" t="s">
        <v>169</v>
      </c>
      <c r="G49" s="3488"/>
      <c r="H49" s="2268"/>
      <c r="I49" s="2271"/>
      <c r="J49" s="1493">
        <v>4</v>
      </c>
      <c r="K49" s="3456" t="str">
        <f>IF(项目基本情况!E8="房地产抵押价值","房地产抵押价值","抵押担保权已注销时的房地产抵押价值")</f>
        <v>房地产抵押价值</v>
      </c>
      <c r="L49" s="3456"/>
      <c r="M49" s="3459">
        <f ca="1">IF(项目基本情况!E8="房地产抵押价值",H107,H109)</f>
        <v>115335</v>
      </c>
      <c r="N49" s="3459"/>
      <c r="O49" s="3459"/>
    </row>
    <row r="50" spans="1:35" ht="25.5" customHeight="1">
      <c r="A50" s="509"/>
      <c r="B50" s="3509" t="s">
        <v>290</v>
      </c>
      <c r="C50" s="3509"/>
      <c r="D50" s="510"/>
      <c r="E50" s="320"/>
      <c r="F50" s="511"/>
      <c r="G50" s="3489"/>
      <c r="H50" s="2268"/>
      <c r="I50" s="2271"/>
      <c r="J50" s="3456" t="s">
        <v>214</v>
      </c>
      <c r="K50" s="3456"/>
      <c r="L50" s="3456"/>
      <c r="M50" s="3456"/>
      <c r="N50" s="3456"/>
      <c r="O50" s="3456"/>
    </row>
    <row r="51" spans="1:35" ht="12" customHeight="1">
      <c r="A51" s="512"/>
      <c r="B51" s="3509" t="s">
        <v>291</v>
      </c>
      <c r="C51" s="3509"/>
      <c r="D51" s="513"/>
      <c r="E51" s="319"/>
      <c r="F51" s="511"/>
      <c r="G51" s="3490"/>
      <c r="H51" s="2268"/>
      <c r="I51" s="2271"/>
      <c r="J51" s="3259" t="s">
        <v>215</v>
      </c>
      <c r="K51" s="3456" t="s">
        <v>216</v>
      </c>
      <c r="L51" s="3456"/>
      <c r="M51" s="3259" t="s">
        <v>2997</v>
      </c>
      <c r="N51" s="3259" t="s">
        <v>217</v>
      </c>
      <c r="O51" s="3259" t="s">
        <v>218</v>
      </c>
    </row>
    <row r="52" spans="1:35" ht="24" customHeight="1">
      <c r="A52" s="514" t="s">
        <v>292</v>
      </c>
      <c r="B52" s="3509" t="s">
        <v>293</v>
      </c>
      <c r="C52" s="3509"/>
      <c r="D52" s="513">
        <f ca="1">ROUND(D45*'数据-取费表'!B41/(1+'数据-取费表'!C42),0)</f>
        <v>6041</v>
      </c>
      <c r="E52" s="299" t="s">
        <v>294</v>
      </c>
      <c r="F52" s="515">
        <f>'数据-取费表'!B41</f>
        <v>5.5000000000000007E-2</v>
      </c>
      <c r="G52" s="465"/>
      <c r="H52" s="2268"/>
      <c r="I52" s="2271"/>
      <c r="J52" s="1493">
        <v>1</v>
      </c>
      <c r="K52" s="3482" t="s">
        <v>780</v>
      </c>
      <c r="L52" s="3482"/>
      <c r="M52" s="3260">
        <f>D48</f>
        <v>0</v>
      </c>
      <c r="N52" s="1492" t="str">
        <f>E48</f>
        <v>销售额×税（费）率</v>
      </c>
      <c r="O52" s="3261" t="str">
        <f>F48</f>
        <v>免征</v>
      </c>
    </row>
    <row r="53" spans="1:35" ht="12" customHeight="1">
      <c r="A53" s="514" t="s">
        <v>295</v>
      </c>
      <c r="B53" s="3510" t="s">
        <v>296</v>
      </c>
      <c r="C53" s="3511"/>
      <c r="D53" s="513">
        <f ca="1">ROUND(D45*'数据-取费表'!B41/(1+'数据-取费表'!C42),0)</f>
        <v>6041</v>
      </c>
      <c r="E53" s="299" t="s">
        <v>294</v>
      </c>
      <c r="F53" s="515">
        <f>'数据-取费表'!B41</f>
        <v>5.5000000000000007E-2</v>
      </c>
      <c r="G53" s="465"/>
      <c r="H53" s="2268"/>
      <c r="I53" s="2271"/>
      <c r="J53" s="1493">
        <v>2</v>
      </c>
      <c r="K53" s="3482" t="s">
        <v>781</v>
      </c>
      <c r="L53" s="3482"/>
      <c r="M53" s="3260">
        <f t="shared" ref="M53:O54" ca="1" si="0">D55</f>
        <v>58</v>
      </c>
      <c r="N53" s="1492" t="str">
        <f t="shared" si="0"/>
        <v>销售额×税（费）率</v>
      </c>
      <c r="O53" s="3261">
        <f t="shared" si="0"/>
        <v>5.0000000000000001E-4</v>
      </c>
    </row>
    <row r="54" spans="1:35" ht="12" customHeight="1">
      <c r="A54" s="514" t="s">
        <v>297</v>
      </c>
      <c r="B54" s="3510" t="s">
        <v>298</v>
      </c>
      <c r="C54" s="3511"/>
      <c r="D54" s="513">
        <f ca="1">C68</f>
        <v>6041</v>
      </c>
      <c r="E54" s="319" t="s">
        <v>299</v>
      </c>
      <c r="F54" s="515">
        <f>'数据-取费表'!B41</f>
        <v>5.5000000000000007E-2</v>
      </c>
      <c r="G54" s="465"/>
      <c r="H54" s="2272"/>
      <c r="I54" s="2271"/>
      <c r="J54" s="1493">
        <v>3</v>
      </c>
      <c r="K54" s="3482" t="s">
        <v>782</v>
      </c>
      <c r="L54" s="3482"/>
      <c r="M54" s="3260">
        <f t="shared" ca="1" si="0"/>
        <v>65384</v>
      </c>
      <c r="N54" s="1492" t="str">
        <f t="shared" si="0"/>
        <v>增值额×税（费）率</v>
      </c>
      <c r="O54" s="3262" t="str">
        <f t="shared" si="0"/>
        <v>——</v>
      </c>
    </row>
    <row r="55" spans="1:35" ht="24" customHeight="1">
      <c r="A55" s="3552" t="s">
        <v>300</v>
      </c>
      <c r="B55" s="3530"/>
      <c r="C55" s="3530"/>
      <c r="D55" s="516">
        <f ca="1">IF(H55="个人住宅",0,ROUND(D45*I55,0))</f>
        <v>58</v>
      </c>
      <c r="E55" s="299" t="s">
        <v>301</v>
      </c>
      <c r="F55" s="515">
        <f>IF(H55="正常",I55,"免征")</f>
        <v>5.0000000000000001E-4</v>
      </c>
      <c r="G55" s="465"/>
      <c r="H55" s="1430" t="s">
        <v>154</v>
      </c>
      <c r="I55" s="517">
        <f>'数据-取费表'!B49</f>
        <v>5.0000000000000001E-4</v>
      </c>
      <c r="J55" s="1493" t="str">
        <f>IF(H59="非个人房产","",4)</f>
        <v/>
      </c>
      <c r="K55" s="3482" t="str">
        <f>IF(H59="非个人房产","——","个人所得税")</f>
        <v>——</v>
      </c>
      <c r="L55" s="3482"/>
      <c r="M55" s="3263" t="str">
        <f>D59</f>
        <v>——</v>
      </c>
      <c r="N55" s="3264" t="str">
        <f>E59</f>
        <v>——</v>
      </c>
      <c r="O55" s="3265" t="str">
        <f>F59</f>
        <v>——</v>
      </c>
    </row>
    <row r="56" spans="1:35" ht="24.75">
      <c r="A56" s="3552" t="s">
        <v>302</v>
      </c>
      <c r="B56" s="3530"/>
      <c r="C56" s="3530"/>
      <c r="D56" s="516">
        <f ca="1">IF(H56="个人住宅",D57,D58)</f>
        <v>65384</v>
      </c>
      <c r="E56" s="299" t="s">
        <v>303</v>
      </c>
      <c r="F56" s="515" t="str">
        <f>IF(H56="正常",F58,"免征")</f>
        <v>——</v>
      </c>
      <c r="G56" s="1254" t="s">
        <v>783</v>
      </c>
      <c r="H56" s="1429" t="s">
        <v>154</v>
      </c>
      <c r="I56" s="2273"/>
      <c r="J56" s="1493" t="str">
        <f>IF(项目基本情况!K6="上海银行",IF(J55="",4,J55+1),"")</f>
        <v/>
      </c>
      <c r="K56" s="3462" t="str">
        <f>IF(项目基本情况!K6="上海银行","其他处置费用","")</f>
        <v/>
      </c>
      <c r="L56" s="3463"/>
      <c r="M56" s="3260" t="str">
        <f>IF(项目基本情况!K6="上海银行",M69,"")</f>
        <v/>
      </c>
      <c r="N56" s="3465" t="str">
        <f>IF(项目基本情况!K6="上海银行","包含处置中涉及的律师、诉讼、拍卖、评估等费用","")</f>
        <v/>
      </c>
      <c r="O56" s="3466"/>
    </row>
    <row r="57" spans="1:35" ht="12.75">
      <c r="A57" s="514" t="s">
        <v>288</v>
      </c>
      <c r="B57" s="3515" t="s">
        <v>304</v>
      </c>
      <c r="C57" s="3516"/>
      <c r="D57" s="518">
        <v>0</v>
      </c>
      <c r="E57" s="312" t="s">
        <v>289</v>
      </c>
      <c r="F57" s="486"/>
      <c r="G57" s="465"/>
      <c r="H57" s="2273"/>
      <c r="I57" s="2273"/>
      <c r="J57" s="3494">
        <f>IF(AND(J55="",J56=""),4,IF(项目基本情况!K6="上海银行",结果表!J56+1,结果表!J55+1))</f>
        <v>4</v>
      </c>
      <c r="K57" s="3482" t="s">
        <v>784</v>
      </c>
      <c r="L57" s="3266" t="s">
        <v>219</v>
      </c>
      <c r="M57" s="3267"/>
      <c r="N57" s="3268">
        <f ca="1">SUMIF(M52:M56,"&lt;9e307")</f>
        <v>65442</v>
      </c>
      <c r="O57" s="3269"/>
      <c r="P57" s="3256">
        <f ca="1">N57/M49</f>
        <v>0.56740798543373649</v>
      </c>
    </row>
    <row r="58" spans="1:35" ht="24.75">
      <c r="A58" s="514" t="s">
        <v>292</v>
      </c>
      <c r="B58" s="3515" t="s">
        <v>305</v>
      </c>
      <c r="C58" s="3528"/>
      <c r="D58" s="516">
        <f ca="1">IF(H58="转让取得",C81,C97)</f>
        <v>65384</v>
      </c>
      <c r="E58" s="299" t="s">
        <v>303</v>
      </c>
      <c r="F58" s="313" t="s">
        <v>169</v>
      </c>
      <c r="G58" s="465"/>
      <c r="H58" s="1429" t="s">
        <v>1135</v>
      </c>
      <c r="I58" s="2273"/>
      <c r="J58" s="3494"/>
      <c r="K58" s="3482"/>
      <c r="L58" s="3266" t="s">
        <v>220</v>
      </c>
      <c r="M58" s="3270"/>
      <c r="N58" s="3271" t="str">
        <f ca="1">NUMBERSTRING(INT(N57*10000),2)&amp;"元整"</f>
        <v>陆亿伍仟肆佰肆拾贰万元整</v>
      </c>
      <c r="O58" s="3272"/>
    </row>
    <row r="59" spans="1:35" ht="24.75" thickBot="1">
      <c r="A59" s="3486" t="s">
        <v>306</v>
      </c>
      <c r="B59" s="3487"/>
      <c r="C59" s="3487"/>
      <c r="D59" s="519" t="str">
        <f>IF(H59="非个人房产","——",IF(H59="个人住宅",0,ROUND(D45*I59,0)))</f>
        <v>——</v>
      </c>
      <c r="E59" s="520" t="str">
        <f>IF(H59="非个人房产","——","销售额×税（费）率")</f>
        <v>——</v>
      </c>
      <c r="F59" s="521" t="str">
        <f>IF(H59="非个人房产","——",IF(H59="个人住宅","免征",I59))</f>
        <v>——</v>
      </c>
      <c r="G59" s="1255" t="s">
        <v>168</v>
      </c>
      <c r="H59" s="1429" t="s">
        <v>1134</v>
      </c>
      <c r="I59" s="522">
        <v>0.01</v>
      </c>
      <c r="J59" s="3484">
        <f>J57+1</f>
        <v>5</v>
      </c>
      <c r="K59" s="3482" t="s">
        <v>170</v>
      </c>
      <c r="L59" s="1492" t="s">
        <v>219</v>
      </c>
      <c r="M59" s="3273"/>
      <c r="N59" s="3274">
        <f ca="1">M49-N57</f>
        <v>49893</v>
      </c>
      <c r="O59" s="3275"/>
    </row>
    <row r="60" spans="1:35" ht="12" customHeight="1">
      <c r="A60" s="1256"/>
      <c r="B60" s="1241"/>
      <c r="C60" s="1241"/>
      <c r="D60" s="1241"/>
      <c r="E60" s="229"/>
      <c r="F60" s="2273"/>
      <c r="G60" s="2273"/>
      <c r="H60" s="2274"/>
      <c r="I60" s="2268"/>
      <c r="J60" s="3485"/>
      <c r="K60" s="3482"/>
      <c r="L60" s="3266" t="s">
        <v>220</v>
      </c>
      <c r="M60" s="3270"/>
      <c r="N60" s="3271" t="str">
        <f ca="1">NUMBERSTRING(INT(N59*10000),2)&amp;"元整"</f>
        <v>肆亿玖仟捌佰玖拾叁万元整</v>
      </c>
      <c r="O60" s="3272"/>
    </row>
    <row r="61" spans="1:35" ht="13.5" thickBot="1">
      <c r="A61" s="3551" t="s">
        <v>307</v>
      </c>
      <c r="B61" s="3551"/>
      <c r="C61" s="3551"/>
      <c r="D61" s="3551"/>
      <c r="E61" s="3551"/>
      <c r="F61" s="2273"/>
      <c r="G61" s="2273"/>
      <c r="H61" s="2274"/>
      <c r="I61" s="2268"/>
      <c r="J61" s="1493">
        <f>J59+1</f>
        <v>6</v>
      </c>
      <c r="K61" s="3482" t="s">
        <v>221</v>
      </c>
      <c r="L61" s="3482"/>
      <c r="M61" s="3276"/>
      <c r="N61" s="3277">
        <f ca="1">ROUND(N59*10000/'数据-汇总表'!E3,0)</f>
        <v>5203</v>
      </c>
      <c r="O61" s="3278"/>
    </row>
    <row r="62" spans="1:35" ht="12.75">
      <c r="A62" s="3503" t="s">
        <v>308</v>
      </c>
      <c r="B62" s="3504"/>
      <c r="C62" s="1910"/>
      <c r="D62" s="1910" t="s">
        <v>316</v>
      </c>
      <c r="E62" s="523" t="s">
        <v>317</v>
      </c>
      <c r="F62" s="2273"/>
      <c r="G62" s="2273"/>
      <c r="H62" s="2274"/>
      <c r="I62" s="2268"/>
    </row>
    <row r="63" spans="1:35" ht="12.75">
      <c r="A63" s="534" t="s">
        <v>1897</v>
      </c>
      <c r="B63" s="524" t="s">
        <v>309</v>
      </c>
      <c r="C63" s="525">
        <f ca="1">ROUND((C64+C65)/(1+'数据-取费表'!C42),0)</f>
        <v>109843</v>
      </c>
      <c r="D63" s="526"/>
      <c r="E63" s="527"/>
      <c r="F63" s="2273"/>
      <c r="G63" s="2273"/>
      <c r="H63" s="2274"/>
      <c r="I63" s="2268"/>
      <c r="J63" s="3464" t="s">
        <v>2990</v>
      </c>
      <c r="K63" s="3255" t="s">
        <v>2991</v>
      </c>
      <c r="L63" s="3253">
        <f ca="1">IF(M49&gt;10000,M49*0.5%,IF(AND(M49&gt;1000,M49&lt;=10000),M49*1%,IF(AND(M49&gt;100,M49&lt;=1000),M49*3%,IF(AND(M49&gt;10,M49&lt;=100),M49*5%,M49*8%))))</f>
        <v>576.67500000000007</v>
      </c>
      <c r="M63" s="313">
        <f ca="1">ROUND(L63,1)</f>
        <v>576.70000000000005</v>
      </c>
      <c r="Z63" s="1432"/>
      <c r="AI63" s="1242"/>
    </row>
    <row r="64" spans="1:35" ht="14.25" customHeight="1">
      <c r="A64" s="528" t="s">
        <v>1892</v>
      </c>
      <c r="B64" s="529" t="s">
        <v>310</v>
      </c>
      <c r="C64" s="530">
        <f ca="1">D45</f>
        <v>115335</v>
      </c>
      <c r="D64" s="531" t="s">
        <v>165</v>
      </c>
      <c r="E64" s="532"/>
      <c r="F64" s="2273"/>
      <c r="G64" s="2273"/>
      <c r="H64" s="2274"/>
      <c r="I64" s="2268"/>
      <c r="J64" s="3464"/>
      <c r="K64" s="3255" t="s">
        <v>2992</v>
      </c>
      <c r="L64" s="3253">
        <f ca="1">IF(M49&gt;2000,M49*0.5%,IF(AND(M49&gt;1000,M49&lt;=2000),M49*0.6%,IF(AND(M49&gt;500,M49&lt;=1000),M49*0.7%,IF(AND(M49&gt;200,M49&lt;=500),M49*0.8%,IF(AND(M49&gt;100,M49&lt;=200),M49*0.9%,IF(AND(M49&gt;50,M49&lt;=100),M49*1%,IF(AND(M49&gt;20,M49&lt;=50),M49*1.5%,IF(AND(M49&gt;10,M49&lt;=20),M49*2%,IF(AND(M49&gt;1,M49&lt;=10),M49*2.5%)))))))))</f>
        <v>576.67500000000007</v>
      </c>
      <c r="M64" s="313">
        <f t="shared" ref="M64:M65" ca="1" si="1">ROUND(L64,1)</f>
        <v>576.70000000000005</v>
      </c>
      <c r="N64" s="468" t="s">
        <v>2998</v>
      </c>
      <c r="Z64" s="1432"/>
      <c r="AI64" s="1242"/>
    </row>
    <row r="65" spans="1:35" ht="14.25" customHeight="1">
      <c r="A65" s="528" t="s">
        <v>1893</v>
      </c>
      <c r="B65" s="529" t="s">
        <v>311</v>
      </c>
      <c r="C65" s="533"/>
      <c r="D65" s="531"/>
      <c r="E65" s="532"/>
      <c r="F65" s="2273"/>
      <c r="G65" s="2273"/>
      <c r="H65" s="2274"/>
      <c r="I65" s="2268"/>
      <c r="J65" s="3464"/>
      <c r="K65" s="3255" t="s">
        <v>2993</v>
      </c>
      <c r="L65" s="3253">
        <f ca="1">IF(M49&gt;1000,M49*0.1%,IF(AND(M49&gt;500,M49&lt;=1000),M49*0.5%,IF(AND(M49&gt;50,M49&lt;=500),M49*1%,IF(AND(M49&gt;1,M49&lt;=50),M49*1.5%))))</f>
        <v>115.33500000000001</v>
      </c>
      <c r="M65" s="313">
        <f t="shared" ca="1" si="1"/>
        <v>115.3</v>
      </c>
      <c r="N65" s="468" t="s">
        <v>2999</v>
      </c>
      <c r="Z65" s="1432"/>
      <c r="AI65" s="1242"/>
    </row>
    <row r="66" spans="1:35" ht="14.25" customHeight="1">
      <c r="A66" s="534" t="s">
        <v>1894</v>
      </c>
      <c r="B66" s="535" t="s">
        <v>312</v>
      </c>
      <c r="C66" s="536"/>
      <c r="D66" s="537" t="s">
        <v>165</v>
      </c>
      <c r="E66" s="3307" t="s">
        <v>3038</v>
      </c>
      <c r="F66" s="2273"/>
      <c r="G66" s="2273"/>
      <c r="H66" s="2274"/>
      <c r="I66" s="2268"/>
      <c r="J66" s="3464"/>
      <c r="K66" s="3255" t="s">
        <v>2994</v>
      </c>
      <c r="L66" s="3253">
        <f ca="1">M49*0.5%</f>
        <v>576.67500000000007</v>
      </c>
      <c r="M66" s="313">
        <f ca="1">IF(L66&gt;0.5,0.5,ROUND(L66,0))</f>
        <v>0.5</v>
      </c>
      <c r="N66" s="468" t="s">
        <v>3000</v>
      </c>
      <c r="Z66" s="1432"/>
      <c r="AI66" s="1242"/>
    </row>
    <row r="67" spans="1:35" ht="14.25" customHeight="1">
      <c r="A67" s="534" t="s">
        <v>1895</v>
      </c>
      <c r="B67" s="535" t="s">
        <v>313</v>
      </c>
      <c r="C67" s="538">
        <f ca="1">C63-C66</f>
        <v>109843</v>
      </c>
      <c r="D67" s="531" t="s">
        <v>165</v>
      </c>
      <c r="E67" s="532"/>
      <c r="F67" s="2273"/>
      <c r="G67" s="2273"/>
      <c r="H67" s="2274"/>
      <c r="I67" s="2268"/>
      <c r="J67" s="3464"/>
      <c r="K67" s="3255" t="s">
        <v>2995</v>
      </c>
      <c r="L67" s="3253">
        <f ca="1">IF(M49&gt;=10000,(8.25+(M49-10000)*0.01%),IF(AND(M49&gt;=8000,M49&lt;10000),(7.85+(M49-8000)*0.02%),IF(AND(M49&gt;=5000,M49&lt;8000),(6.65+(M49-5000)*0.04%),IF(AND(M49&gt;=2000,M49&lt;5000),(4.25+(PM49-2000)*0.08%),IF(AND(M49&gt;=1000,M49&lt;2000),(2.75+(M49-1000)*0.15%),IF(AND(M49&gt;=100,M49&lt;1000),(0.5+(M49-100)*0.25%),IF(AND(M49&gt;0,M49&lt;100),M49*0.5%)))))))</f>
        <v>18.7835</v>
      </c>
      <c r="M67" s="313">
        <f ca="1">ROUND(L67*0.9,1)</f>
        <v>16.899999999999999</v>
      </c>
      <c r="Z67" s="1432"/>
      <c r="AI67" s="1242"/>
    </row>
    <row r="68" spans="1:35" ht="14.25" customHeight="1" thickBot="1">
      <c r="A68" s="539" t="s">
        <v>1896</v>
      </c>
      <c r="B68" s="540" t="s">
        <v>314</v>
      </c>
      <c r="C68" s="541">
        <f ca="1">IF(C67&lt;=0,0,ROUND(C67*D68,0))</f>
        <v>6041</v>
      </c>
      <c r="D68" s="542">
        <f>'数据-取费表'!B41</f>
        <v>5.5000000000000007E-2</v>
      </c>
      <c r="E68" s="543"/>
      <c r="F68" s="2273"/>
      <c r="G68" s="2273"/>
      <c r="H68" s="2274"/>
      <c r="I68" s="2268"/>
      <c r="J68" s="3464"/>
      <c r="K68" s="3255" t="s">
        <v>2996</v>
      </c>
      <c r="L68" s="3253">
        <f ca="1">IF(M49&gt;10000,M49*0.5%,IF(AND(M49&gt;5000,M49&lt;=10000),M49*1%,IF(AND(M49&gt;1000,M49&lt;=5000),M49*2%,IF(AND(M49&gt;200,M49&lt;=1000),M49*3%,M49*5%))))</f>
        <v>576.67500000000007</v>
      </c>
      <c r="M68" s="313">
        <f ca="1">ROUND(L68,1)</f>
        <v>576.70000000000005</v>
      </c>
      <c r="Z68" s="1432"/>
      <c r="AI68" s="1242"/>
    </row>
    <row r="69" spans="1:35" s="1243" customFormat="1" ht="16.5" customHeight="1">
      <c r="A69" s="1257"/>
      <c r="B69" s="1258"/>
      <c r="C69" s="1259"/>
      <c r="D69" s="1260"/>
      <c r="E69" s="1261"/>
      <c r="F69" s="229"/>
      <c r="G69" s="229"/>
      <c r="H69" s="241"/>
      <c r="I69" s="1241"/>
      <c r="J69" s="3464"/>
      <c r="K69" s="3255" t="s">
        <v>185</v>
      </c>
      <c r="L69" s="3254"/>
      <c r="M69" s="313">
        <f ca="1">ROUND(SUM(M63:M68),0)</f>
        <v>1863</v>
      </c>
      <c r="N69" s="3256">
        <f ca="1">M69/M49</f>
        <v>1.6152945766679673E-2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13" t="s">
        <v>315</v>
      </c>
      <c r="B70" s="3514"/>
      <c r="C70" s="3514"/>
      <c r="D70" s="3514"/>
      <c r="E70" s="3514"/>
      <c r="F70" s="3514"/>
      <c r="G70" s="3514"/>
      <c r="H70" s="3514"/>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c r="A71" s="3503" t="s">
        <v>308</v>
      </c>
      <c r="B71" s="3504"/>
      <c r="C71" s="1910"/>
      <c r="D71" s="1910" t="s">
        <v>316</v>
      </c>
      <c r="E71" s="544" t="s">
        <v>317</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c r="A72" s="534" t="s">
        <v>1897</v>
      </c>
      <c r="B72" s="535" t="s">
        <v>318</v>
      </c>
      <c r="C72" s="538">
        <f ca="1">ROUND(D45/(1+'数据-取费表'!C42),0)</f>
        <v>109843</v>
      </c>
      <c r="D72" s="531" t="s">
        <v>165</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c r="A73" s="534" t="s">
        <v>1894</v>
      </c>
      <c r="B73" s="504" t="s">
        <v>319</v>
      </c>
      <c r="C73" s="538">
        <f ca="1">C74+C78</f>
        <v>549</v>
      </c>
      <c r="D73" s="531" t="s">
        <v>165</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c r="A74" s="548" t="s">
        <v>1898</v>
      </c>
      <c r="B74" s="529" t="s">
        <v>320</v>
      </c>
      <c r="C74" s="531">
        <f>ROUND(IF(G77="2016年5月1日后购买",C75/(1+'数据-取费表'!C42)+C76+C77,C75+C76+C77),0)</f>
        <v>0</v>
      </c>
      <c r="D74" s="531" t="s">
        <v>165</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c r="A75" s="548" t="s">
        <v>1899</v>
      </c>
      <c r="B75" s="529" t="s">
        <v>321</v>
      </c>
      <c r="C75" s="549"/>
      <c r="D75" s="531" t="s">
        <v>165</v>
      </c>
      <c r="E75" s="550" t="s">
        <v>322</v>
      </c>
      <c r="F75" s="1425" t="s">
        <v>2413</v>
      </c>
      <c r="G75" s="550" t="s">
        <v>794</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customHeight="1">
      <c r="A76" s="548" t="s">
        <v>1901</v>
      </c>
      <c r="B76" s="552" t="s">
        <v>323</v>
      </c>
      <c r="C76" s="531">
        <f>IF(F75="购房发票",ROUND(C75*H75*D76,0),0)</f>
        <v>0</v>
      </c>
      <c r="D76" s="553">
        <v>0.05</v>
      </c>
      <c r="E76" s="3510" t="s">
        <v>324</v>
      </c>
      <c r="F76" s="3509"/>
      <c r="G76" s="3509"/>
      <c r="H76" s="3512"/>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customHeight="1">
      <c r="A77" s="548" t="s">
        <v>1902</v>
      </c>
      <c r="B77" s="529" t="s">
        <v>325</v>
      </c>
      <c r="C77" s="531">
        <f>ROUND(IF(G77="个人住宅",0,IF(G77="2016年5月1日前购买",C75*D77,C75*D77/(1+'数据-取费表'!C42))),0)</f>
        <v>0</v>
      </c>
      <c r="D77" s="554">
        <f>'数据-取费表'!B48+'数据-取费表'!B49</f>
        <v>3.0499999999999999E-2</v>
      </c>
      <c r="E77" s="303" t="s">
        <v>795</v>
      </c>
      <c r="F77" s="555"/>
      <c r="G77" s="1426" t="s">
        <v>2504</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customHeight="1">
      <c r="A78" s="548" t="s">
        <v>1900</v>
      </c>
      <c r="B78" s="529" t="s">
        <v>326</v>
      </c>
      <c r="C78" s="556">
        <f ca="1">ROUND(D45*D78/(1+'数据-取费表'!C42),0)</f>
        <v>549</v>
      </c>
      <c r="D78" s="557">
        <f>'数据-取费表'!B43</f>
        <v>5.000000000000001E-3</v>
      </c>
      <c r="E78" s="3505" t="s">
        <v>2505</v>
      </c>
      <c r="F78" s="3501"/>
      <c r="G78" s="3501"/>
      <c r="H78" s="3502"/>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c r="A79" s="1792" t="s">
        <v>1903</v>
      </c>
      <c r="B79" s="535" t="s">
        <v>327</v>
      </c>
      <c r="C79" s="538">
        <f ca="1">C72-C73</f>
        <v>109294</v>
      </c>
      <c r="D79" s="531" t="s">
        <v>165</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c r="A80" s="1792" t="s">
        <v>1904</v>
      </c>
      <c r="B80" s="535" t="s">
        <v>328</v>
      </c>
      <c r="C80" s="558">
        <f ca="1">IF(C79&lt;=0,0,C79/C73)</f>
        <v>199.0783242258652</v>
      </c>
      <c r="D80" s="531"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thickBot="1">
      <c r="A81" s="1793" t="s">
        <v>1905</v>
      </c>
      <c r="B81" s="540" t="s">
        <v>329</v>
      </c>
      <c r="C81" s="559">
        <f ca="1">ROUND(IF(C79&lt;=0,0,IF(C80&gt;=200%,C79*60%-C73*35%,IF(C80&gt;=100%,C79*50%-C73*15%,IF(C80&gt;=50%,C79*40%-C73*5%,IF(C80&lt;50%,C79*30%,0))))),0)</f>
        <v>65384</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thickBot="1">
      <c r="A83" s="3513" t="s">
        <v>330</v>
      </c>
      <c r="B83" s="3514"/>
      <c r="C83" s="3514"/>
      <c r="D83" s="3514"/>
      <c r="E83" s="3514"/>
      <c r="F83" s="3514"/>
      <c r="G83" s="3514"/>
      <c r="H83" s="3514"/>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c r="A84" s="3503" t="s">
        <v>308</v>
      </c>
      <c r="B84" s="3504"/>
      <c r="C84" s="1910"/>
      <c r="D84" s="1910" t="s">
        <v>316</v>
      </c>
      <c r="E84" s="544" t="s">
        <v>317</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c r="A85" s="534" t="s">
        <v>1897</v>
      </c>
      <c r="B85" s="535" t="s">
        <v>318</v>
      </c>
      <c r="C85" s="538">
        <f ca="1">ROUND(D45/(1+'数据-取费表'!C42),0)</f>
        <v>109843</v>
      </c>
      <c r="D85" s="531" t="s">
        <v>165</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c r="A86" s="534" t="s">
        <v>1894</v>
      </c>
      <c r="B86" s="504" t="s">
        <v>319</v>
      </c>
      <c r="C86" s="538">
        <f ca="1">IF(H88="仅含出让金",C87+C90+C91+C92+C93+C94,C87+C91+C92+C93+C94)</f>
        <v>549</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c r="A87" s="548" t="s">
        <v>1898</v>
      </c>
      <c r="B87" s="529" t="s">
        <v>331</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c r="A88" s="548" t="s">
        <v>1899</v>
      </c>
      <c r="B88" s="529" t="s">
        <v>332</v>
      </c>
      <c r="C88" s="567"/>
      <c r="D88" s="557"/>
      <c r="E88" s="568" t="s">
        <v>333</v>
      </c>
      <c r="F88" s="1909"/>
      <c r="G88" s="569" t="s">
        <v>334</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c r="A89" s="548" t="s">
        <v>1901</v>
      </c>
      <c r="B89" s="529" t="s">
        <v>325</v>
      </c>
      <c r="C89" s="556">
        <f>ROUND(C88*D89,0)</f>
        <v>0</v>
      </c>
      <c r="D89" s="557">
        <f>'数据-取费表'!B48+'数据-取费表'!B49</f>
        <v>3.0499999999999999E-2</v>
      </c>
      <c r="E89" s="568" t="s">
        <v>335</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c r="A90" s="548" t="s">
        <v>1900</v>
      </c>
      <c r="B90" s="529" t="s">
        <v>336</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customHeight="1">
      <c r="A91" s="1794" t="s">
        <v>1906</v>
      </c>
      <c r="B91" s="529" t="s">
        <v>337</v>
      </c>
      <c r="C91" s="556">
        <f>IF(H91="——",成本法!C33,I91)</f>
        <v>0</v>
      </c>
      <c r="D91" s="557"/>
      <c r="E91" s="3500" t="s">
        <v>796</v>
      </c>
      <c r="F91" s="3501"/>
      <c r="G91" s="3501"/>
      <c r="H91" s="1428" t="s">
        <v>2314</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customHeight="1">
      <c r="A92" s="1794" t="s">
        <v>1907</v>
      </c>
      <c r="B92" s="529" t="s">
        <v>338</v>
      </c>
      <c r="C92" s="556">
        <f>ROUND((C87+C90+C91)*D92,0)</f>
        <v>0</v>
      </c>
      <c r="D92" s="557">
        <v>0.1</v>
      </c>
      <c r="E92" s="3500" t="s">
        <v>339</v>
      </c>
      <c r="F92" s="3501"/>
      <c r="G92" s="3501"/>
      <c r="H92" s="3502"/>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customHeight="1">
      <c r="A93" s="1794" t="s">
        <v>1908</v>
      </c>
      <c r="B93" s="529" t="s">
        <v>326</v>
      </c>
      <c r="C93" s="556">
        <f ca="1">ROUND(D45*D93/(1+'数据-取费表'!C42),0)</f>
        <v>549</v>
      </c>
      <c r="D93" s="557">
        <f>'数据-取费表'!B43</f>
        <v>5.000000000000001E-3</v>
      </c>
      <c r="E93" s="3505" t="s">
        <v>2505</v>
      </c>
      <c r="F93" s="3501"/>
      <c r="G93" s="3501"/>
      <c r="H93" s="3502"/>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customHeight="1">
      <c r="A94" s="1794" t="s">
        <v>1909</v>
      </c>
      <c r="B94" s="529" t="s">
        <v>340</v>
      </c>
      <c r="C94" s="567">
        <f>ROUND((C87+C90+C91)*D94,0)</f>
        <v>0</v>
      </c>
      <c r="D94" s="557">
        <v>0.2</v>
      </c>
      <c r="E94" s="3553" t="s">
        <v>3053</v>
      </c>
      <c r="F94" s="3554"/>
      <c r="G94" s="3554"/>
      <c r="H94" s="3555"/>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c r="A95" s="1792" t="s">
        <v>1903</v>
      </c>
      <c r="B95" s="535" t="s">
        <v>327</v>
      </c>
      <c r="C95" s="538">
        <f ca="1">ROUND(C85-C86,0)</f>
        <v>109294</v>
      </c>
      <c r="D95" s="531" t="s">
        <v>165</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c r="A96" s="1792" t="s">
        <v>1904</v>
      </c>
      <c r="B96" s="535" t="s">
        <v>328</v>
      </c>
      <c r="C96" s="558">
        <f ca="1">IF(C95&lt;=0,0,C95/C86)</f>
        <v>199.0783242258652</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thickBot="1">
      <c r="A97" s="1793" t="s">
        <v>1905</v>
      </c>
      <c r="B97" s="540" t="s">
        <v>329</v>
      </c>
      <c r="C97" s="559">
        <f ca="1">ROUND(IF(C95&lt;=0,0,IF(C96&gt;=200%,C95*60%-C86*35%,IF(C96&gt;=100%,C95*50%-C86*15%,IF(C96&gt;=50%,C95*40%-C86*5%,IF(C96&lt;50%,C95*30%,0))))),0)</f>
        <v>65384</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225</v>
      </c>
      <c r="B99" s="1241"/>
      <c r="C99" s="1241"/>
      <c r="D99" s="1241"/>
      <c r="E99" s="229"/>
      <c r="F99" s="229"/>
      <c r="G99" s="229"/>
      <c r="H99" s="241"/>
      <c r="I99" s="2268"/>
    </row>
    <row r="100" spans="1:35" ht="18.75" customHeight="1">
      <c r="A100" s="3448" t="s">
        <v>226</v>
      </c>
      <c r="B100" s="3449"/>
      <c r="C100" s="3449"/>
      <c r="D100" s="3483"/>
      <c r="E100" s="3449" t="s">
        <v>2903</v>
      </c>
      <c r="F100" s="3449"/>
      <c r="G100" s="3449"/>
      <c r="H100" s="3483"/>
      <c r="I100" s="2268"/>
    </row>
    <row r="101" spans="1:35" ht="18.75" customHeight="1">
      <c r="A101" s="3491" t="s">
        <v>204</v>
      </c>
      <c r="B101" s="3492"/>
      <c r="C101" s="1264" t="str">
        <f>C4</f>
        <v>成本法</v>
      </c>
      <c r="D101" s="1265" t="str">
        <f>D4</f>
        <v>假设开发法</v>
      </c>
      <c r="E101" s="3460" t="s">
        <v>1911</v>
      </c>
      <c r="F101" s="3461"/>
      <c r="G101" s="1266" t="s">
        <v>206</v>
      </c>
      <c r="H101" s="1978">
        <f ca="1">H118</f>
        <v>115335</v>
      </c>
      <c r="I101" s="2268"/>
    </row>
    <row r="102" spans="1:35" ht="18.75" customHeight="1">
      <c r="A102" s="3493" t="s">
        <v>205</v>
      </c>
      <c r="B102" s="1266" t="s">
        <v>206</v>
      </c>
      <c r="C102" s="1233">
        <f ca="1">C19</f>
        <v>111836</v>
      </c>
      <c r="D102" s="1234">
        <f ca="1">D19</f>
        <v>118833</v>
      </c>
      <c r="E102" s="3460"/>
      <c r="F102" s="3461"/>
      <c r="G102" s="1266" t="s">
        <v>207</v>
      </c>
      <c r="H102" s="710">
        <f ca="1">I118</f>
        <v>12027</v>
      </c>
      <c r="I102" s="2268"/>
    </row>
    <row r="103" spans="1:35" ht="42.75" customHeight="1">
      <c r="A103" s="3493"/>
      <c r="B103" s="1266" t="s">
        <v>207</v>
      </c>
      <c r="C103" s="1235">
        <f ca="1">C20</f>
        <v>11662</v>
      </c>
      <c r="D103" s="1236">
        <f ca="1">D20</f>
        <v>12392</v>
      </c>
      <c r="E103" s="3454" t="s">
        <v>3013</v>
      </c>
      <c r="F103" s="3455"/>
      <c r="G103" s="1267" t="s">
        <v>209</v>
      </c>
      <c r="H103" s="1978">
        <f>IF(D36="正常操作",H104+H105+H106,H105+H106)</f>
        <v>0</v>
      </c>
      <c r="I103" s="2268"/>
    </row>
    <row r="104" spans="1:35" ht="18.75" customHeight="1">
      <c r="A104" s="3493" t="s">
        <v>208</v>
      </c>
      <c r="B104" s="1268" t="s">
        <v>206</v>
      </c>
      <c r="C104" s="1237">
        <f ca="1">H118</f>
        <v>115335</v>
      </c>
      <c r="D104" s="1238"/>
      <c r="E104" s="13" t="s">
        <v>1910</v>
      </c>
      <c r="F104" s="6"/>
      <c r="G104" s="1267" t="s">
        <v>209</v>
      </c>
      <c r="H104" s="1979">
        <f>IF(D36="同一抵押权人同一抵押物续贷",C36&amp;"（未扣减，详见特别提示）",C36)</f>
        <v>0</v>
      </c>
      <c r="I104" s="2268"/>
    </row>
    <row r="105" spans="1:35" ht="18.75" customHeight="1" thickBot="1">
      <c r="A105" s="3507"/>
      <c r="B105" s="1269" t="s">
        <v>207</v>
      </c>
      <c r="C105" s="1239">
        <f ca="1">I118</f>
        <v>12027</v>
      </c>
      <c r="D105" s="1240"/>
      <c r="E105" s="13" t="s">
        <v>1912</v>
      </c>
      <c r="F105" s="6"/>
      <c r="G105" s="1267" t="s">
        <v>209</v>
      </c>
      <c r="H105" s="1979">
        <f>C37</f>
        <v>0</v>
      </c>
      <c r="I105" s="2268"/>
    </row>
    <row r="106" spans="1:35" ht="18.75" customHeight="1">
      <c r="A106" s="1241" t="s">
        <v>2004</v>
      </c>
      <c r="B106" s="1241"/>
      <c r="C106" s="1241"/>
      <c r="D106" s="1241"/>
      <c r="E106" s="466" t="s">
        <v>1913</v>
      </c>
      <c r="F106" s="6"/>
      <c r="G106" s="1267" t="s">
        <v>209</v>
      </c>
      <c r="H106" s="1979">
        <f>C38</f>
        <v>0</v>
      </c>
      <c r="I106" s="2268"/>
    </row>
    <row r="107" spans="1:35" ht="18.75" customHeight="1">
      <c r="A107" s="2268"/>
      <c r="B107" s="2268"/>
      <c r="C107" s="2268"/>
      <c r="D107" s="2268"/>
      <c r="E107" s="3495" t="str">
        <f>IF(项目基本情况!E8="已注销","——","3.房地产抵押价值")</f>
        <v>3.房地产抵押价值</v>
      </c>
      <c r="F107" s="3461"/>
      <c r="G107" s="1266" t="s">
        <v>206</v>
      </c>
      <c r="H107" s="1978">
        <f ca="1">IF(E107="——","——",H101-H103)</f>
        <v>115335</v>
      </c>
      <c r="I107" s="2268"/>
    </row>
    <row r="108" spans="1:35" ht="18.75" customHeight="1">
      <c r="A108" s="2268"/>
      <c r="B108" s="2268"/>
      <c r="C108" s="2268"/>
      <c r="D108" s="2268"/>
      <c r="E108" s="3495"/>
      <c r="F108" s="3461"/>
      <c r="G108" s="1266" t="s">
        <v>207</v>
      </c>
      <c r="H108" s="710">
        <f ca="1">ROUND(H107*10000/'数据-汇总表'!E3,0)</f>
        <v>12027</v>
      </c>
      <c r="I108" s="2268"/>
    </row>
    <row r="109" spans="1:35" ht="18.75" customHeight="1">
      <c r="A109" s="2268"/>
      <c r="B109" s="2268"/>
      <c r="C109" s="2268"/>
      <c r="D109" s="2268"/>
      <c r="E109" s="3495" t="str">
        <f>IF(项目基本情况!E8="已注销及未注销","4.抵押担保权已注销时的房地产抵押价值",IF(项目基本情况!E8="已注销","3.抵押担保权已注销时的房地产抵押价值","——"))</f>
        <v>——</v>
      </c>
      <c r="F109" s="3461"/>
      <c r="G109" s="1266" t="s">
        <v>206</v>
      </c>
      <c r="H109" s="684" t="str">
        <f>IF(E109="——","——",H101-H105-H106)</f>
        <v>——</v>
      </c>
      <c r="I109" s="2268"/>
    </row>
    <row r="110" spans="1:35" ht="18.75" customHeight="1">
      <c r="A110" s="2268"/>
      <c r="B110" s="2268"/>
      <c r="C110" s="2268"/>
      <c r="D110" s="2268"/>
      <c r="E110" s="3495"/>
      <c r="F110" s="3461"/>
      <c r="G110" s="1266" t="s">
        <v>207</v>
      </c>
      <c r="H110" s="710" t="str">
        <f>IF(H109="——","——",ROUND(H109*10000/'数据-汇总表'!E3,0))</f>
        <v>——</v>
      </c>
      <c r="I110" s="2268"/>
    </row>
    <row r="111" spans="1:35" ht="18.75" customHeight="1">
      <c r="A111" s="2268"/>
      <c r="B111" s="2268"/>
      <c r="C111" s="2268"/>
      <c r="D111" s="2268"/>
      <c r="E111" s="3496" t="str">
        <f>IF(项目基本情况!E9="抵押净值",IF(OR(项目基本情况!E8="已注销",项目基本情况!E8="房地产抵押价值"),"4.抵押净值","5.抵押净值"),"——")</f>
        <v>——</v>
      </c>
      <c r="F111" s="3497"/>
      <c r="G111" s="1266" t="s">
        <v>206</v>
      </c>
      <c r="H111" s="1978" t="str">
        <f>IF(E111="——","——",N59)</f>
        <v>——</v>
      </c>
      <c r="I111" s="2268"/>
    </row>
    <row r="112" spans="1:35" ht="18.75" customHeight="1" thickBot="1">
      <c r="A112" s="2268"/>
      <c r="B112" s="2268"/>
      <c r="C112" s="2268"/>
      <c r="D112" s="2268"/>
      <c r="E112" s="3498"/>
      <c r="F112" s="3499"/>
      <c r="G112" s="1270" t="s">
        <v>207</v>
      </c>
      <c r="H112" s="1421" t="str">
        <f>IF(E111="——","——",N61)</f>
        <v>——</v>
      </c>
      <c r="I112" s="2268"/>
    </row>
    <row r="113" spans="1:11" ht="18.75" customHeight="1">
      <c r="A113" s="2268"/>
      <c r="B113" s="2268"/>
      <c r="C113" s="2268"/>
      <c r="D113" s="2268"/>
      <c r="E113" s="3508" t="s">
        <v>2004</v>
      </c>
      <c r="F113" s="3508"/>
      <c r="G113" s="3508"/>
      <c r="H113" s="3508"/>
      <c r="I113" s="2268"/>
    </row>
    <row r="114" spans="1:11" ht="3.75" customHeight="1">
      <c r="A114" s="1241"/>
      <c r="B114" s="1241"/>
      <c r="C114" s="1241"/>
      <c r="D114" s="1241"/>
      <c r="E114" s="1256"/>
      <c r="F114" s="1256"/>
      <c r="G114" s="1256"/>
      <c r="H114" s="1256"/>
      <c r="I114" s="1241"/>
    </row>
    <row r="115" spans="1:11" ht="18.75" customHeight="1">
      <c r="A115" s="3521" t="s">
        <v>222</v>
      </c>
      <c r="B115" s="3522"/>
      <c r="C115" s="3522"/>
      <c r="D115" s="3522"/>
      <c r="E115" s="3522"/>
      <c r="F115" s="3522"/>
      <c r="G115" s="3522"/>
      <c r="H115" s="3522"/>
      <c r="I115" s="3523"/>
    </row>
    <row r="116" spans="1:11" ht="27" customHeight="1">
      <c r="A116" s="3428" t="s">
        <v>5</v>
      </c>
      <c r="B116" s="3470" t="s">
        <v>785</v>
      </c>
      <c r="C116" s="3470" t="s">
        <v>786</v>
      </c>
      <c r="D116" s="3479" t="s">
        <v>202</v>
      </c>
      <c r="E116" s="3480"/>
      <c r="F116" s="3517" t="s">
        <v>2382</v>
      </c>
      <c r="G116" s="3517"/>
      <c r="H116" s="3428" t="s">
        <v>6</v>
      </c>
      <c r="I116" s="3428"/>
    </row>
    <row r="117" spans="1:11" ht="18.75" customHeight="1">
      <c r="A117" s="3428"/>
      <c r="B117" s="3471"/>
      <c r="C117" s="3471"/>
      <c r="D117" s="1907" t="s">
        <v>7</v>
      </c>
      <c r="E117" s="1907" t="s">
        <v>787</v>
      </c>
      <c r="F117" s="1907" t="s">
        <v>7</v>
      </c>
      <c r="G117" s="1907" t="s">
        <v>8</v>
      </c>
      <c r="H117" s="1907" t="s">
        <v>7</v>
      </c>
      <c r="I117" s="1907" t="s">
        <v>8</v>
      </c>
    </row>
    <row r="118" spans="1:11" ht="24.75" customHeight="1">
      <c r="A118" s="2025" t="str">
        <f>项目基本情况!S2</f>
        <v>北京市通州区运河西岸Ⅷ-11地块出让国有建设用地使用权及在建建筑物房地产</v>
      </c>
      <c r="B118" s="1912">
        <f>M18</f>
        <v>95896.06</v>
      </c>
      <c r="C118" s="1912">
        <f>M19</f>
        <v>15644.81</v>
      </c>
      <c r="D118" s="1912">
        <f ca="1">ROUND(IF(D32="总价",C34,E118*B118/10000),0)</f>
        <v>107146</v>
      </c>
      <c r="E118" s="1912">
        <f ca="1">ROUND(IF(C33="自定义",IF(D32="楼面单价",C34,D118*10000/B118),I118-G118),0)</f>
        <v>11173</v>
      </c>
      <c r="F118" s="1912">
        <f ca="1">ROUND(IF(D32="总价",C35,G118*B118/10000),0)</f>
        <v>8189</v>
      </c>
      <c r="G118" s="1912">
        <f ca="1">ROUND(IF(D32="楼面单价",C35,F118*10000/B118),0)</f>
        <v>854</v>
      </c>
      <c r="H118" s="1912">
        <f ca="1">ROUND(IF(D32="总价",C32,I118*B118/10000),0)</f>
        <v>115335</v>
      </c>
      <c r="I118" s="1912">
        <f ca="1">ROUND(IF(D32="楼面单价",C32,H118*10000/B118),0)</f>
        <v>12027</v>
      </c>
    </row>
    <row r="119" spans="1:11" ht="18.75" customHeight="1">
      <c r="A119" s="3428" t="s">
        <v>9</v>
      </c>
      <c r="B119" s="3428"/>
      <c r="C119" s="3428"/>
      <c r="D119" s="3472" t="str">
        <f ca="1">NUMBERSTRING(INT(D118*10000),2)&amp;"元整"</f>
        <v>壹拾亿柒仟壹佰肆拾陆万元整</v>
      </c>
      <c r="E119" s="3473"/>
      <c r="F119" s="3472" t="str">
        <f ca="1">NUMBERSTRING(INT(F118*10000),2)&amp;"元整"</f>
        <v>捌仟壹佰捌拾玖万元整</v>
      </c>
      <c r="G119" s="3473"/>
      <c r="H119" s="3472" t="str">
        <f ca="1">NUMBERSTRING(INT(H118*10000),2)&amp;"元整"</f>
        <v>壹拾壹亿伍仟叁佰叁拾伍万元整</v>
      </c>
      <c r="I119" s="3473"/>
    </row>
    <row r="120" spans="1:11" ht="18.75" customHeight="1">
      <c r="A120" s="3474" t="str">
        <f>IF(项目基本情况!B9="房地产市场价值","",MID(E103,3,LEN(E103)-2))</f>
        <v>估价师知悉的法定优先受偿款</v>
      </c>
      <c r="B120" s="3475"/>
      <c r="C120" s="3476"/>
      <c r="D120" s="3467">
        <f>H103</f>
        <v>0</v>
      </c>
      <c r="E120" s="3468"/>
      <c r="F120" s="3468"/>
      <c r="G120" s="3468"/>
      <c r="H120" s="3468"/>
      <c r="I120" s="3469"/>
      <c r="K120" s="1432" t="str">
        <f>IF(D120=0,"故，本次评估不存在"&amp;A120,"故，本次评估"&amp;A120&amp;"为人民币"&amp;D120&amp;"万元整。")</f>
        <v>故，本次评估不存在估价师知悉的法定优先受偿款</v>
      </c>
    </row>
    <row r="121" spans="1:11" ht="18.75" customHeight="1">
      <c r="A121" s="3518" t="s">
        <v>9</v>
      </c>
      <c r="B121" s="3519"/>
      <c r="C121" s="3520"/>
      <c r="D121" s="3472" t="str">
        <f>IF(D120=0,"零元整",NUMBERSTRING(INT(D120*10000),2)&amp;"元整")</f>
        <v>零元整</v>
      </c>
      <c r="E121" s="3477"/>
      <c r="F121" s="3477"/>
      <c r="G121" s="3477"/>
      <c r="H121" s="3477"/>
      <c r="I121" s="3473"/>
    </row>
    <row r="122" spans="1:11" ht="18.75" customHeight="1">
      <c r="A122" s="3481" t="str">
        <f>IF(项目基本情况!B9="房地产市场价值","",MID(E107,3,LEN(E107)-2))</f>
        <v>房地产抵押价值</v>
      </c>
      <c r="B122" s="3481"/>
      <c r="C122" s="3481"/>
      <c r="D122" s="3467">
        <f ca="1">H107</f>
        <v>115335</v>
      </c>
      <c r="E122" s="3468"/>
      <c r="F122" s="3468"/>
      <c r="G122" s="3468"/>
      <c r="H122" s="3468"/>
      <c r="I122" s="3469"/>
    </row>
    <row r="123" spans="1:11" ht="18.75" customHeight="1">
      <c r="A123" s="3428" t="s">
        <v>9</v>
      </c>
      <c r="B123" s="3428"/>
      <c r="C123" s="3428"/>
      <c r="D123" s="3472" t="str">
        <f ca="1">NUMBERSTRING(INT(D122*10000),2)&amp;"元整"</f>
        <v>壹拾壹亿伍仟叁佰叁拾伍万元整</v>
      </c>
      <c r="E123" s="3477"/>
      <c r="F123" s="3477"/>
      <c r="G123" s="3477"/>
      <c r="H123" s="3477"/>
      <c r="I123" s="3473"/>
    </row>
    <row r="124" spans="1:11" ht="18.75" customHeight="1">
      <c r="A124" s="3481" t="str">
        <f>IF(项目基本情况!B9="房地产市场价值","",MID(E109,3,LEN(E109)-2))</f>
        <v/>
      </c>
      <c r="B124" s="3481"/>
      <c r="C124" s="3481"/>
      <c r="D124" s="3467" t="str">
        <f>H109</f>
        <v>——</v>
      </c>
      <c r="E124" s="3468"/>
      <c r="F124" s="3468"/>
      <c r="G124" s="3468"/>
      <c r="H124" s="3468"/>
      <c r="I124" s="3469"/>
    </row>
    <row r="125" spans="1:11" ht="18.75" customHeight="1">
      <c r="A125" s="3428" t="s">
        <v>9</v>
      </c>
      <c r="B125" s="3428"/>
      <c r="C125" s="3428"/>
      <c r="D125" s="3472" t="e">
        <f>NUMBERSTRING(INT(D124*10000),2)&amp;"元整"</f>
        <v>#VALUE!</v>
      </c>
      <c r="E125" s="3477"/>
      <c r="F125" s="3477"/>
      <c r="G125" s="3477"/>
      <c r="H125" s="3477"/>
      <c r="I125" s="3473"/>
    </row>
    <row r="126" spans="1:11" ht="18.75" customHeight="1">
      <c r="A126" s="3481" t="str">
        <f>IF(项目基本情况!B9="房地产市场价值","",MID(E111,3,LEN(E111)-2))</f>
        <v/>
      </c>
      <c r="B126" s="3481"/>
      <c r="C126" s="3481"/>
      <c r="D126" s="3467" t="str">
        <f>H111</f>
        <v>——</v>
      </c>
      <c r="E126" s="3468"/>
      <c r="F126" s="3468"/>
      <c r="G126" s="3468"/>
      <c r="H126" s="3468"/>
      <c r="I126" s="3469"/>
    </row>
    <row r="127" spans="1:11" ht="18.75" customHeight="1">
      <c r="A127" s="3428" t="s">
        <v>9</v>
      </c>
      <c r="B127" s="3428"/>
      <c r="C127" s="3428"/>
      <c r="D127" s="3472" t="e">
        <f>NUMBERSTRING(INT(D126*10000),2)&amp;"元整"</f>
        <v>#VALUE!</v>
      </c>
      <c r="E127" s="3477"/>
      <c r="F127" s="3477"/>
      <c r="G127" s="3477"/>
      <c r="H127" s="3477"/>
      <c r="I127" s="3473"/>
    </row>
    <row r="128" spans="1:11" ht="21.75" customHeight="1">
      <c r="A128" s="3478" t="s">
        <v>2003</v>
      </c>
      <c r="B128" s="3478"/>
      <c r="C128" s="3478"/>
      <c r="D128" s="3478"/>
      <c r="E128" s="3478"/>
      <c r="F128" s="3478"/>
      <c r="G128" s="3478"/>
      <c r="H128" s="3478"/>
      <c r="I128" s="3478"/>
    </row>
    <row r="129" spans="1:35" ht="21.75" customHeight="1">
      <c r="A129" s="2020" t="s">
        <v>788</v>
      </c>
      <c r="B129" s="2021"/>
      <c r="C129" s="467" t="s">
        <v>149</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43"/>
      <c r="C1" s="573"/>
      <c r="D1" s="573"/>
      <c r="E1" s="573"/>
      <c r="F1" s="573"/>
      <c r="G1" s="2744">
        <f>MATCH(B1,'数据-取费表'!A6:A16,0)+5</f>
        <v>9</v>
      </c>
    </row>
    <row r="2" spans="1:9" s="575" customFormat="1" ht="18" customHeight="1">
      <c r="A2" s="576" t="s">
        <v>442</v>
      </c>
      <c r="B2" s="577">
        <f ca="1">IF(D2="——",C52,C52-E2)</f>
        <v>111836</v>
      </c>
      <c r="C2" s="85" t="s">
        <v>867</v>
      </c>
      <c r="D2" s="2861" t="s">
        <v>527</v>
      </c>
      <c r="E2" s="2859" t="e">
        <f ca="1">SUMIF(INDIRECT("'"&amp;G2&amp;"'"&amp;"!A:A"),"承租人权益价值",INDIRECT("'"&amp;G2&amp;"'"&amp;"!c:c"))</f>
        <v>#REF!</v>
      </c>
      <c r="F2" s="2857" t="s">
        <v>867</v>
      </c>
      <c r="G2" s="2860"/>
    </row>
    <row r="3" spans="1:9" s="575" customFormat="1" ht="18" customHeight="1" thickBot="1">
      <c r="A3" s="578" t="s">
        <v>443</v>
      </c>
      <c r="B3" s="579">
        <f ca="1">ROUND(B2*10000/(IF(B1="",'数据-汇总表'!E3,INDIRECT("'数据-取费表'!k"&amp;$G$1))),0)</f>
        <v>11662</v>
      </c>
      <c r="C3" s="85" t="s">
        <v>868</v>
      </c>
      <c r="D3" s="574"/>
      <c r="E3" s="574"/>
      <c r="F3" s="574"/>
      <c r="G3" s="574"/>
    </row>
    <row r="4" spans="1:9" s="583" customFormat="1" ht="15.75">
      <c r="A4" s="580" t="s">
        <v>820</v>
      </c>
      <c r="B4" s="581"/>
      <c r="C4" s="581"/>
      <c r="D4" s="581"/>
      <c r="E4" s="581"/>
      <c r="F4" s="581"/>
      <c r="G4" s="582"/>
    </row>
    <row r="5" spans="1:9" s="589" customFormat="1" ht="13.5" customHeight="1">
      <c r="A5" s="630" t="s">
        <v>2506</v>
      </c>
      <c r="B5" s="585" t="s">
        <v>821</v>
      </c>
      <c r="C5" s="586">
        <f ca="1">C6+C7+C8</f>
        <v>86715</v>
      </c>
      <c r="D5" s="586" t="s">
        <v>822</v>
      </c>
      <c r="E5" s="587" t="s">
        <v>823</v>
      </c>
      <c r="F5" s="587" t="s">
        <v>824</v>
      </c>
      <c r="G5" s="588"/>
    </row>
    <row r="6" spans="1:9" s="589" customFormat="1" ht="13.5" customHeight="1">
      <c r="A6" s="1796" t="s">
        <v>1923</v>
      </c>
      <c r="B6" s="590" t="s">
        <v>825</v>
      </c>
      <c r="C6" s="591">
        <f>'土地比较法-住宅、综合'!B2</f>
        <v>82287</v>
      </c>
      <c r="D6" s="592"/>
      <c r="E6" s="593"/>
      <c r="F6" s="593"/>
      <c r="G6" s="594"/>
    </row>
    <row r="7" spans="1:9" s="589" customFormat="1" ht="13.5" customHeight="1">
      <c r="A7" s="1796" t="s">
        <v>1924</v>
      </c>
      <c r="B7" s="590" t="s">
        <v>343</v>
      </c>
      <c r="C7" s="595">
        <f>ROUND(C6*F7,0)</f>
        <v>2510</v>
      </c>
      <c r="D7" s="595"/>
      <c r="E7" s="593"/>
      <c r="F7" s="596">
        <f>'数据-取费表'!B48+'数据-取费表'!B49</f>
        <v>3.0499999999999999E-2</v>
      </c>
      <c r="G7" s="594"/>
    </row>
    <row r="8" spans="1:9" s="598" customFormat="1">
      <c r="A8" s="1796" t="s">
        <v>1925</v>
      </c>
      <c r="B8" s="590" t="s">
        <v>826</v>
      </c>
      <c r="C8" s="595">
        <f ca="1">IF(G8="已包含在土地购买价格中","0",IF(B1="",'数据-取费表'!B29,IF(G9="全部缴纳",C9+C10,H9)))</f>
        <v>1918</v>
      </c>
      <c r="D8" s="597"/>
      <c r="E8" s="595"/>
      <c r="F8" s="596"/>
      <c r="G8" s="84"/>
    </row>
    <row r="9" spans="1:9" s="589" customFormat="1" ht="13.5" customHeight="1">
      <c r="A9" s="1797" t="s">
        <v>1932</v>
      </c>
      <c r="B9" s="599" t="s">
        <v>827</v>
      </c>
      <c r="C9" s="600">
        <f ca="1">ROUND(D9*E9/10000,0)</f>
        <v>0</v>
      </c>
      <c r="D9" s="1901">
        <f ca="1">IF(B1="",'数据-汇总表'!E5,IF(INDIRECT("'数据-取费表'!c"&amp;$G$1)="住宅",INDIRECT("'数据-取费表'!k"&amp;$G$1),0))</f>
        <v>0</v>
      </c>
      <c r="E9" s="600">
        <f>'数据-取费表'!B27</f>
        <v>0</v>
      </c>
      <c r="F9" s="596"/>
      <c r="G9" s="2791" t="s">
        <v>3220</v>
      </c>
      <c r="H9" s="2792"/>
      <c r="I9" s="2793" t="s">
        <v>2688</v>
      </c>
    </row>
    <row r="10" spans="1:9" s="589" customFormat="1" ht="13.5" customHeight="1">
      <c r="A10" s="1797" t="s">
        <v>1933</v>
      </c>
      <c r="B10" s="599" t="s">
        <v>828</v>
      </c>
      <c r="C10" s="600">
        <f ca="1">ROUND(D10*E10/10000,0)</f>
        <v>1918</v>
      </c>
      <c r="D10" s="1901">
        <f ca="1">IF(B1="",'数据-汇总表'!E6,IF(INDIRECT("'数据-取费表'!c"&amp;$G$1)="住宅",INDIRECT("'数据-取费表'!s"&amp;$G$1),INDIRECT("'数据-取费表'!k"&amp;$G$1)+INDIRECT("'数据-取费表'!s"&amp;$G$1)))</f>
        <v>95896.06</v>
      </c>
      <c r="E10" s="600">
        <f>'数据-取费表'!B28</f>
        <v>200</v>
      </c>
      <c r="F10" s="596"/>
      <c r="G10" s="601"/>
    </row>
    <row r="11" spans="1:9" s="589" customFormat="1" ht="13.5" hidden="1" customHeight="1">
      <c r="A11" s="602" t="s">
        <v>41</v>
      </c>
      <c r="B11" s="590" t="s">
        <v>829</v>
      </c>
      <c r="C11" s="586"/>
      <c r="D11" s="1903"/>
      <c r="E11" s="593"/>
      <c r="F11" s="593"/>
      <c r="G11" s="594"/>
    </row>
    <row r="12" spans="1:9" s="589" customFormat="1" ht="13.5" hidden="1" customHeight="1">
      <c r="A12" s="602" t="s">
        <v>42</v>
      </c>
      <c r="B12" s="590" t="s">
        <v>830</v>
      </c>
      <c r="C12" s="586">
        <v>0</v>
      </c>
      <c r="D12" s="1903"/>
      <c r="E12" s="603"/>
      <c r="F12" s="596">
        <v>3.0499999999999999E-2</v>
      </c>
      <c r="G12" s="594"/>
    </row>
    <row r="13" spans="1:9" s="589" customFormat="1" ht="13.5" hidden="1" customHeight="1">
      <c r="A13" s="602" t="s">
        <v>43</v>
      </c>
      <c r="B13" s="590" t="s">
        <v>831</v>
      </c>
      <c r="C13" s="586"/>
      <c r="D13" s="1903"/>
      <c r="E13" s="593"/>
      <c r="F13" s="593"/>
      <c r="G13" s="594"/>
    </row>
    <row r="14" spans="1:9" s="589" customFormat="1" ht="13.5" hidden="1" customHeight="1">
      <c r="A14" s="602" t="s">
        <v>44</v>
      </c>
      <c r="B14" s="590" t="s">
        <v>826</v>
      </c>
      <c r="C14" s="586"/>
      <c r="D14" s="1903"/>
      <c r="E14" s="593"/>
      <c r="F14" s="593"/>
      <c r="G14" s="594" t="s">
        <v>832</v>
      </c>
    </row>
    <row r="15" spans="1:9" s="589" customFormat="1" ht="13.5" hidden="1" customHeight="1">
      <c r="A15" s="602" t="s">
        <v>45</v>
      </c>
      <c r="B15" s="590" t="s">
        <v>833</v>
      </c>
      <c r="C15" s="595"/>
      <c r="D15" s="1903"/>
      <c r="E15" s="593"/>
      <c r="F15" s="593"/>
      <c r="G15" s="594" t="s">
        <v>834</v>
      </c>
    </row>
    <row r="16" spans="1:9"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t="str">
        <f>IF(G19="已包含在土地取得成本中","0",ROUND(D19*E19/10000,0))</f>
        <v>0</v>
      </c>
      <c r="D19" s="1905">
        <f ca="1">D9+D10</f>
        <v>95896.06</v>
      </c>
      <c r="E19" s="586">
        <f>'数据-取费表'!B31</f>
        <v>200</v>
      </c>
      <c r="F19" s="606"/>
      <c r="G19" s="84" t="s">
        <v>3221</v>
      </c>
    </row>
    <row r="20" spans="1:7" s="589" customFormat="1" ht="13.5" customHeight="1">
      <c r="A20" s="1795" t="s">
        <v>2509</v>
      </c>
      <c r="B20" s="585" t="s">
        <v>838</v>
      </c>
      <c r="C20" s="607">
        <f ca="1">ROUND((C5+C19)*F20,0)</f>
        <v>1734</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2472</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691">
        <f ca="1">ROUND(IF('数据-取费表'!B22&lt;=1,C5*F22*'数据-取费表'!B23,C5*(POWER((1+F22),'数据-取费表'!B23)-1)),0)</f>
        <v>2448</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0</v>
      </c>
      <c r="D24" s="613"/>
      <c r="E24" s="613"/>
      <c r="F24" s="614"/>
      <c r="G24" s="615" t="s">
        <v>843</v>
      </c>
    </row>
    <row r="25" spans="1:7" s="589" customFormat="1" ht="24">
      <c r="A25" s="1798" t="s">
        <v>1925</v>
      </c>
      <c r="B25" s="590" t="s">
        <v>2510</v>
      </c>
      <c r="C25" s="2691">
        <f ca="1">ROUND(IF('数据-取费表'!B22&lt;=1,C20*F22*'数据-取费表'!B23/2,C20*(POWER((1+F22),'数据-取费表'!B23/2)-1)),0)</f>
        <v>24</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 ca="1">C28</f>
        <v>5307</v>
      </c>
      <c r="D27" s="610">
        <f ca="1">C29</f>
        <v>1.1999999999999999E-3</v>
      </c>
      <c r="E27" s="611" t="s">
        <v>860</v>
      </c>
      <c r="F27" s="621">
        <f ca="1">IF(B1="",'数据-取费表'!Q16,INDIRECT("'数据-取费表'!q"&amp;$G$1))</f>
        <v>0.2</v>
      </c>
      <c r="G27" s="622" t="s">
        <v>2521</v>
      </c>
    </row>
    <row r="28" spans="1:7" s="589" customFormat="1" ht="13.5" customHeight="1">
      <c r="A28" s="1798" t="s">
        <v>1923</v>
      </c>
      <c r="B28" s="623" t="s">
        <v>2514</v>
      </c>
      <c r="C28" s="624">
        <f ca="1">ROUND((C5+C19+C20)*F27*'数据-取费表'!B21/'数据-取费表'!B20,0)</f>
        <v>5307</v>
      </c>
      <c r="D28" s="610"/>
      <c r="E28" s="611"/>
      <c r="F28" s="621"/>
      <c r="G28" s="622"/>
    </row>
    <row r="29" spans="1:7" s="589" customFormat="1" ht="13.5" customHeight="1">
      <c r="A29" s="1798" t="s">
        <v>1924</v>
      </c>
      <c r="B29" s="623" t="s">
        <v>2515</v>
      </c>
      <c r="C29" s="613">
        <f ca="1">ROUND(C21*F27*'数据-取费表'!B21/'数据-取费表'!B20,4)</f>
        <v>1.1999999999999999E-3</v>
      </c>
      <c r="D29" s="610"/>
      <c r="E29" s="611"/>
      <c r="F29" s="621"/>
      <c r="G29" s="622"/>
    </row>
    <row r="30" spans="1:7" s="589" customFormat="1" ht="13.5" customHeight="1">
      <c r="A30" s="1795" t="s">
        <v>1920</v>
      </c>
      <c r="B30" s="585" t="s">
        <v>344</v>
      </c>
      <c r="C30" s="610">
        <f>ROUND(F30/(1+'数据-取费表'!C42),4)</f>
        <v>5.2400000000000002E-2</v>
      </c>
      <c r="D30" s="611" t="s">
        <v>2940</v>
      </c>
      <c r="E30" s="616"/>
      <c r="F30" s="612">
        <f>'数据-取费表'!B41</f>
        <v>5.5000000000000007E-2</v>
      </c>
      <c r="G30" s="2611" t="s">
        <v>2941</v>
      </c>
    </row>
    <row r="31" spans="1:7" ht="16.5" customHeight="1">
      <c r="A31" s="584">
        <v>1</v>
      </c>
      <c r="B31" s="585" t="s">
        <v>862</v>
      </c>
      <c r="C31" s="586">
        <f ca="1">ROUND((C5+C19+C20+C22+C27)/(1-C21-D22-D27-C30),0)</f>
        <v>103907</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 ca="1">SUM(C34:C38)</f>
        <v>5912</v>
      </c>
      <c r="D33" s="607"/>
      <c r="E33" s="587"/>
      <c r="F33" s="616"/>
      <c r="G33" s="609"/>
    </row>
    <row r="34" spans="1:7" s="633" customFormat="1" ht="13.5" customHeight="1">
      <c r="A34" s="1798" t="s">
        <v>1923</v>
      </c>
      <c r="B34" s="590" t="s">
        <v>345</v>
      </c>
      <c r="C34" s="595">
        <f ca="1">IF(B1="",IF(F34=100%,'数据-取费表'!M16,'数据-取费表'!O16),IF(F34=100%,INDIRECT("'数据-取费表'!m"&amp;$G$1)+INDIRECT("'数据-取费表'!t"&amp;$G$1),INDIRECT("'数据-取费表'!o"&amp;$G$1)+INDIRECT("'数据-取费表'!aq"&amp;$G$1)))</f>
        <v>5387</v>
      </c>
      <c r="D34" s="592"/>
      <c r="E34" s="595"/>
      <c r="F34" s="632">
        <f ca="1">IF('数据-取费表'!B24=0,1,IF(B1="",'数据-取费表'!N16,INDIRECT("'数据-取费表'!n"&amp;$G$1)))</f>
        <v>0.14699999999999999</v>
      </c>
      <c r="G34" s="594" t="s">
        <v>850</v>
      </c>
    </row>
    <row r="35" spans="1:7" ht="13.5" customHeight="1">
      <c r="A35" s="1798" t="s">
        <v>1928</v>
      </c>
      <c r="B35" s="590" t="s">
        <v>346</v>
      </c>
      <c r="C35" s="595">
        <f ca="1">ROUND(C34*F35,0)</f>
        <v>162</v>
      </c>
      <c r="D35" s="595"/>
      <c r="E35" s="595"/>
      <c r="F35" s="634">
        <f>'数据-取费表'!B33</f>
        <v>0.03</v>
      </c>
      <c r="G35" s="594" t="s">
        <v>851</v>
      </c>
    </row>
    <row r="36" spans="1:7" ht="24">
      <c r="A36" s="1798" t="s">
        <v>1929</v>
      </c>
      <c r="B36" s="590" t="s">
        <v>347</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348</v>
      </c>
    </row>
    <row r="37" spans="1:7" s="633" customFormat="1" ht="13.5" customHeight="1">
      <c r="A37" s="1798" t="s">
        <v>1930</v>
      </c>
      <c r="B37" s="590" t="s">
        <v>852</v>
      </c>
      <c r="C37" s="624">
        <f ca="1">ROUND(E37*D37*F34/10000,0)</f>
        <v>282</v>
      </c>
      <c r="D37" s="592">
        <f ca="1">D19</f>
        <v>95896.06</v>
      </c>
      <c r="E37" s="624">
        <f>'数据-取费表'!B35</f>
        <v>200</v>
      </c>
      <c r="F37" s="634"/>
      <c r="G37" s="636" t="s">
        <v>853</v>
      </c>
    </row>
    <row r="38" spans="1:7" ht="13.5" customHeight="1">
      <c r="A38" s="1798" t="s">
        <v>1931</v>
      </c>
      <c r="B38" s="590" t="s">
        <v>349</v>
      </c>
      <c r="C38" s="595">
        <f ca="1">ROUND(C34*F38,0)</f>
        <v>81</v>
      </c>
      <c r="D38" s="595"/>
      <c r="E38" s="595"/>
      <c r="F38" s="634">
        <f>'数据-取费表'!B36</f>
        <v>1.4999999999999999E-2</v>
      </c>
      <c r="G38" s="594" t="s">
        <v>851</v>
      </c>
    </row>
    <row r="39" spans="1:7" s="589" customFormat="1" ht="13.5" customHeight="1">
      <c r="A39" s="1795" t="s">
        <v>1915</v>
      </c>
      <c r="B39" s="585" t="s">
        <v>838</v>
      </c>
      <c r="C39" s="607">
        <f ca="1">ROUND(C33*F20,0)</f>
        <v>118</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 ca="1">C46</f>
        <v>1206</v>
      </c>
      <c r="D45" s="610">
        <f ca="1">C47</f>
        <v>4.0000000000000001E-3</v>
      </c>
      <c r="E45" s="611" t="s">
        <v>863</v>
      </c>
      <c r="F45" s="621"/>
      <c r="G45" s="622" t="s">
        <v>2524</v>
      </c>
    </row>
    <row r="46" spans="1:7" s="589" customFormat="1" ht="13.5" customHeight="1">
      <c r="A46" s="1798" t="s">
        <v>1923</v>
      </c>
      <c r="B46" s="623" t="s">
        <v>2517</v>
      </c>
      <c r="C46" s="624">
        <f ca="1">ROUND((C33+C39)*F27,0)</f>
        <v>1206</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3225">
        <f>ROUND(F30/(1+'数据-取费表'!C42),4)</f>
        <v>5.2400000000000002E-2</v>
      </c>
      <c r="D48" s="611" t="s">
        <v>2942</v>
      </c>
      <c r="E48" s="607"/>
      <c r="F48" s="612"/>
      <c r="G48" s="2611" t="s">
        <v>2943</v>
      </c>
    </row>
    <row r="49" spans="1:7" ht="16.5" customHeight="1">
      <c r="A49" s="1795" t="s">
        <v>1920</v>
      </c>
      <c r="B49" s="585" t="s">
        <v>865</v>
      </c>
      <c r="C49" s="607">
        <f ca="1">ROUND((C33+C39+C41+C45)/(1-C40-D41-D45-C48),0)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111836</v>
      </c>
      <c r="D52" s="641"/>
      <c r="E52" s="641"/>
      <c r="F52" s="641"/>
      <c r="G52" s="643"/>
    </row>
    <row r="55" spans="1:7" ht="15">
      <c r="B55" s="645" t="s">
        <v>352</v>
      </c>
      <c r="C55" s="646"/>
    </row>
    <row r="56" spans="1:7">
      <c r="B56" s="2863" t="s">
        <v>2700</v>
      </c>
      <c r="C56" s="650">
        <f ca="1">1-C57</f>
        <v>0.92900000000000005</v>
      </c>
    </row>
    <row r="57" spans="1:7">
      <c r="B57" s="2863" t="s">
        <v>2699</v>
      </c>
      <c r="C57" s="649">
        <f ca="1">ROUND(C51/C52,3)</f>
        <v>7.0999999999999994E-2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1964</v>
      </c>
      <c r="B36" s="1880" t="s">
        <v>1965</v>
      </c>
    </row>
    <row r="37" spans="1:9" ht="27.75" customHeight="1">
      <c r="A37" s="1880"/>
      <c r="B37" s="3363" t="str">
        <f>项目基本情况!B1</f>
        <v>北京市通州区运河西岸Ⅷ-11地块出让国有建设用地使用权及在建建筑物房地产抵押价值预评估</v>
      </c>
      <c r="C37" s="3363"/>
      <c r="D37" s="3363"/>
      <c r="E37" s="3363"/>
      <c r="F37" s="3363"/>
      <c r="G37" s="3363"/>
      <c r="H37" s="3363"/>
      <c r="I37" s="3363"/>
    </row>
    <row r="38" spans="1:9">
      <c r="A38" s="1882"/>
      <c r="B38" s="1882"/>
    </row>
    <row r="39" spans="1:9">
      <c r="A39" s="1880" t="s">
        <v>1964</v>
      </c>
      <c r="B39" s="1880" t="s">
        <v>1966</v>
      </c>
    </row>
    <row r="40" spans="1:9">
      <c r="A40" s="1880"/>
      <c r="B40" s="1880" t="str">
        <f>项目基本情况!B5</f>
        <v>鹏瑞利美融加四（北京）置业有限公司</v>
      </c>
    </row>
    <row r="41" spans="1:9">
      <c r="A41" s="1880"/>
      <c r="B41" s="1880"/>
    </row>
    <row r="42" spans="1:9">
      <c r="A42" s="1880" t="s">
        <v>1964</v>
      </c>
      <c r="B42" s="1880" t="s">
        <v>1967</v>
      </c>
    </row>
    <row r="43" spans="1:9">
      <c r="A43" s="1880"/>
      <c r="B43" s="1880" t="s">
        <v>1968</v>
      </c>
    </row>
    <row r="44" spans="1:9">
      <c r="A44" s="1880"/>
      <c r="B44" s="1880"/>
    </row>
    <row r="45" spans="1:9">
      <c r="A45" s="1880" t="s">
        <v>1964</v>
      </c>
      <c r="B45" s="1880" t="s">
        <v>1969</v>
      </c>
    </row>
    <row r="46" spans="1:9" s="1880" customFormat="1" ht="12.75">
      <c r="B46" s="1880" t="str">
        <f ca="1">项目基本情况!K4</f>
        <v>王鹏（注册号：1120050019)、梁津（注册号：1119970066)</v>
      </c>
    </row>
    <row r="47" spans="1:9">
      <c r="A47" s="1880"/>
      <c r="B47" s="1880" t="str">
        <f>项目基本情况!K5</f>
        <v/>
      </c>
    </row>
    <row r="48" spans="1:9">
      <c r="A48" s="1880" t="s">
        <v>1964</v>
      </c>
      <c r="B48" s="1880" t="s">
        <v>1970</v>
      </c>
    </row>
    <row r="49" spans="2:2">
      <c r="B49" s="1880" t="str">
        <f>"康正预评字"&amp;项目基本情况!B2&amp;"号"</f>
        <v>康正预评字2017-1-0902-F02DYGJ1号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43"/>
      <c r="C1" s="2748" t="s">
        <v>2630</v>
      </c>
      <c r="D1" s="573"/>
      <c r="E1" s="573"/>
      <c r="F1" s="573"/>
      <c r="G1" s="2744">
        <f>MATCH(B1,'数据-取费表'!A6:A16,0)+5</f>
        <v>9</v>
      </c>
      <c r="H1" s="2575" t="str">
        <f>IF(ISERROR(FIND("住宅",B1)),"非住宅","住宅")</f>
        <v>非住宅</v>
      </c>
    </row>
    <row r="2" spans="1:8" s="575" customFormat="1" ht="18" customHeight="1">
      <c r="A2" s="576" t="s">
        <v>341</v>
      </c>
      <c r="B2" s="577">
        <f ca="1">ROUND(IF(D2="——",C52/10000,C52/10000-E2),0)</f>
        <v>60784</v>
      </c>
      <c r="C2" s="85" t="s">
        <v>867</v>
      </c>
      <c r="D2" s="2861" t="s">
        <v>527</v>
      </c>
      <c r="E2" s="2859" t="e">
        <f ca="1">SUMIF(INDIRECT("'"&amp;G2&amp;"'"&amp;"!A:A"),"承租人权益价值",INDIRECT("'"&amp;G2&amp;"'"&amp;"!c:c"))</f>
        <v>#REF!</v>
      </c>
      <c r="F2" s="2857" t="s">
        <v>867</v>
      </c>
      <c r="G2" s="2860"/>
    </row>
    <row r="3" spans="1:8" s="575" customFormat="1" ht="18" customHeight="1" thickBot="1">
      <c r="A3" s="578" t="s">
        <v>342</v>
      </c>
      <c r="B3" s="579">
        <f ca="1">ROUND(B2*10000/(IF(B1="",'数据-汇总表'!E3,INDIRECT("'数据-取费表'!k"&amp;$G$1))),0)</f>
        <v>6339</v>
      </c>
      <c r="C3" s="85" t="s">
        <v>868</v>
      </c>
      <c r="D3" s="574"/>
      <c r="E3" s="574"/>
      <c r="F3" s="574"/>
      <c r="G3" s="574"/>
    </row>
    <row r="4" spans="1:8" s="583" customFormat="1" ht="15.75">
      <c r="A4" s="580" t="s">
        <v>820</v>
      </c>
      <c r="B4" s="581"/>
      <c r="C4" s="581"/>
      <c r="D4" s="581"/>
      <c r="E4" s="581"/>
      <c r="F4" s="581"/>
      <c r="G4" s="582"/>
    </row>
    <row r="5" spans="1:8" s="589" customFormat="1" ht="13.5" customHeight="1">
      <c r="A5" s="630" t="s">
        <v>1914</v>
      </c>
      <c r="B5" s="585" t="s">
        <v>821</v>
      </c>
      <c r="C5" s="586">
        <f ca="1">C6+C7+C8</f>
        <v>19179212</v>
      </c>
      <c r="D5" s="586" t="s">
        <v>822</v>
      </c>
      <c r="E5" s="587" t="s">
        <v>823</v>
      </c>
      <c r="F5" s="587" t="s">
        <v>824</v>
      </c>
      <c r="G5" s="588"/>
    </row>
    <row r="6" spans="1:8" s="589" customFormat="1" ht="13.5" customHeight="1">
      <c r="A6" s="1796" t="s">
        <v>1923</v>
      </c>
      <c r="B6" s="590" t="s">
        <v>825</v>
      </c>
      <c r="C6" s="591"/>
      <c r="D6" s="592"/>
      <c r="E6" s="593"/>
      <c r="F6" s="593"/>
      <c r="G6" s="594"/>
    </row>
    <row r="7" spans="1:8" s="589" customFormat="1" ht="13.5" customHeight="1">
      <c r="A7" s="1796" t="s">
        <v>1924</v>
      </c>
      <c r="B7" s="590" t="s">
        <v>343</v>
      </c>
      <c r="C7" s="595">
        <f>ROUND(C6*F7,0)</f>
        <v>0</v>
      </c>
      <c r="D7" s="595"/>
      <c r="E7" s="593"/>
      <c r="F7" s="596">
        <f>'数据-取费表'!B48+'数据-取费表'!B49</f>
        <v>3.0499999999999999E-2</v>
      </c>
      <c r="G7" s="594"/>
    </row>
    <row r="8" spans="1:8" s="598" customFormat="1">
      <c r="A8" s="1796" t="s">
        <v>1925</v>
      </c>
      <c r="B8" s="590" t="s">
        <v>826</v>
      </c>
      <c r="C8" s="595">
        <f ca="1">IF(G8="已包含在土地购买价格中",0,C9+C10)</f>
        <v>19179212</v>
      </c>
      <c r="D8" s="597"/>
      <c r="E8" s="595"/>
      <c r="F8" s="596"/>
      <c r="G8" s="84"/>
    </row>
    <row r="9" spans="1:8" s="589" customFormat="1" ht="13.5" customHeight="1">
      <c r="A9" s="1797" t="s">
        <v>1932</v>
      </c>
      <c r="B9" s="599" t="s">
        <v>827</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1933</v>
      </c>
      <c r="B10" s="599" t="s">
        <v>828</v>
      </c>
      <c r="C10" s="600">
        <f ca="1">ROUND(D10*E10,0)</f>
        <v>19179212</v>
      </c>
      <c r="D10" s="1901">
        <f ca="1">IF(B1="",'数据-汇总表'!E6,IF(INDIRECT("'数据-取费表'!c"&amp;$G$1)="住宅",INDIRECT("'数据-取费表'!s"&amp;$G$1),INDIRECT("'数据-取费表'!k"&amp;$G$1)+INDIRECT("'数据-取费表'!s"&amp;$G$1)))</f>
        <v>95896.06</v>
      </c>
      <c r="E10" s="600">
        <f>'数据-取费表'!B28</f>
        <v>200</v>
      </c>
      <c r="F10" s="596"/>
      <c r="G10" s="601"/>
    </row>
    <row r="11" spans="1:8" s="589" customFormat="1" ht="13.5" hidden="1" customHeight="1">
      <c r="A11" s="602" t="s">
        <v>41</v>
      </c>
      <c r="B11" s="590" t="s">
        <v>829</v>
      </c>
      <c r="C11" s="586"/>
      <c r="D11" s="1903"/>
      <c r="E11" s="593"/>
      <c r="F11" s="593"/>
      <c r="G11" s="594"/>
    </row>
    <row r="12" spans="1:8" s="589" customFormat="1" ht="13.5" hidden="1" customHeight="1">
      <c r="A12" s="602" t="s">
        <v>42</v>
      </c>
      <c r="B12" s="590" t="s">
        <v>830</v>
      </c>
      <c r="C12" s="586">
        <v>0</v>
      </c>
      <c r="D12" s="1903"/>
      <c r="E12" s="603"/>
      <c r="F12" s="596">
        <v>3.0499999999999999E-2</v>
      </c>
      <c r="G12" s="594"/>
    </row>
    <row r="13" spans="1:8" s="589" customFormat="1" ht="13.5" hidden="1" customHeight="1">
      <c r="A13" s="602" t="s">
        <v>43</v>
      </c>
      <c r="B13" s="590" t="s">
        <v>831</v>
      </c>
      <c r="C13" s="586"/>
      <c r="D13" s="1903"/>
      <c r="E13" s="593"/>
      <c r="F13" s="593"/>
      <c r="G13" s="594"/>
    </row>
    <row r="14" spans="1:8" s="589" customFormat="1" ht="13.5" hidden="1" customHeight="1">
      <c r="A14" s="602" t="s">
        <v>44</v>
      </c>
      <c r="B14" s="590" t="s">
        <v>826</v>
      </c>
      <c r="C14" s="586"/>
      <c r="D14" s="1903"/>
      <c r="E14" s="593"/>
      <c r="F14" s="593"/>
      <c r="G14" s="594" t="s">
        <v>832</v>
      </c>
    </row>
    <row r="15" spans="1:8" s="589" customFormat="1" ht="13.5" hidden="1" customHeight="1">
      <c r="A15" s="602" t="s">
        <v>45</v>
      </c>
      <c r="B15" s="590" t="s">
        <v>833</v>
      </c>
      <c r="C15" s="595"/>
      <c r="D15" s="1903"/>
      <c r="E15" s="593"/>
      <c r="F15" s="593"/>
      <c r="G15" s="594" t="s">
        <v>834</v>
      </c>
    </row>
    <row r="16" spans="1:8"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1915</v>
      </c>
      <c r="B19" s="585" t="s">
        <v>845</v>
      </c>
      <c r="C19" s="586">
        <f ca="1">IF(G19="已包含在土地取得成本中","0",ROUND(D19*E19,0))</f>
        <v>19179212</v>
      </c>
      <c r="D19" s="1905">
        <f ca="1">D9+D10</f>
        <v>95896.06</v>
      </c>
      <c r="E19" s="586">
        <f>'数据-取费表'!B31</f>
        <v>200</v>
      </c>
      <c r="F19" s="606"/>
      <c r="G19" s="84"/>
    </row>
    <row r="20" spans="1:7" s="589" customFormat="1" ht="13.5" customHeight="1">
      <c r="A20" s="1795" t="s">
        <v>1916</v>
      </c>
      <c r="B20" s="585" t="s">
        <v>838</v>
      </c>
      <c r="C20" s="607">
        <f ca="1">ROUND((C5+C19)*F20,0)</f>
        <v>767168</v>
      </c>
      <c r="D20" s="607"/>
      <c r="E20" s="607"/>
      <c r="F20" s="608">
        <f>'数据-取费表'!B37</f>
        <v>0.02</v>
      </c>
      <c r="G20" s="2611" t="s">
        <v>2520</v>
      </c>
    </row>
    <row r="21" spans="1:7" s="589" customFormat="1" ht="13.5" customHeight="1">
      <c r="A21" s="1795" t="s">
        <v>1917</v>
      </c>
      <c r="B21" s="585" t="s">
        <v>839</v>
      </c>
      <c r="C21" s="610">
        <f>F21</f>
        <v>0.02</v>
      </c>
      <c r="D21" s="611" t="s">
        <v>860</v>
      </c>
      <c r="E21" s="607"/>
      <c r="F21" s="608">
        <f>'数据-取费表'!B38</f>
        <v>0.02</v>
      </c>
      <c r="G21" s="609" t="s">
        <v>840</v>
      </c>
    </row>
    <row r="22" spans="1:7" s="589" customFormat="1" ht="13.5" customHeight="1">
      <c r="A22" s="1795" t="s">
        <v>1918</v>
      </c>
      <c r="B22" s="585" t="s">
        <v>841</v>
      </c>
      <c r="C22" s="2745">
        <f ca="1">ROUND(SUM(C23:C25),0)</f>
        <v>3767036</v>
      </c>
      <c r="D22" s="610">
        <f ca="1">C26</f>
        <v>1E-3</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746">
        <f ca="1">ROUND(IF('数据-取费表'!B22&lt;=1,C5*F22*'数据-取费表'!B22,C5*(POWER((1+F22),'数据-取费表'!B22)-1)),0)</f>
        <v>1865298</v>
      </c>
      <c r="D23" s="613"/>
      <c r="E23" s="613"/>
      <c r="F23" s="614"/>
      <c r="G23" s="615" t="s">
        <v>842</v>
      </c>
    </row>
    <row r="24" spans="1:7" s="589" customFormat="1" ht="13.5" customHeight="1">
      <c r="A24" s="1798" t="s">
        <v>1924</v>
      </c>
      <c r="B24" s="590" t="s">
        <v>2508</v>
      </c>
      <c r="C24" s="2746">
        <f ca="1">ROUND(IF('数据-取费表'!B22&lt;=1,C19*F22*('数据-取费表'!B19/2+'数据-取费表'!B20),C19*(POWER((1+F22),('数据-取费表'!B19/2+'数据-取费表'!B20))-1)),0)</f>
        <v>1865298</v>
      </c>
      <c r="D24" s="613"/>
      <c r="E24" s="613"/>
      <c r="F24" s="614"/>
      <c r="G24" s="615" t="s">
        <v>843</v>
      </c>
    </row>
    <row r="25" spans="1:7" s="589" customFormat="1" ht="24">
      <c r="A25" s="1798" t="s">
        <v>1925</v>
      </c>
      <c r="B25" s="590" t="s">
        <v>2510</v>
      </c>
      <c r="C25" s="2746">
        <f ca="1">ROUND(IF('数据-取费表'!B22&lt;=1,C20*F22*'数据-取费表'!B22/2,C20*(POWER((1+F22),'数据-取费表'!B22/2)-1)),0)</f>
        <v>36440</v>
      </c>
      <c r="D25" s="613"/>
      <c r="E25" s="616"/>
      <c r="F25" s="614"/>
      <c r="G25" s="617" t="s">
        <v>844</v>
      </c>
    </row>
    <row r="26" spans="1:7" s="589" customFormat="1">
      <c r="A26" s="1798" t="s">
        <v>1927</v>
      </c>
      <c r="B26" s="590" t="s">
        <v>2512</v>
      </c>
      <c r="C26" s="613">
        <f ca="1">ROUND(IF('数据-取费表'!B22&lt;=1,F21*F22*'数据-取费表'!B22/2,F21*(POWER((1+F22),'数据-取费表'!B22/2)-1)),4)</f>
        <v>1E-3</v>
      </c>
      <c r="D26" s="613"/>
      <c r="E26" s="616"/>
      <c r="F26" s="614"/>
      <c r="G26" s="618"/>
    </row>
    <row r="27" spans="1:7" s="589" customFormat="1" ht="24.75">
      <c r="A27" s="1795" t="s">
        <v>1919</v>
      </c>
      <c r="B27" s="619" t="s">
        <v>846</v>
      </c>
      <c r="C27" s="620">
        <f ca="1">C28</f>
        <v>7825118</v>
      </c>
      <c r="D27" s="610">
        <f ca="1">C29</f>
        <v>4.0000000000000001E-3</v>
      </c>
      <c r="E27" s="611" t="s">
        <v>860</v>
      </c>
      <c r="F27" s="621">
        <f ca="1">IF(B1="",'数据-取费表'!Q16,INDIRECT("'数据-取费表'!q"&amp;$G$1))</f>
        <v>0.2</v>
      </c>
      <c r="G27" s="622" t="s">
        <v>2521</v>
      </c>
    </row>
    <row r="28" spans="1:7" s="589" customFormat="1" ht="13.5" customHeight="1">
      <c r="A28" s="1798" t="s">
        <v>1923</v>
      </c>
      <c r="B28" s="623" t="s">
        <v>2514</v>
      </c>
      <c r="C28" s="624">
        <f ca="1">ROUND((C5+C19+C20)*F27,0)</f>
        <v>7825118</v>
      </c>
      <c r="D28" s="610"/>
      <c r="E28" s="611"/>
      <c r="F28" s="621"/>
      <c r="G28" s="622"/>
    </row>
    <row r="29" spans="1:7" s="589" customFormat="1" ht="13.5" customHeight="1">
      <c r="A29" s="1798" t="s">
        <v>1924</v>
      </c>
      <c r="B29" s="623" t="s">
        <v>2515</v>
      </c>
      <c r="C29" s="613">
        <f ca="1">ROUND(C21*F27,4)</f>
        <v>4.0000000000000001E-3</v>
      </c>
      <c r="D29" s="610"/>
      <c r="E29" s="611"/>
      <c r="F29" s="621"/>
      <c r="G29" s="622"/>
    </row>
    <row r="30" spans="1:7" s="589" customFormat="1" ht="13.5" customHeight="1">
      <c r="A30" s="1795" t="s">
        <v>1920</v>
      </c>
      <c r="B30" s="585" t="s">
        <v>344</v>
      </c>
      <c r="C30" s="610">
        <f>ROUND(F30/(1+'数据-取费表'!C42),4)</f>
        <v>5.2400000000000002E-2</v>
      </c>
      <c r="D30" s="611" t="s">
        <v>2944</v>
      </c>
      <c r="E30" s="616"/>
      <c r="F30" s="612">
        <f>'数据-取费表'!B41</f>
        <v>5.5000000000000007E-2</v>
      </c>
      <c r="G30" s="2611" t="s">
        <v>2945</v>
      </c>
    </row>
    <row r="31" spans="1:7" ht="16.5" customHeight="1">
      <c r="A31" s="584">
        <v>1</v>
      </c>
      <c r="B31" s="585" t="s">
        <v>862</v>
      </c>
      <c r="C31" s="586">
        <f ca="1">ROUND((C5+C19+C20+C22+C27)/(1-C21-D22-D27-C30),0)</f>
        <v>54972627</v>
      </c>
      <c r="D31" s="605"/>
      <c r="E31" s="586"/>
      <c r="F31" s="625"/>
      <c r="G31" s="609" t="s">
        <v>2522</v>
      </c>
    </row>
    <row r="32" spans="1:7" s="583" customFormat="1" ht="15.75">
      <c r="A32" s="627" t="s">
        <v>2625</v>
      </c>
      <c r="B32" s="628"/>
      <c r="C32" s="628"/>
      <c r="D32" s="628"/>
      <c r="E32" s="628"/>
      <c r="F32" s="628"/>
      <c r="G32" s="629"/>
    </row>
    <row r="33" spans="1:7" s="589" customFormat="1" ht="13.5" customHeight="1">
      <c r="A33" s="630" t="s">
        <v>1914</v>
      </c>
      <c r="B33" s="2747" t="s">
        <v>2626</v>
      </c>
      <c r="C33" s="631">
        <f ca="1">SUM(C34:C38)</f>
        <v>400858157</v>
      </c>
      <c r="D33" s="607"/>
      <c r="E33" s="587"/>
      <c r="F33" s="616"/>
      <c r="G33" s="609"/>
    </row>
    <row r="34" spans="1:7" s="633" customFormat="1" ht="13.5" customHeight="1">
      <c r="A34" s="1798" t="s">
        <v>1923</v>
      </c>
      <c r="B34" s="590" t="s">
        <v>345</v>
      </c>
      <c r="C34" s="595">
        <f ca="1">ROUND(IF(B1="",SUMPRODUCT('数据-取费表'!K6:K14,'数据-取费表'!L6:L14),INDIRECT("'数据-取费表'!l"&amp;$G$1)*INDIRECT("'数据-取费表'!k"&amp;$G$1)+'数据-取费表'!L14*INDIRECT("'数据-取费表'!S"&amp;$G$1)),0)</f>
        <v>365243010</v>
      </c>
      <c r="D34" s="592"/>
      <c r="E34" s="595"/>
      <c r="F34" s="632"/>
      <c r="G34" s="594"/>
    </row>
    <row r="35" spans="1:7" ht="13.5" customHeight="1">
      <c r="A35" s="1798" t="s">
        <v>1928</v>
      </c>
      <c r="B35" s="590" t="s">
        <v>346</v>
      </c>
      <c r="C35" s="595">
        <f ca="1">ROUND(C34*F35,0)</f>
        <v>10957290</v>
      </c>
      <c r="D35" s="595"/>
      <c r="E35" s="595"/>
      <c r="F35" s="634">
        <f>'数据-取费表'!B33</f>
        <v>0.03</v>
      </c>
      <c r="G35" s="594" t="s">
        <v>851</v>
      </c>
    </row>
    <row r="36" spans="1:7" ht="24">
      <c r="A36" s="1798" t="s">
        <v>1929</v>
      </c>
      <c r="B36" s="590" t="s">
        <v>347</v>
      </c>
      <c r="C36" s="595">
        <f ca="1">ROUND(IF(B1="",SUM('数据-取费表'!AP6:AP13)*F36,IF(INDIRECT("'数据-取费表'!c"&amp;$G$1)="住宅",INDIRECT("'数据-取费表'!k"&amp;$G$1)*INDIRECT("'数据-取费表'!l"&amp;$G$1)*F36,0)),0)</f>
        <v>0</v>
      </c>
      <c r="D36" s="595"/>
      <c r="E36" s="595"/>
      <c r="F36" s="634">
        <f>'数据-取费表'!B34</f>
        <v>0</v>
      </c>
      <c r="G36" s="635" t="s">
        <v>348</v>
      </c>
    </row>
    <row r="37" spans="1:7" s="633" customFormat="1" ht="13.5" customHeight="1">
      <c r="A37" s="1798" t="s">
        <v>1930</v>
      </c>
      <c r="B37" s="590" t="s">
        <v>852</v>
      </c>
      <c r="C37" s="624">
        <f ca="1">ROUND(E37*D37,0)</f>
        <v>19179212</v>
      </c>
      <c r="D37" s="592">
        <f ca="1">D19</f>
        <v>95896.06</v>
      </c>
      <c r="E37" s="624">
        <f>'数据-取费表'!B35</f>
        <v>200</v>
      </c>
      <c r="F37" s="634"/>
      <c r="G37" s="636"/>
    </row>
    <row r="38" spans="1:7" ht="13.5" customHeight="1">
      <c r="A38" s="1798" t="s">
        <v>1931</v>
      </c>
      <c r="B38" s="590" t="s">
        <v>349</v>
      </c>
      <c r="C38" s="595">
        <f ca="1">ROUND(C34*F38,0)</f>
        <v>5478645</v>
      </c>
      <c r="D38" s="595"/>
      <c r="E38" s="595"/>
      <c r="F38" s="634">
        <f>'数据-取费表'!B36</f>
        <v>1.4999999999999999E-2</v>
      </c>
      <c r="G38" s="594" t="s">
        <v>851</v>
      </c>
    </row>
    <row r="39" spans="1:7" s="589" customFormat="1" ht="13.5" customHeight="1">
      <c r="A39" s="1795" t="s">
        <v>1915</v>
      </c>
      <c r="B39" s="585" t="s">
        <v>838</v>
      </c>
      <c r="C39" s="607">
        <f ca="1">ROUND(C33*F20,0)</f>
        <v>8017163</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19421577</v>
      </c>
      <c r="D41" s="610">
        <f ca="1">C44</f>
        <v>1E-3</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ROUND(IF('数据-取费表'!B22&lt;=1,C33*F22*'数据-取费表'!B20/2,C33*(POWER((1+F22),'数据-取费表'!B20/2)-1)),0)</f>
        <v>19040762</v>
      </c>
      <c r="D42" s="613"/>
      <c r="E42" s="613"/>
      <c r="F42" s="614"/>
      <c r="G42" s="3559" t="s">
        <v>2629</v>
      </c>
    </row>
    <row r="43" spans="1:7" ht="13.5" customHeight="1">
      <c r="A43" s="1798" t="s">
        <v>1924</v>
      </c>
      <c r="B43" s="590" t="s">
        <v>2508</v>
      </c>
      <c r="C43" s="613">
        <f ca="1">ROUND(IF('数据-取费表'!B22&lt;=1,C39*F22*'数据-取费表'!B20/2,C39*(POWER((1+F22),'数据-取费表'!B20/2)-1)),0)</f>
        <v>380815</v>
      </c>
      <c r="D43" s="613"/>
      <c r="E43" s="613"/>
      <c r="F43" s="614"/>
      <c r="G43" s="3557"/>
    </row>
    <row r="44" spans="1:7" ht="13.5" customHeight="1">
      <c r="A44" s="1798" t="s">
        <v>1925</v>
      </c>
      <c r="B44" s="590" t="s">
        <v>2510</v>
      </c>
      <c r="C44" s="613">
        <f ca="1">ROUND(IF('数据-取费表'!B22&lt;=1,C40*F22*'数据-取费表'!B20/2,C40*(POWER((1+F22),'数据-取费表'!B20/2)-1)),4)</f>
        <v>1E-3</v>
      </c>
      <c r="D44" s="613"/>
      <c r="E44" s="613"/>
      <c r="F44" s="614"/>
      <c r="G44" s="3558"/>
    </row>
    <row r="45" spans="1:7" s="589" customFormat="1" ht="13.5" customHeight="1">
      <c r="A45" s="1795" t="s">
        <v>1918</v>
      </c>
      <c r="B45" s="619" t="s">
        <v>846</v>
      </c>
      <c r="C45" s="620">
        <f ca="1">C46</f>
        <v>81775064</v>
      </c>
      <c r="D45" s="610">
        <f ca="1">C47</f>
        <v>4.0000000000000001E-3</v>
      </c>
      <c r="E45" s="611" t="s">
        <v>863</v>
      </c>
      <c r="F45" s="621"/>
      <c r="G45" s="622" t="s">
        <v>2524</v>
      </c>
    </row>
    <row r="46" spans="1:7" s="589" customFormat="1" ht="13.5" customHeight="1">
      <c r="A46" s="1798" t="s">
        <v>1923</v>
      </c>
      <c r="B46" s="623" t="s">
        <v>2517</v>
      </c>
      <c r="C46" s="624">
        <f ca="1">ROUND((C33+C39)*F27,0)</f>
        <v>81775064</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637">
        <f>ROUND(F30/(1+'数据-取费表'!C42),4)</f>
        <v>5.2400000000000002E-2</v>
      </c>
      <c r="D48" s="611" t="s">
        <v>2942</v>
      </c>
      <c r="E48" s="607"/>
      <c r="F48" s="612"/>
      <c r="G48" s="2611" t="s">
        <v>2943</v>
      </c>
    </row>
    <row r="49" spans="1:7" ht="16.5" customHeight="1">
      <c r="A49" s="1795" t="s">
        <v>1920</v>
      </c>
      <c r="B49" s="585" t="s">
        <v>2627</v>
      </c>
      <c r="C49" s="607">
        <f ca="1">ROUND((C33+C39+C41+C45)/(1-C40-D41-D45-C48),0)</f>
        <v>552863604</v>
      </c>
      <c r="D49" s="607"/>
      <c r="E49" s="607"/>
      <c r="F49" s="639"/>
      <c r="G49" s="609" t="s">
        <v>2525</v>
      </c>
    </row>
    <row r="50" spans="1:7" s="633" customFormat="1">
      <c r="A50" s="1795" t="s">
        <v>1921</v>
      </c>
      <c r="B50" s="585" t="s">
        <v>858</v>
      </c>
      <c r="C50" s="607"/>
      <c r="D50" s="607"/>
      <c r="E50" s="607"/>
      <c r="F50" s="639">
        <f>IF('数据-取费表'!B24=0,'数据-取费表'!N16,1)</f>
        <v>1</v>
      </c>
      <c r="G50" s="622"/>
    </row>
    <row r="51" spans="1:7" ht="16.5" customHeight="1">
      <c r="A51" s="1795" t="s">
        <v>1922</v>
      </c>
      <c r="B51" s="585" t="s">
        <v>2628</v>
      </c>
      <c r="C51" s="607">
        <f ca="1">ROUND(C49*F50,0)</f>
        <v>552863604</v>
      </c>
      <c r="D51" s="607"/>
      <c r="E51" s="607"/>
      <c r="F51" s="639"/>
      <c r="G51" s="609" t="s">
        <v>350</v>
      </c>
    </row>
    <row r="52" spans="1:7" s="583" customFormat="1" ht="16.5" thickBot="1">
      <c r="A52" s="640" t="s">
        <v>351</v>
      </c>
      <c r="B52" s="641"/>
      <c r="C52" s="642">
        <f ca="1">C31+C51</f>
        <v>607836231</v>
      </c>
      <c r="D52" s="641"/>
      <c r="E52" s="641"/>
      <c r="F52" s="641"/>
      <c r="G52" s="643"/>
    </row>
    <row r="55" spans="1:7" ht="15">
      <c r="B55" s="645" t="s">
        <v>352</v>
      </c>
      <c r="C55" s="646"/>
    </row>
    <row r="56" spans="1:7">
      <c r="B56" s="2863" t="s">
        <v>2700</v>
      </c>
      <c r="C56" s="650">
        <f ca="1">1-C57</f>
        <v>8.9999999999999969E-2</v>
      </c>
    </row>
    <row r="57" spans="1:7">
      <c r="B57" s="2863" t="s">
        <v>2699</v>
      </c>
      <c r="C57" s="649">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869</v>
      </c>
      <c r="B1" s="3041"/>
      <c r="C1" s="3042"/>
      <c r="D1" s="3040"/>
      <c r="E1" s="651"/>
      <c r="F1" s="651"/>
      <c r="G1" s="3041"/>
      <c r="H1" s="651"/>
      <c r="I1" s="651"/>
      <c r="J1" s="651"/>
      <c r="K1" s="651">
        <f>MATCH(C1,'数据-取费表'!A6:A16,0)+5</f>
        <v>9</v>
      </c>
    </row>
    <row r="2" spans="1:33" ht="18" customHeight="1">
      <c r="A2" s="576" t="s">
        <v>818</v>
      </c>
      <c r="B2" s="579">
        <f ca="1">C32</f>
        <v>118833</v>
      </c>
      <c r="C2" s="88" t="s">
        <v>1101</v>
      </c>
      <c r="D2" s="651"/>
      <c r="E2" s="651"/>
      <c r="F2" s="651"/>
      <c r="G2" s="651"/>
      <c r="H2" s="651"/>
      <c r="I2" s="651"/>
      <c r="J2" s="651"/>
      <c r="K2" s="651"/>
    </row>
    <row r="3" spans="1:33" ht="18" customHeight="1" thickBot="1">
      <c r="A3" s="578" t="s">
        <v>819</v>
      </c>
      <c r="B3" s="579">
        <f ca="1">ROUND(B2*10000/IF(C1="",'数据-汇总表'!E3,INDIRECT("'数据-取费表'!K"&amp;$K$1)),0)</f>
        <v>12392</v>
      </c>
      <c r="C3" s="88" t="s">
        <v>868</v>
      </c>
      <c r="D3" s="651"/>
      <c r="E3" s="651"/>
      <c r="F3" s="651"/>
      <c r="G3" s="651"/>
      <c r="H3" s="651"/>
      <c r="I3" s="651"/>
      <c r="J3" s="651"/>
      <c r="K3" s="651"/>
    </row>
    <row r="4" spans="1:33" s="1803" customFormat="1" ht="16.5" customHeight="1">
      <c r="A4" s="1800" t="s">
        <v>870</v>
      </c>
      <c r="B4" s="1801"/>
      <c r="C4" s="1844">
        <f ca="1">SUM(C8:K8)</f>
        <v>205695</v>
      </c>
      <c r="D4" s="1801"/>
      <c r="E4" s="1801"/>
      <c r="F4" s="1801"/>
      <c r="G4" s="1801"/>
      <c r="H4" s="1801"/>
      <c r="I4" s="1801"/>
      <c r="J4" s="1801"/>
      <c r="K4" s="1802"/>
    </row>
    <row r="5" spans="1:33" s="1807" customFormat="1" ht="15">
      <c r="A5" s="1804" t="s">
        <v>871</v>
      </c>
      <c r="B5" s="1805" t="s">
        <v>872</v>
      </c>
      <c r="C5" s="1271" t="s">
        <v>140</v>
      </c>
      <c r="D5" s="1271" t="s">
        <v>3045</v>
      </c>
      <c r="E5" s="1271" t="s">
        <v>193</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1934</v>
      </c>
      <c r="B6" s="470" t="s">
        <v>873</v>
      </c>
      <c r="C6" s="1809">
        <f ca="1">'收益法（公寓）'!B3</f>
        <v>27547</v>
      </c>
      <c r="D6" s="1809">
        <f ca="1">'收益法（商业）'!B3</f>
        <v>30787</v>
      </c>
      <c r="E6" s="1809">
        <f ca="1">'收益法（地下车库）'!B3</f>
        <v>3409</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1915</v>
      </c>
      <c r="B7" s="470" t="s">
        <v>874</v>
      </c>
      <c r="C7" s="652">
        <f>SUMIF('数据-汇总表'!$C19:$C33,假设开发法!C5,'数据-汇总表'!$E19:$E33)</f>
        <v>0</v>
      </c>
      <c r="D7" s="652">
        <f>SUMIF('数据-汇总表'!$C19:$C33,假设开发法!D5,'数据-汇总表'!$E19:$E33)</f>
        <v>38821.839999999997</v>
      </c>
      <c r="E7" s="652">
        <f>SUMIF('数据-汇总表'!$C19:$C33,假设开发法!E5,'数据-汇总表'!$E19:$E33)</f>
        <v>18631.559999999998</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1916</v>
      </c>
      <c r="B8" s="508" t="s">
        <v>875</v>
      </c>
      <c r="C8" s="1846">
        <f ca="1">'收益法（公寓）'!B2</f>
        <v>79822</v>
      </c>
      <c r="D8" s="1846">
        <f ca="1">'收益法（商业）'!B2</f>
        <v>119522</v>
      </c>
      <c r="E8" s="1846">
        <f ca="1">'收益法（地下车库）'!B2</f>
        <v>6351</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876</v>
      </c>
      <c r="B9" s="1801"/>
      <c r="C9" s="1801"/>
      <c r="D9" s="1801"/>
      <c r="E9" s="1801"/>
      <c r="F9" s="1801"/>
      <c r="G9" s="1801"/>
      <c r="H9" s="1801"/>
      <c r="I9" s="1801"/>
      <c r="J9" s="1801"/>
      <c r="K9" s="1802"/>
    </row>
    <row r="10" spans="1:33" s="1818" customFormat="1" ht="13.5" customHeight="1">
      <c r="A10" s="1804" t="s">
        <v>871</v>
      </c>
      <c r="B10" s="295" t="s">
        <v>872</v>
      </c>
      <c r="C10" s="1814" t="s">
        <v>877</v>
      </c>
      <c r="D10" s="1815" t="s">
        <v>878</v>
      </c>
      <c r="E10" s="1815" t="s">
        <v>879</v>
      </c>
      <c r="F10" s="1815" t="s">
        <v>880</v>
      </c>
      <c r="G10" s="295"/>
      <c r="H10" s="1816"/>
      <c r="I10" s="1816"/>
      <c r="J10" s="1816"/>
      <c r="K10" s="1817"/>
    </row>
    <row r="11" spans="1:33" s="1823" customFormat="1" ht="13.5" customHeight="1">
      <c r="A11" s="1819" t="s">
        <v>2948</v>
      </c>
      <c r="B11" s="1820" t="s">
        <v>881</v>
      </c>
      <c r="C11" s="654">
        <f ca="1">IF(C1="",'数据-取费表'!P16,INDIRECT("'数据-取费表'!p"&amp;$K$1)+INDIRECT("'数据-取费表'!ar"&amp;$K$1))</f>
        <v>31137</v>
      </c>
      <c r="D11" s="1821"/>
      <c r="E11" s="714"/>
      <c r="F11" s="1822">
        <f ca="1">1-IF('数据-取费表'!B24=0,1,IF(C1="",'数据-取费表'!N16,INDIRECT("'数据-取费表'!n"&amp;$K$1)))</f>
        <v>0.85299999999999998</v>
      </c>
      <c r="G11" s="295"/>
      <c r="H11" s="1816"/>
      <c r="I11" s="1816"/>
      <c r="J11" s="1816"/>
      <c r="K11" s="1817"/>
    </row>
    <row r="12" spans="1:33" s="1823" customFormat="1" ht="13.5" customHeight="1">
      <c r="A12" s="1819" t="s">
        <v>2949</v>
      </c>
      <c r="B12" s="1820" t="s">
        <v>882</v>
      </c>
      <c r="C12" s="313">
        <f ca="1">ROUND(C11*F12,0)</f>
        <v>934</v>
      </c>
      <c r="D12" s="1821"/>
      <c r="E12" s="714"/>
      <c r="F12" s="1824">
        <f>'数据-取费表'!B33</f>
        <v>0.03</v>
      </c>
      <c r="G12" s="295" t="s">
        <v>883</v>
      </c>
      <c r="H12" s="1816"/>
      <c r="I12" s="1816"/>
      <c r="J12" s="1816"/>
      <c r="K12" s="1817"/>
    </row>
    <row r="13" spans="1:33" s="1823" customFormat="1" ht="13.5" customHeight="1">
      <c r="A13" s="1819" t="s">
        <v>2950</v>
      </c>
      <c r="B13" s="1820" t="s">
        <v>884</v>
      </c>
      <c r="C13" s="313">
        <f ca="1">ROUND(IF(C1="",SUMIF('数据-取费表'!C:C,"住宅",'数据-取费表'!P:P)*F13,IF(INDIRECT("'数据-取费表'!c"&amp;$K$1)="住宅",INDIRECT("'数据-取费表'!P"&amp;$K$1)*F13,0)),0)</f>
        <v>0</v>
      </c>
      <c r="D13" s="1902"/>
      <c r="E13" s="714"/>
      <c r="F13" s="1824">
        <f>'数据-取费表'!B34</f>
        <v>0</v>
      </c>
      <c r="G13" s="295" t="s">
        <v>885</v>
      </c>
      <c r="H13" s="1816"/>
      <c r="I13" s="1816"/>
      <c r="J13" s="1816"/>
      <c r="K13" s="1817"/>
    </row>
    <row r="14" spans="1:33" s="1825" customFormat="1" ht="13.5" customHeight="1">
      <c r="A14" s="1819" t="s">
        <v>2951</v>
      </c>
      <c r="B14" s="1820" t="s">
        <v>886</v>
      </c>
      <c r="C14" s="313">
        <f ca="1">ROUND(D14*E14*F11/10000,0)</f>
        <v>1636</v>
      </c>
      <c r="D14" s="1902">
        <f ca="1">IF(C1="",'数据-汇总表'!E3,INDIRECT("'数据-取费表'!K"&amp;$K$1)+INDIRECT("'数据-取费表'!S"&amp;$K$1))</f>
        <v>95896.06</v>
      </c>
      <c r="E14" s="313">
        <f>'数据-取费表'!B35</f>
        <v>200</v>
      </c>
      <c r="F14" s="1824"/>
      <c r="G14" s="295" t="s">
        <v>887</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2952</v>
      </c>
      <c r="B15" s="1820" t="s">
        <v>893</v>
      </c>
      <c r="C15" s="1831">
        <f ca="1">ROUND(C11*F15,0)</f>
        <v>467</v>
      </c>
      <c r="D15" s="1826"/>
      <c r="E15" s="1831"/>
      <c r="F15" s="1832">
        <f>'数据-取费表'!B36</f>
        <v>1.4999999999999999E-2</v>
      </c>
      <c r="G15" s="470" t="s">
        <v>894</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1935</v>
      </c>
      <c r="B16" s="3226" t="s">
        <v>2953</v>
      </c>
      <c r="C16" s="1831">
        <f ca="1">SUM(C11:C15)</f>
        <v>34174</v>
      </c>
      <c r="D16" s="1826"/>
      <c r="E16" s="1831"/>
      <c r="F16" s="1832"/>
      <c r="G16" s="470"/>
      <c r="H16" s="3038"/>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1936</v>
      </c>
      <c r="B17" s="1820" t="s">
        <v>888</v>
      </c>
      <c r="C17" s="313">
        <f ca="1">ROUND(D17*E17/10000,0)</f>
        <v>0</v>
      </c>
      <c r="D17" s="1902">
        <f ca="1">D14</f>
        <v>95896.06</v>
      </c>
      <c r="E17" s="313">
        <f>'数据-取费表'!B32</f>
        <v>0</v>
      </c>
      <c r="F17" s="1826"/>
      <c r="G17" s="470" t="s">
        <v>889</v>
      </c>
      <c r="H17" s="3038"/>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2954</v>
      </c>
      <c r="B18" s="1820" t="s">
        <v>890</v>
      </c>
      <c r="C18" s="313">
        <f ca="1">C19+C20-IF(C1="",'数据-取费表'!B29,IF(G18="已全部缴纳",C19+C20,H18))</f>
        <v>0</v>
      </c>
      <c r="D18" s="1902"/>
      <c r="E18" s="313"/>
      <c r="F18" s="1824"/>
      <c r="G18" s="3037"/>
      <c r="H18" s="3035"/>
      <c r="I18" s="3036" t="s">
        <v>2799</v>
      </c>
      <c r="J18" s="1827"/>
      <c r="K18" s="1828"/>
    </row>
    <row r="19" spans="1:33" s="1823" customFormat="1" ht="13.5" customHeight="1">
      <c r="A19" s="1819" t="s">
        <v>1937</v>
      </c>
      <c r="B19" s="1820" t="s">
        <v>891</v>
      </c>
      <c r="C19" s="313">
        <f ca="1">ROUND(D19*E19/10000,0)</f>
        <v>0</v>
      </c>
      <c r="D19" s="1902">
        <f ca="1">IF(C1="",'数据-汇总表'!E5,IF(INDIRECT("'数据-取费表'!c"&amp;$K$1)="住宅",INDIRECT("'数据-取费表'!k"&amp;$K$1),0))</f>
        <v>0</v>
      </c>
      <c r="E19" s="313">
        <f>'数据-取费表'!B27</f>
        <v>0</v>
      </c>
      <c r="F19" s="1824"/>
      <c r="G19" s="303"/>
      <c r="H19" s="3039"/>
      <c r="I19" s="1829"/>
      <c r="J19" s="1829"/>
      <c r="K19" s="1830"/>
    </row>
    <row r="20" spans="1:33" s="1823" customFormat="1" ht="13.5" customHeight="1">
      <c r="A20" s="1819" t="s">
        <v>1938</v>
      </c>
      <c r="B20" s="1820" t="s">
        <v>892</v>
      </c>
      <c r="C20" s="313">
        <f ca="1">ROUND(D20*E20/10000,0)</f>
        <v>1918</v>
      </c>
      <c r="D20" s="1902">
        <f ca="1">IF(C1="",'数据-汇总表'!E6,IF(INDIRECT("'数据-取费表'!c"&amp;$K$1)="住宅",INDIRECT("'数据-取费表'!s"&amp;$K$1),INDIRECT("'数据-取费表'!k"&amp;$K$1)+INDIRECT("'数据-取费表'!s"&amp;$K$1)))</f>
        <v>95896.06</v>
      </c>
      <c r="E20" s="313">
        <f>'数据-取费表'!B28</f>
        <v>200</v>
      </c>
      <c r="F20" s="1824"/>
      <c r="G20" s="303"/>
      <c r="H20" s="1829"/>
      <c r="I20" s="1829"/>
      <c r="J20" s="1829"/>
      <c r="K20" s="1830"/>
    </row>
    <row r="21" spans="1:33" s="1823" customFormat="1" ht="13.5" customHeight="1">
      <c r="A21" s="1808" t="s">
        <v>1934</v>
      </c>
      <c r="B21" s="1833" t="s">
        <v>895</v>
      </c>
      <c r="C21" s="1834">
        <f ca="1">C16+C17+C18</f>
        <v>34174</v>
      </c>
      <c r="D21" s="1835"/>
      <c r="E21" s="656"/>
      <c r="F21" s="656"/>
      <c r="G21" s="470" t="s">
        <v>2526</v>
      </c>
      <c r="H21" s="1827"/>
      <c r="I21" s="1827"/>
      <c r="J21" s="1827"/>
      <c r="K21" s="1828"/>
    </row>
    <row r="22" spans="1:33" s="1823" customFormat="1" ht="13.5" customHeight="1">
      <c r="A22" s="1813" t="s">
        <v>1915</v>
      </c>
      <c r="B22" s="1833" t="s">
        <v>896</v>
      </c>
      <c r="C22" s="1834">
        <f ca="1">ROUND(C21*F22,0)</f>
        <v>683</v>
      </c>
      <c r="D22" s="656"/>
      <c r="E22" s="656"/>
      <c r="F22" s="1836">
        <f>'数据-取费表'!B37</f>
        <v>0.02</v>
      </c>
      <c r="G22" s="295" t="s">
        <v>897</v>
      </c>
      <c r="H22" s="1816"/>
      <c r="I22" s="1816"/>
      <c r="J22" s="1816"/>
      <c r="K22" s="1817"/>
    </row>
    <row r="23" spans="1:33" s="1823" customFormat="1" ht="13.5" customHeight="1">
      <c r="A23" s="1813" t="s">
        <v>1916</v>
      </c>
      <c r="B23" s="1833" t="s">
        <v>898</v>
      </c>
      <c r="C23" s="1834">
        <f ca="1">ROUND(C4*F23*F11,0)</f>
        <v>3509</v>
      </c>
      <c r="D23" s="656"/>
      <c r="E23" s="656"/>
      <c r="F23" s="1836">
        <f>'数据-取费表'!B38</f>
        <v>0.02</v>
      </c>
      <c r="G23" s="295" t="s">
        <v>899</v>
      </c>
      <c r="H23" s="1816"/>
      <c r="I23" s="1816"/>
      <c r="J23" s="1816"/>
      <c r="K23" s="1817"/>
    </row>
    <row r="24" spans="1:33" s="1823" customFormat="1" ht="13.5" customHeight="1">
      <c r="A24" s="1813" t="s">
        <v>1917</v>
      </c>
      <c r="B24" s="1833" t="s">
        <v>900</v>
      </c>
      <c r="C24" s="655">
        <f>ROUND(F24/(1+'数据-取费表'!C42),4)</f>
        <v>2.9000000000000001E-2</v>
      </c>
      <c r="D24" s="656" t="s">
        <v>49</v>
      </c>
      <c r="E24" s="656"/>
      <c r="F24" s="1836">
        <f>'数据-取费表'!B48+'数据-取费表'!B49</f>
        <v>3.0499999999999999E-2</v>
      </c>
      <c r="G24" s="2015" t="s">
        <v>2946</v>
      </c>
      <c r="H24" s="1838"/>
      <c r="I24" s="1838"/>
      <c r="J24" s="1838"/>
      <c r="K24" s="1839"/>
    </row>
    <row r="25" spans="1:33" s="1823" customFormat="1" ht="13.5" customHeight="1">
      <c r="A25" s="1813" t="s">
        <v>1918</v>
      </c>
      <c r="B25" s="1835" t="s">
        <v>901</v>
      </c>
      <c r="C25" s="2693">
        <f ca="1">C27</f>
        <v>1267</v>
      </c>
      <c r="D25" s="655">
        <f ca="1">C26</f>
        <v>6.9099999999999995E-2</v>
      </c>
      <c r="E25" s="657" t="s">
        <v>49</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1935</v>
      </c>
      <c r="B26" s="1840" t="s">
        <v>902</v>
      </c>
      <c r="C26" s="2694">
        <f ca="1">ROUND(IF('数据-取费表'!B22&lt;=1,(1+C24)*F25*'数据-取费表'!B24,(1+C24)*(POWER((1+F25),'数据-取费表'!B24)-1)),4)</f>
        <v>6.9099999999999995E-2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1936</v>
      </c>
      <c r="B27" s="1840" t="s">
        <v>2616</v>
      </c>
      <c r="C27" s="2695">
        <f ca="1">ROUND(IF('数据-取费表'!B22&lt;=1,(C21+C22+C23)*F25*'数据-取费表'!B24/2,(C21+C22+C23)*(POWER((1+F25),'数据-取费表'!B24/2)-1)),0)</f>
        <v>1267</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1919</v>
      </c>
      <c r="B28" s="3227" t="s">
        <v>2955</v>
      </c>
      <c r="C28" s="662">
        <f ca="1">C30</f>
        <v>7673</v>
      </c>
      <c r="D28" s="655">
        <f ca="1">C29</f>
        <v>0.14410000000000001</v>
      </c>
      <c r="E28" s="657" t="s">
        <v>49</v>
      </c>
      <c r="F28" s="663">
        <f ca="1">IF(C1="",'数据-取费表'!Q16,INDIRECT("'数据-取费表'!q"&amp;$K$1))</f>
        <v>0.2</v>
      </c>
      <c r="G28" s="1837"/>
      <c r="H28" s="1838"/>
      <c r="I28" s="1838"/>
      <c r="J28" s="1838"/>
      <c r="K28" s="1839"/>
    </row>
    <row r="29" spans="1:33" s="666" customFormat="1" ht="13.5" customHeight="1">
      <c r="A29" s="1819" t="s">
        <v>1935</v>
      </c>
      <c r="B29" s="1842" t="s">
        <v>903</v>
      </c>
      <c r="C29" s="659">
        <f ca="1">ROUND((1+C24)*F28*'数据-取费表'!B24/'数据-取费表'!B20,4)</f>
        <v>0.14410000000000001</v>
      </c>
      <c r="D29" s="659"/>
      <c r="E29" s="660"/>
      <c r="F29" s="665"/>
      <c r="G29" s="470" t="s">
        <v>904</v>
      </c>
      <c r="H29" s="1827"/>
      <c r="I29" s="1827"/>
      <c r="J29" s="1827"/>
      <c r="K29" s="1828"/>
    </row>
    <row r="30" spans="1:33" s="666" customFormat="1" ht="13.5" customHeight="1">
      <c r="A30" s="1819" t="s">
        <v>1936</v>
      </c>
      <c r="B30" s="2700" t="s">
        <v>2617</v>
      </c>
      <c r="C30" s="667">
        <f ca="1">ROUND((C21+C22+C23)*F28,0)</f>
        <v>7673</v>
      </c>
      <c r="D30" s="659"/>
      <c r="E30" s="660"/>
      <c r="F30" s="665"/>
      <c r="G30" s="470"/>
      <c r="H30" s="1827"/>
      <c r="I30" s="1827"/>
      <c r="J30" s="1827"/>
      <c r="K30" s="1828"/>
    </row>
    <row r="31" spans="1:33" s="1823" customFormat="1" ht="13.5" customHeight="1" thickBot="1">
      <c r="A31" s="1854" t="s">
        <v>1920</v>
      </c>
      <c r="B31" s="1855" t="s">
        <v>905</v>
      </c>
      <c r="C31" s="1856">
        <f ca="1">ROUND(C4*F31/(1+'数据-取费表'!C42),0)</f>
        <v>10775</v>
      </c>
      <c r="D31" s="1857"/>
      <c r="E31" s="1858"/>
      <c r="F31" s="1859">
        <f>'数据-取费表'!B41</f>
        <v>5.5000000000000007E-2</v>
      </c>
      <c r="G31" s="1860" t="s">
        <v>906</v>
      </c>
      <c r="H31" s="1861"/>
      <c r="I31" s="1861"/>
      <c r="J31" s="1861"/>
      <c r="K31" s="1862"/>
    </row>
    <row r="32" spans="1:33" s="1818" customFormat="1" ht="13.5" customHeight="1" thickBot="1">
      <c r="A32" s="1849" t="s">
        <v>2947</v>
      </c>
      <c r="B32" s="1850"/>
      <c r="C32" s="1851">
        <f ca="1">ROUND((C4-C21-C22-C23-C25-C28-C31)/(1+C24+D25+D28),0)</f>
        <v>118833</v>
      </c>
      <c r="D32" s="1850"/>
      <c r="E32" s="1850"/>
      <c r="F32" s="1850"/>
      <c r="G32" s="1852" t="s">
        <v>907</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26" sqref="I2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3229</v>
      </c>
      <c r="D1" s="1272"/>
      <c r="E1" s="2576" t="s">
        <v>2444</v>
      </c>
      <c r="F1" s="2577">
        <f ca="1">J53</f>
        <v>45.65</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818</v>
      </c>
      <c r="B2" s="1405">
        <f ca="1">C40+J29+L46</f>
        <v>79822</v>
      </c>
      <c r="C2" s="1298" t="s">
        <v>1102</v>
      </c>
      <c r="D2" s="1274"/>
      <c r="E2" s="2566"/>
      <c r="F2" s="1275"/>
      <c r="G2" s="2278"/>
      <c r="H2" s="1273"/>
      <c r="I2" s="1273"/>
      <c r="J2" s="1273"/>
      <c r="K2" s="1297"/>
      <c r="L2" s="1273"/>
      <c r="M2" s="1273"/>
    </row>
    <row r="3" spans="1:37" ht="18" customHeight="1" thickBot="1">
      <c r="A3" s="674" t="s">
        <v>819</v>
      </c>
      <c r="B3" s="1406">
        <f ca="1">IF(ISERROR(B2*10000/F43),0,ROUND(B2*10000/F43,0))</f>
        <v>27547</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2534</v>
      </c>
      <c r="C5" s="2617">
        <f ca="1">C6+C10+C12</f>
        <v>3813</v>
      </c>
      <c r="D5" s="2627" t="s">
        <v>2536</v>
      </c>
      <c r="E5" s="2618"/>
      <c r="F5" s="2619"/>
      <c r="G5" s="2279"/>
      <c r="H5" s="680">
        <v>1</v>
      </c>
      <c r="I5" s="681" t="s">
        <v>2534</v>
      </c>
      <c r="J5" s="2617">
        <f ca="1">J6+J10+J12</f>
        <v>0</v>
      </c>
      <c r="K5" s="2620" t="s">
        <v>2536</v>
      </c>
      <c r="L5" s="2618"/>
      <c r="M5" s="2619"/>
    </row>
    <row r="6" spans="1:37" ht="18" customHeight="1">
      <c r="A6" s="2613" t="s">
        <v>2541</v>
      </c>
      <c r="B6" s="3562" t="s">
        <v>2535</v>
      </c>
      <c r="C6" s="2622">
        <f ca="1">ROUND(F6*F8*F7*(1-F9)/10000,0)</f>
        <v>3808</v>
      </c>
      <c r="D6" s="2616" t="s">
        <v>2537</v>
      </c>
      <c r="E6" s="683" t="s">
        <v>915</v>
      </c>
      <c r="F6" s="684">
        <f ca="1">INDIRECT("'数据-取费表'!u"&amp;$G$1)</f>
        <v>4</v>
      </c>
      <c r="G6" s="2279"/>
      <c r="H6" s="2613" t="s">
        <v>2544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28977.16</v>
      </c>
      <c r="G7" s="2279"/>
      <c r="H7" s="685"/>
      <c r="I7" s="3563"/>
      <c r="J7" s="687"/>
      <c r="K7" s="688"/>
      <c r="L7" s="683" t="s">
        <v>916</v>
      </c>
      <c r="M7" s="684">
        <f ca="1">F7</f>
        <v>28977.16</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2542</v>
      </c>
      <c r="B10" s="2614" t="s">
        <v>2530</v>
      </c>
      <c r="C10" s="697">
        <f ca="1">ROUND(IF(F10="押一",F6*F8*F7/12*F11,IF(F10="押二",F6*F8*F7/12*2*F11,IF(F10="押三",F6*F8*F7/12*3*F11,C11*F11)))/10000,0)</f>
        <v>5</v>
      </c>
      <c r="D10" s="2625" t="s">
        <v>2538</v>
      </c>
      <c r="E10" s="2090" t="s">
        <v>2532</v>
      </c>
      <c r="F10" s="2819" t="s">
        <v>3222</v>
      </c>
      <c r="G10" s="2279"/>
      <c r="H10" s="2613" t="s">
        <v>2545</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2546</v>
      </c>
      <c r="I12" s="2662" t="s">
        <v>2531</v>
      </c>
      <c r="J12" s="2663"/>
      <c r="K12" s="2680"/>
      <c r="L12" s="2665"/>
      <c r="M12" s="2681"/>
    </row>
    <row r="13" spans="1:37" ht="18" customHeight="1" thickTop="1">
      <c r="A13" s="2657">
        <v>2</v>
      </c>
      <c r="B13" s="2658" t="s">
        <v>919</v>
      </c>
      <c r="C13" s="691">
        <f ca="1">ROUND(C29*F13,0)</f>
        <v>20823</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13833</v>
      </c>
      <c r="D14" s="2206" t="s">
        <v>922</v>
      </c>
      <c r="E14" s="2205"/>
      <c r="F14" s="702"/>
      <c r="G14" s="2279"/>
      <c r="H14" s="2429" t="s">
        <v>2374</v>
      </c>
      <c r="I14" s="683" t="s">
        <v>923</v>
      </c>
      <c r="J14" s="313">
        <f ca="1">C29</f>
        <v>20823</v>
      </c>
      <c r="K14" s="303"/>
      <c r="L14" s="699"/>
      <c r="M14" s="700"/>
    </row>
    <row r="15" spans="1:37" s="705" customFormat="1" ht="18" customHeight="1" thickBot="1">
      <c r="A15" s="2429" t="s">
        <v>2607</v>
      </c>
      <c r="B15" s="683" t="s">
        <v>356</v>
      </c>
      <c r="C15" s="313">
        <f ca="1">ROUND(C14*F15,0)</f>
        <v>415</v>
      </c>
      <c r="D15" s="703" t="s">
        <v>924</v>
      </c>
      <c r="E15" s="703" t="s">
        <v>925</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925</v>
      </c>
      <c r="F16" s="706">
        <f ca="1">IF(INDIRECT("'数据-取费表'!c"&amp;$G$1)="住宅",'数据-取费表'!B34,0)</f>
        <v>0</v>
      </c>
      <c r="G16" s="2279"/>
      <c r="H16" s="2657" t="s">
        <v>2339</v>
      </c>
      <c r="I16" s="2658" t="s">
        <v>926</v>
      </c>
      <c r="J16" s="691">
        <f ca="1">ROUND(J17+J22+J23+J24,0)</f>
        <v>488</v>
      </c>
      <c r="K16" s="2667" t="s">
        <v>927</v>
      </c>
      <c r="L16" s="2668"/>
      <c r="M16" s="2619"/>
    </row>
    <row r="17" spans="1:37" s="705" customFormat="1" ht="18" customHeight="1">
      <c r="A17" s="2429" t="s">
        <v>2609</v>
      </c>
      <c r="B17" s="683" t="s">
        <v>358</v>
      </c>
      <c r="C17" s="313">
        <f ca="1">ROUND(F17*(F43+INDIRECT("'数据-取费表'!S"&amp;$G$1))/10000,0)</f>
        <v>643</v>
      </c>
      <c r="D17" s="683" t="s">
        <v>928</v>
      </c>
      <c r="E17" s="683" t="s">
        <v>929</v>
      </c>
      <c r="F17" s="315">
        <f>'数据-取费表'!B35</f>
        <v>200</v>
      </c>
      <c r="G17" s="2280"/>
      <c r="H17" s="2429" t="s">
        <v>2374</v>
      </c>
      <c r="I17" s="683" t="s">
        <v>359</v>
      </c>
      <c r="J17" s="313">
        <f ca="1">ROUND(IF(项目基本情况!B11="自然人",J5*M17,J18+J19+J20),1)</f>
        <v>175.7</v>
      </c>
      <c r="K17" s="2206" t="s">
        <v>930</v>
      </c>
      <c r="L17" s="2204"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207</v>
      </c>
      <c r="D18" s="683" t="s">
        <v>924</v>
      </c>
      <c r="E18" s="683" t="s">
        <v>925</v>
      </c>
      <c r="F18" s="706">
        <f>'数据-取费表'!B36</f>
        <v>1.4999999999999999E-2</v>
      </c>
      <c r="G18" s="2280"/>
      <c r="H18" s="2429" t="s">
        <v>2371</v>
      </c>
      <c r="I18" s="683" t="s">
        <v>932</v>
      </c>
      <c r="J18" s="313">
        <f ca="1">ROUND(J5*M18/(1+'数据-取费表'!C42),2)</f>
        <v>0</v>
      </c>
      <c r="K18" s="2204" t="s">
        <v>933</v>
      </c>
      <c r="L18" s="683" t="s">
        <v>925</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2541</v>
      </c>
      <c r="B19" s="683" t="s">
        <v>362</v>
      </c>
      <c r="C19" s="313">
        <f ca="1">SUM(C14:C18)</f>
        <v>15098</v>
      </c>
      <c r="D19" s="470" t="s">
        <v>934</v>
      </c>
      <c r="E19" s="2214"/>
      <c r="F19" s="315"/>
      <c r="G19" s="2279"/>
      <c r="H19" s="2429" t="s">
        <v>2607</v>
      </c>
      <c r="I19" s="683" t="s">
        <v>935</v>
      </c>
      <c r="J19" s="313">
        <f ca="1">IF(K19="按租金收入计税",ROUND(J5*M19,2),ROUND(C29*M19*0.7,2))</f>
        <v>174.91</v>
      </c>
      <c r="K19" s="1299" t="s">
        <v>2414</v>
      </c>
      <c r="L19" s="683" t="s">
        <v>925</v>
      </c>
      <c r="M19" s="706">
        <f>IF(K19="按租金收入计税",'数据-取费表'!B51,'数据-取费表'!B50)</f>
        <v>1.2E-2</v>
      </c>
    </row>
    <row r="20" spans="1:37" s="705" customFormat="1" ht="18" customHeight="1">
      <c r="A20" s="2429" t="s">
        <v>2611</v>
      </c>
      <c r="B20" s="683" t="s">
        <v>363</v>
      </c>
      <c r="C20" s="313">
        <f ca="1">ROUND(C19*F20,0)</f>
        <v>302</v>
      </c>
      <c r="D20" s="708" t="s">
        <v>936</v>
      </c>
      <c r="E20" s="683" t="s">
        <v>925</v>
      </c>
      <c r="F20" s="706">
        <f>'数据-取费表'!B37</f>
        <v>0.02</v>
      </c>
      <c r="G20" s="2280"/>
      <c r="H20" s="2429" t="s">
        <v>2608</v>
      </c>
      <c r="I20" s="495" t="s">
        <v>937</v>
      </c>
      <c r="J20" s="314">
        <f ca="1">ROUND(M20*M21/10000,2)</f>
        <v>0.79</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5245.16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214"/>
      <c r="F22" s="315"/>
      <c r="G22" s="2279"/>
      <c r="H22" s="2429" t="s">
        <v>2381</v>
      </c>
      <c r="I22" s="683" t="s">
        <v>945</v>
      </c>
      <c r="J22" s="313">
        <f ca="1">ROUND(J14*M22,1)</f>
        <v>312.3</v>
      </c>
      <c r="K22" s="2204" t="s">
        <v>946</v>
      </c>
      <c r="L22" s="683" t="s">
        <v>925</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731</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2204" t="s">
        <v>948</v>
      </c>
      <c r="L23" s="683" t="s">
        <v>925</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951</v>
      </c>
      <c r="L24" s="2670" t="s">
        <v>925</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214"/>
      <c r="F25" s="315"/>
      <c r="G25" s="2279"/>
      <c r="H25" s="2657" t="s">
        <v>2354</v>
      </c>
      <c r="I25" s="2674" t="s">
        <v>953</v>
      </c>
      <c r="J25" s="691">
        <f ca="1">J5-J16</f>
        <v>-488</v>
      </c>
      <c r="K25" s="2675" t="s">
        <v>954</v>
      </c>
      <c r="L25" s="2676"/>
      <c r="M25" s="2677"/>
    </row>
    <row r="26" spans="1:37" ht="18" customHeight="1">
      <c r="A26" s="2429" t="s">
        <v>2371</v>
      </c>
      <c r="B26" s="683" t="s">
        <v>2528</v>
      </c>
      <c r="C26" s="313">
        <f ca="1">ROUND((C19+C20)*F26,0)</f>
        <v>3080</v>
      </c>
      <c r="D26" s="708" t="s">
        <v>955</v>
      </c>
      <c r="E26" s="694" t="s">
        <v>956</v>
      </c>
      <c r="F26" s="693">
        <f ca="1">INDIRECT("'数据-取费表'!q"&amp;$G$1)</f>
        <v>0.2</v>
      </c>
      <c r="G26" s="2279"/>
      <c r="H26" s="680" t="s">
        <v>2357</v>
      </c>
      <c r="I26" s="681" t="s">
        <v>957</v>
      </c>
      <c r="J26" s="682">
        <f ca="1">IF(J5&lt;&gt;0,ROUND(J25*(1-((1+M28)/(1+M26))^M27)/(M26-M28),0),0)</f>
        <v>0</v>
      </c>
      <c r="K26" s="709" t="s">
        <v>958</v>
      </c>
      <c r="L26" s="683" t="s">
        <v>964</v>
      </c>
      <c r="M26" s="693">
        <f ca="1">INDIRECT("'数据-取费表'!I"&amp;$G$1)</f>
        <v>0.06</v>
      </c>
    </row>
    <row r="27" spans="1:37" ht="18" customHeight="1">
      <c r="A27" s="2429" t="s">
        <v>2377</v>
      </c>
      <c r="B27" s="683" t="s">
        <v>371</v>
      </c>
      <c r="C27" s="313">
        <f ca="1">ROUND(F21*F26,4)</f>
        <v>4.0000000000000001E-3</v>
      </c>
      <c r="D27" s="708" t="s">
        <v>959</v>
      </c>
      <c r="E27" s="703"/>
      <c r="F27" s="704"/>
      <c r="G27" s="2279"/>
      <c r="H27" s="685"/>
      <c r="I27" s="686"/>
      <c r="J27" s="687"/>
      <c r="K27" s="717" t="s">
        <v>960</v>
      </c>
      <c r="L27" s="683" t="s">
        <v>965</v>
      </c>
      <c r="M27" s="718">
        <f ca="1">INDIRECT("'数据-取费表'!ag"&amp;$G$1)</f>
        <v>0</v>
      </c>
    </row>
    <row r="28" spans="1:37" s="705" customFormat="1" ht="18" customHeight="1">
      <c r="A28" s="2429" t="s">
        <v>2379</v>
      </c>
      <c r="B28" s="683" t="s">
        <v>372</v>
      </c>
      <c r="C28" s="313">
        <f>ROUND(F28/(1+'数据-取费表'!C42),4)</f>
        <v>5.2400000000000002E-2</v>
      </c>
      <c r="D28" s="708" t="s">
        <v>966</v>
      </c>
      <c r="E28" s="683" t="s">
        <v>925</v>
      </c>
      <c r="F28" s="706">
        <f>'数据-取费表'!B41</f>
        <v>5.5000000000000007E-2</v>
      </c>
      <c r="G28" s="2280"/>
      <c r="H28" s="689"/>
      <c r="I28" s="690"/>
      <c r="J28" s="691"/>
      <c r="K28" s="712"/>
      <c r="L28" s="683" t="s">
        <v>967</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20823</v>
      </c>
      <c r="D29" s="2672"/>
      <c r="E29" s="2670"/>
      <c r="F29" s="2673"/>
      <c r="G29" s="2280"/>
      <c r="H29" s="719" t="s">
        <v>2364</v>
      </c>
      <c r="I29" s="720" t="s">
        <v>961</v>
      </c>
      <c r="J29" s="721">
        <f ca="1">ROUND(J26/(1+F40)^F41,0)</f>
        <v>0</v>
      </c>
      <c r="K29" s="722" t="s">
        <v>962</v>
      </c>
      <c r="L29" s="723"/>
      <c r="M29" s="724">
        <f ca="1">INDIRECT("'数据-取费表'!k"&amp;$G$1)</f>
        <v>28977.16</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806</v>
      </c>
      <c r="D30" s="2667" t="s">
        <v>927</v>
      </c>
      <c r="E30" s="2668"/>
      <c r="F30" s="2619"/>
      <c r="G30" s="2279"/>
      <c r="H30" s="1276"/>
      <c r="I30" s="1277"/>
      <c r="J30" s="1278"/>
      <c r="K30" s="1279"/>
      <c r="L30" s="1280"/>
      <c r="M30" s="1281"/>
    </row>
    <row r="31" spans="1:37" ht="18" customHeight="1">
      <c r="A31" s="2429" t="s">
        <v>2541</v>
      </c>
      <c r="B31" s="683" t="s">
        <v>359</v>
      </c>
      <c r="C31" s="313">
        <f ca="1">ROUND(IF(项目基本情况!B11="自然人",C5*F31,C32+C33+C34),1)</f>
        <v>375.4</v>
      </c>
      <c r="D31" s="2206" t="s">
        <v>930</v>
      </c>
      <c r="E31" s="2204"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2606</v>
      </c>
      <c r="B32" s="683" t="s">
        <v>932</v>
      </c>
      <c r="C32" s="313">
        <f ca="1">IF(项目基本情况!B11="自然人","——",ROUND(C5*F32/(1+'数据-取费表'!C42),2))</f>
        <v>199.73</v>
      </c>
      <c r="D32" s="2204" t="s">
        <v>933</v>
      </c>
      <c r="E32" s="683" t="s">
        <v>925</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174.91</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970</v>
      </c>
      <c r="C34" s="314">
        <f ca="1">IF(项目基本情况!B11="自然人","——",ROUND(F34*F35/10000,2))</f>
        <v>0.79</v>
      </c>
      <c r="D34" s="709" t="s">
        <v>971</v>
      </c>
      <c r="E34" s="683" t="s">
        <v>972</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5245.16</v>
      </c>
      <c r="G35" s="2279"/>
      <c r="H35" s="1276"/>
      <c r="I35" s="2872"/>
      <c r="J35" s="2873"/>
      <c r="K35" s="1289"/>
      <c r="L35" s="1288"/>
      <c r="M35" s="1288"/>
    </row>
    <row r="36" spans="1:18" ht="18" customHeight="1">
      <c r="A36" s="2686" t="s">
        <v>2381</v>
      </c>
      <c r="B36" s="683" t="s">
        <v>945</v>
      </c>
      <c r="C36" s="313">
        <f ca="1">ROUND(C29*F36,1)</f>
        <v>312.3</v>
      </c>
      <c r="D36" s="2204" t="s">
        <v>975</v>
      </c>
      <c r="E36" s="683" t="s">
        <v>976</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41.6</v>
      </c>
      <c r="D37" s="2204" t="s">
        <v>365</v>
      </c>
      <c r="E37" s="683" t="s">
        <v>366</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76.3</v>
      </c>
      <c r="D38" s="2672" t="s">
        <v>367</v>
      </c>
      <c r="E38" s="2670" t="s">
        <v>366</v>
      </c>
      <c r="F38" s="2666">
        <f ca="1">INDIRECT("'数据-取费表'!Am"&amp;$G$1)</f>
        <v>0.02</v>
      </c>
      <c r="G38" s="2279"/>
      <c r="H38" s="1288"/>
      <c r="I38" s="2872"/>
      <c r="J38" s="2873"/>
      <c r="K38" s="1293"/>
      <c r="L38" s="1288"/>
      <c r="M38" s="1288"/>
    </row>
    <row r="39" spans="1:18" ht="24.6" customHeight="1" thickTop="1">
      <c r="A39" s="2657" t="s">
        <v>2354</v>
      </c>
      <c r="B39" s="2674" t="s">
        <v>373</v>
      </c>
      <c r="C39" s="691">
        <f ca="1">C5-C30</f>
        <v>3007</v>
      </c>
      <c r="D39" s="2675" t="s">
        <v>374</v>
      </c>
      <c r="E39" s="2676"/>
      <c r="F39" s="2677"/>
      <c r="G39" s="2279"/>
      <c r="H39" s="1288"/>
      <c r="I39" s="2872"/>
      <c r="J39" s="2873"/>
      <c r="K39" s="1293"/>
      <c r="L39" s="1288"/>
      <c r="M39" s="1288"/>
    </row>
    <row r="40" spans="1:18" ht="18" customHeight="1">
      <c r="A40" s="680" t="s">
        <v>2357</v>
      </c>
      <c r="B40" s="681" t="s">
        <v>375</v>
      </c>
      <c r="C40" s="682">
        <f ca="1">ROUND(C39*(1-((1+F42)/(1+F40))^F41)/(F40-F42),0)</f>
        <v>79822</v>
      </c>
      <c r="D40" s="709" t="s">
        <v>369</v>
      </c>
      <c r="E40" s="683" t="s">
        <v>370</v>
      </c>
      <c r="F40" s="693">
        <f ca="1">INDIRECT("'数据-取费表'!I"&amp;$G$1)</f>
        <v>0.06</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3.5000000000000003E-2</v>
      </c>
      <c r="G42" s="2279"/>
      <c r="H42" s="1190"/>
      <c r="I42" s="2872"/>
      <c r="J42" s="2873"/>
      <c r="K42" s="1292"/>
      <c r="L42" s="1190"/>
      <c r="M42" s="1190"/>
    </row>
    <row r="43" spans="1:18" ht="18" customHeight="1" thickBot="1">
      <c r="A43" s="719" t="s">
        <v>2364</v>
      </c>
      <c r="B43" s="720" t="s">
        <v>379</v>
      </c>
      <c r="C43" s="721">
        <f ca="1">ROUND(C40*10000/F43,0)</f>
        <v>27547</v>
      </c>
      <c r="D43" s="722" t="s">
        <v>380</v>
      </c>
      <c r="E43" s="723" t="s">
        <v>381</v>
      </c>
      <c r="F43" s="724">
        <f ca="1">INDIRECT("'数据-取费表'!k"&amp;$G$1)</f>
        <v>28977.16</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-88037</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2328</v>
      </c>
      <c r="B47" s="2425" t="s">
        <v>2329</v>
      </c>
      <c r="C47" s="2721" t="s">
        <v>2330</v>
      </c>
      <c r="D47" s="2425" t="s">
        <v>2331</v>
      </c>
      <c r="E47" s="2528" t="s">
        <v>2332</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79822</v>
      </c>
      <c r="R47" s="2579" t="s">
        <v>2469</v>
      </c>
    </row>
    <row r="48" spans="1:18" s="1453" customFormat="1" ht="47.25" thickBot="1">
      <c r="A48" s="2702" t="s">
        <v>2618</v>
      </c>
      <c r="B48" s="681" t="s">
        <v>2333</v>
      </c>
      <c r="C48" s="2712">
        <f ca="1">C49+C53+C55</f>
        <v>0</v>
      </c>
      <c r="D48" s="2706"/>
      <c r="E48" s="2707"/>
      <c r="F48" s="2409"/>
      <c r="G48" s="1455"/>
      <c r="H48" s="1456"/>
      <c r="I48" s="2535" t="s">
        <v>2416</v>
      </c>
      <c r="J48" s="2546" t="s">
        <v>2417</v>
      </c>
      <c r="K48" s="2556" t="s">
        <v>2439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20823</v>
      </c>
      <c r="R49" s="2579" t="s">
        <v>2469</v>
      </c>
    </row>
    <row r="50" spans="1:18" s="1453" customFormat="1" ht="15.75" thickBot="1">
      <c r="A50" s="2423"/>
      <c r="B50" s="2426"/>
      <c r="C50" s="2722"/>
      <c r="D50" s="2396"/>
      <c r="E50" s="2525" t="s">
        <v>2335</v>
      </c>
      <c r="F50" s="2526">
        <f ca="1">F7</f>
        <v>28977.16</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2336</v>
      </c>
      <c r="F51" s="684">
        <f ca="1">F8</f>
        <v>365</v>
      </c>
      <c r="I51" s="2549" t="s">
        <v>2423</v>
      </c>
      <c r="J51" s="2550">
        <f>IF(J49="",J50,J49+J50-YEAR('数据-取费表'!B2))</f>
        <v>60</v>
      </c>
      <c r="K51" s="2559" t="s">
        <v>2443</v>
      </c>
      <c r="L51" s="2572">
        <f ca="1">ROUND(-PV(INDIRECT("'数据-取费表'!h"&amp;$G$1),L48,(C39-C13*C76),0),0)</f>
        <v>22073</v>
      </c>
      <c r="M51" s="2553"/>
      <c r="O51" s="2580" t="s">
        <v>2454</v>
      </c>
      <c r="P51" s="2588" t="s">
        <v>2480</v>
      </c>
      <c r="Q51" s="2581">
        <f>J52</f>
        <v>0</v>
      </c>
      <c r="R51" s="2579"/>
    </row>
    <row r="52" spans="1:18" s="1453" customFormat="1" ht="15.75" thickBot="1">
      <c r="A52" s="2424"/>
      <c r="B52" s="2426"/>
      <c r="C52" s="2427"/>
      <c r="D52" s="2396"/>
      <c r="E52" s="2428" t="s">
        <v>2337</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79822</v>
      </c>
      <c r="R53" s="2579" t="s">
        <v>2457</v>
      </c>
    </row>
    <row r="54" spans="1:18" s="1453" customFormat="1" ht="16.5" thickBot="1">
      <c r="A54" s="2818"/>
      <c r="B54" s="2615" t="s">
        <v>2697</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1"/>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2338</v>
      </c>
      <c r="C56" s="607">
        <f ca="1">C13</f>
        <v>20823</v>
      </c>
      <c r="D56" s="2689"/>
      <c r="E56" s="2402"/>
      <c r="F56" s="2531"/>
      <c r="I56" s="2534" t="s">
        <v>2426</v>
      </c>
      <c r="J56" s="2563" t="s">
        <v>3056</v>
      </c>
      <c r="K56" s="2535" t="s">
        <v>2430</v>
      </c>
      <c r="L56" s="2161" t="str">
        <f ca="1">IF(L48&lt;J51,"——",L48-J51)</f>
        <v>——</v>
      </c>
      <c r="O56" s="2578" t="s">
        <v>2450</v>
      </c>
      <c r="P56" s="2588" t="s">
        <v>2468</v>
      </c>
      <c r="Q56" s="2579">
        <f ca="1">C40+J29</f>
        <v>79822</v>
      </c>
      <c r="R56" s="2579" t="s">
        <v>2469</v>
      </c>
    </row>
    <row r="57" spans="1:18" s="1453" customFormat="1" ht="29.25" thickBot="1">
      <c r="A57" s="2532"/>
      <c r="B57" s="2393" t="s">
        <v>2368</v>
      </c>
      <c r="C57" s="613">
        <f ca="1">C29</f>
        <v>20823</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2369</v>
      </c>
      <c r="C58" s="697">
        <f ca="1">ROUND(C59+C64+C65+C66,0)</f>
        <v>530</v>
      </c>
      <c r="D58" s="2407" t="s">
        <v>2370</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175.7</v>
      </c>
      <c r="D59" s="2410" t="s">
        <v>2340</v>
      </c>
      <c r="E59" s="2411" t="s">
        <v>2341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2342</v>
      </c>
      <c r="C60" s="313">
        <f ca="1">IF(项目基本情况!B11="自然人","——",ROUND(C48*F60/(1+'数据-取费表'!C42),2))</f>
        <v>0</v>
      </c>
      <c r="D60" s="2411" t="s">
        <v>2343</v>
      </c>
      <c r="E60" s="2393" t="s">
        <v>2344</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2345</v>
      </c>
      <c r="C61" s="313">
        <f ca="1">IF(项目基本情况!B11="自然人","——",IF(D61="按租金收入计税",ROUND(C48*F61,2),IF(D61="按房产原值计税",ROUND(C57*F61*0.7,2),INDIRECT("'数据-取费表'!Aj"&amp;$G$1))))</f>
        <v>174.91</v>
      </c>
      <c r="D61" s="1299" t="s">
        <v>2414</v>
      </c>
      <c r="E61" s="2393" t="s">
        <v>2344</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2346</v>
      </c>
      <c r="C62" s="314">
        <f ca="1">IF(项目基本情况!B11="自然人","——",ROUND(F62*F63/10000,2))</f>
        <v>0.79</v>
      </c>
      <c r="D62" s="2412" t="s">
        <v>2347</v>
      </c>
      <c r="E62" s="2393" t="s">
        <v>2348</v>
      </c>
      <c r="F62" s="710">
        <f t="shared" si="0"/>
        <v>1.5</v>
      </c>
      <c r="I62" s="2538" t="s">
        <v>2419</v>
      </c>
      <c r="J62" s="2539" t="s">
        <v>2420</v>
      </c>
      <c r="K62" s="2539" t="s">
        <v>2421</v>
      </c>
      <c r="L62" s="2539" t="s">
        <v>2417</v>
      </c>
      <c r="M62" s="3311" t="s">
        <v>3039</v>
      </c>
      <c r="O62" s="2578" t="s">
        <v>2456</v>
      </c>
      <c r="P62" s="2588" t="s">
        <v>2474</v>
      </c>
      <c r="Q62" s="2579">
        <f ca="1">Q56+Q57</f>
        <v>79822</v>
      </c>
      <c r="R62" s="2579" t="s">
        <v>2457</v>
      </c>
    </row>
    <row r="63" spans="1:18" s="1453" customFormat="1" ht="16.5" thickBot="1">
      <c r="A63" s="711"/>
      <c r="B63" s="2399"/>
      <c r="C63" s="318"/>
      <c r="D63" s="2413"/>
      <c r="E63" s="2393" t="s">
        <v>2349</v>
      </c>
      <c r="F63" s="684">
        <f t="shared" ca="1" si="0"/>
        <v>5245.16</v>
      </c>
      <c r="I63" s="2538" t="s">
        <v>2433</v>
      </c>
      <c r="J63" s="3314">
        <v>70</v>
      </c>
      <c r="K63" s="3314">
        <v>50</v>
      </c>
      <c r="L63" s="3314">
        <v>80</v>
      </c>
      <c r="M63" s="3312">
        <v>0.02</v>
      </c>
      <c r="O63" s="2582" t="s">
        <v>2488</v>
      </c>
      <c r="P63" s="1294"/>
      <c r="Q63" s="1294"/>
      <c r="R63" s="1294"/>
    </row>
    <row r="64" spans="1:18" s="1453" customFormat="1" ht="15.75" thickBot="1">
      <c r="A64" s="2429" t="s">
        <v>2381</v>
      </c>
      <c r="B64" s="2393" t="s">
        <v>2350</v>
      </c>
      <c r="C64" s="313">
        <f ca="1">ROUND(C57*F64,1)</f>
        <v>312.3</v>
      </c>
      <c r="D64" s="2411" t="s">
        <v>2351</v>
      </c>
      <c r="E64" s="2393" t="s">
        <v>2344</v>
      </c>
      <c r="F64" s="713">
        <f t="shared" ca="1" si="0"/>
        <v>1.4999999999999999E-2</v>
      </c>
      <c r="I64" s="2538" t="s">
        <v>2434</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41.6</v>
      </c>
      <c r="D65" s="2411" t="s">
        <v>2352</v>
      </c>
      <c r="E65" s="2393" t="s">
        <v>2344</v>
      </c>
      <c r="F65" s="715">
        <f t="shared" ca="1" si="0"/>
        <v>2E-3</v>
      </c>
      <c r="I65" s="2538" t="s">
        <v>2435</v>
      </c>
      <c r="J65" s="3314">
        <v>40</v>
      </c>
      <c r="K65" s="3314">
        <v>30</v>
      </c>
      <c r="L65" s="3314">
        <v>50</v>
      </c>
      <c r="M65" s="3312">
        <v>0.02</v>
      </c>
      <c r="O65" s="2578" t="s">
        <v>2450</v>
      </c>
      <c r="P65" s="2588" t="s">
        <v>2468</v>
      </c>
      <c r="Q65" s="2579">
        <f ca="1">C40+J29</f>
        <v>79822</v>
      </c>
      <c r="R65" s="2579" t="s">
        <v>2469</v>
      </c>
    </row>
    <row r="66" spans="1:18" s="1453" customFormat="1" ht="20.25" thickBot="1">
      <c r="A66" s="2429" t="s">
        <v>2376</v>
      </c>
      <c r="B66" s="2393" t="s">
        <v>363</v>
      </c>
      <c r="C66" s="313">
        <f ca="1">ROUND(C48*F66,1)</f>
        <v>0</v>
      </c>
      <c r="D66" s="2411" t="s">
        <v>2353</v>
      </c>
      <c r="E66" s="2393" t="s">
        <v>2344</v>
      </c>
      <c r="F66" s="693">
        <f t="shared" ca="1" si="0"/>
        <v>0.02</v>
      </c>
      <c r="O66" s="2578" t="s">
        <v>2451</v>
      </c>
      <c r="P66" s="2588" t="s">
        <v>2475</v>
      </c>
      <c r="Q66" s="2579">
        <f ca="1">L60</f>
        <v>0</v>
      </c>
      <c r="R66" s="2579" t="s">
        <v>2458</v>
      </c>
    </row>
    <row r="67" spans="1:18" s="1453" customFormat="1" ht="24.75" thickBot="1">
      <c r="A67" s="2400" t="s">
        <v>2354</v>
      </c>
      <c r="B67" s="2414" t="s">
        <v>2355</v>
      </c>
      <c r="C67" s="697">
        <f ca="1">C48-C58</f>
        <v>-530</v>
      </c>
      <c r="D67" s="2410" t="s">
        <v>2356</v>
      </c>
      <c r="E67" s="2415"/>
      <c r="F67" s="2416"/>
      <c r="O67" s="2580" t="s">
        <v>2452</v>
      </c>
      <c r="P67" s="2588" t="s">
        <v>2482</v>
      </c>
      <c r="Q67" s="2583">
        <f ca="1">L51</f>
        <v>22073</v>
      </c>
      <c r="R67" s="2584" t="s">
        <v>2492</v>
      </c>
    </row>
    <row r="68" spans="1:18" s="1453" customFormat="1" ht="20.25" thickBot="1">
      <c r="A68" s="2390" t="s">
        <v>2357</v>
      </c>
      <c r="B68" s="2391" t="s">
        <v>2358</v>
      </c>
      <c r="C68" s="682">
        <f ca="1">ROUND(C67*(1-((1+F70)/(1+F68))^F69)/(F68-F70),0)</f>
        <v>-8215</v>
      </c>
      <c r="D68" s="2412" t="s">
        <v>2359</v>
      </c>
      <c r="E68" s="2393" t="s">
        <v>2360</v>
      </c>
      <c r="F68" s="693">
        <f ca="1">F40</f>
        <v>0.06</v>
      </c>
      <c r="O68" s="2580" t="s">
        <v>2453</v>
      </c>
      <c r="P68" s="2589" t="s">
        <v>2486</v>
      </c>
      <c r="Q68" s="2579">
        <f ca="1">ROUND(Q69-Q70*Q71,0)</f>
        <v>1237</v>
      </c>
      <c r="R68" s="2579" t="s">
        <v>2491</v>
      </c>
    </row>
    <row r="69" spans="1:18" s="1453" customFormat="1" ht="15.75" thickBot="1">
      <c r="A69" s="2394"/>
      <c r="B69" s="2395"/>
      <c r="C69" s="687"/>
      <c r="D69" s="2417" t="s">
        <v>2361</v>
      </c>
      <c r="E69" s="2393" t="s">
        <v>2362</v>
      </c>
      <c r="F69" s="718">
        <f ca="1">F41</f>
        <v>45.65</v>
      </c>
      <c r="O69" s="2580" t="s">
        <v>2461</v>
      </c>
      <c r="P69" s="2589" t="s">
        <v>2476</v>
      </c>
      <c r="Q69" s="2579">
        <f ca="1">C39</f>
        <v>3007</v>
      </c>
      <c r="R69" s="2579" t="s">
        <v>2469</v>
      </c>
    </row>
    <row r="70" spans="1:18" s="1453" customFormat="1" ht="15.75" thickBot="1">
      <c r="A70" s="2397"/>
      <c r="B70" s="2398"/>
      <c r="C70" s="691"/>
      <c r="D70" s="2413"/>
      <c r="E70" s="2393" t="s">
        <v>2363</v>
      </c>
      <c r="F70" s="2523"/>
      <c r="O70" s="2580" t="s">
        <v>2462</v>
      </c>
      <c r="P70" s="2589" t="s">
        <v>2477</v>
      </c>
      <c r="Q70" s="2579">
        <f ca="1">C13</f>
        <v>20823</v>
      </c>
      <c r="R70" s="2579" t="s">
        <v>2469</v>
      </c>
    </row>
    <row r="71" spans="1:18" s="1453" customFormat="1" ht="15.75" thickBot="1">
      <c r="A71" s="2418" t="s">
        <v>2364</v>
      </c>
      <c r="B71" s="2419" t="s">
        <v>2365</v>
      </c>
      <c r="C71" s="721">
        <f ca="1">ROUND(C68*10000/F71,0)</f>
        <v>-2835</v>
      </c>
      <c r="D71" s="2420" t="s">
        <v>2366</v>
      </c>
      <c r="E71" s="2421" t="s">
        <v>2367</v>
      </c>
      <c r="F71" s="724">
        <f ca="1">F43</f>
        <v>28977.16</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1770</v>
      </c>
      <c r="D75" s="1453"/>
      <c r="E75" s="1453"/>
      <c r="F75" s="1453"/>
      <c r="K75" s="1454"/>
      <c r="L75" s="1453"/>
      <c r="O75" s="2578" t="s">
        <v>2456</v>
      </c>
      <c r="P75" s="2588" t="s">
        <v>2474</v>
      </c>
      <c r="Q75" s="2579">
        <f ca="1">Q65+Q66</f>
        <v>79822</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2698</v>
      </c>
      <c r="C78" s="734"/>
    </row>
    <row r="79" spans="1:18">
      <c r="B79" s="2864" t="s">
        <v>2702</v>
      </c>
      <c r="C79" s="649">
        <f ca="1">1-C80</f>
        <v>0.41100000000000003</v>
      </c>
    </row>
    <row r="80" spans="1:18">
      <c r="B80" s="2864" t="s">
        <v>2701</v>
      </c>
      <c r="C80" s="649">
        <f ca="1">ROUND(C75/C39,3)</f>
        <v>0.58899999999999997</v>
      </c>
    </row>
    <row r="81" spans="2:3">
      <c r="B81" s="645" t="s">
        <v>383</v>
      </c>
      <c r="C81" s="646"/>
    </row>
    <row r="82" spans="2:3">
      <c r="B82" s="2863" t="s">
        <v>2700</v>
      </c>
      <c r="C82" s="650">
        <f ca="1">1-C83</f>
        <v>0.73899999999999999</v>
      </c>
    </row>
    <row r="83" spans="2:3">
      <c r="B83" s="2863" t="s">
        <v>2699</v>
      </c>
      <c r="C83" s="649">
        <f ca="1">ROUND(C13/C40,3)</f>
        <v>0.26100000000000001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3045</v>
      </c>
      <c r="D1" s="1272"/>
      <c r="E1" s="2576" t="s">
        <v>535</v>
      </c>
      <c r="F1" s="2577">
        <f ca="1">J53</f>
        <v>35.64</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119522</v>
      </c>
      <c r="C2" s="1298" t="s">
        <v>1102</v>
      </c>
      <c r="D2" s="1274"/>
      <c r="E2" s="2566"/>
      <c r="F2" s="1275"/>
      <c r="G2" s="2278"/>
      <c r="H2" s="1273"/>
      <c r="I2" s="1273"/>
      <c r="J2" s="1273"/>
      <c r="K2" s="1297"/>
      <c r="L2" s="1273"/>
      <c r="M2" s="1273"/>
    </row>
    <row r="3" spans="1:37" ht="18" customHeight="1" thickBot="1">
      <c r="A3" s="674" t="s">
        <v>342</v>
      </c>
      <c r="B3" s="1406">
        <f ca="1">IF(ISERROR(B2*10000/F43),0,ROUND(B2*10000/F43,0))</f>
        <v>30787</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6768</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6759</v>
      </c>
      <c r="D6" s="2616" t="s">
        <v>2537</v>
      </c>
      <c r="E6" s="683" t="s">
        <v>915</v>
      </c>
      <c r="F6" s="684">
        <f ca="1">INDIRECT("'数据-取费表'!u"&amp;$G$1)</f>
        <v>5.3</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38821.839999999997</v>
      </c>
      <c r="G7" s="2279"/>
      <c r="H7" s="685"/>
      <c r="I7" s="3563"/>
      <c r="J7" s="687"/>
      <c r="K7" s="688"/>
      <c r="L7" s="683" t="s">
        <v>916</v>
      </c>
      <c r="M7" s="684">
        <f ca="1">F7</f>
        <v>38821.839999999997</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9</v>
      </c>
      <c r="D10" s="2625" t="s">
        <v>2538</v>
      </c>
      <c r="E10" s="2090" t="s">
        <v>2532</v>
      </c>
      <c r="F10" s="2819" t="s">
        <v>3222</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26136</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16592</v>
      </c>
      <c r="D14" s="3351" t="s">
        <v>922</v>
      </c>
      <c r="E14" s="3350"/>
      <c r="F14" s="702"/>
      <c r="G14" s="2279"/>
      <c r="H14" s="2429" t="s">
        <v>2374</v>
      </c>
      <c r="I14" s="683" t="s">
        <v>923</v>
      </c>
      <c r="J14" s="313">
        <f ca="1">C29</f>
        <v>26136</v>
      </c>
      <c r="K14" s="303"/>
      <c r="L14" s="699"/>
      <c r="M14" s="700"/>
    </row>
    <row r="15" spans="1:37" s="705" customFormat="1" ht="18" customHeight="1" thickBot="1">
      <c r="A15" s="2429" t="s">
        <v>2607</v>
      </c>
      <c r="B15" s="683" t="s">
        <v>356</v>
      </c>
      <c r="C15" s="313">
        <f ca="1">ROUND(C14*F15,0)</f>
        <v>498</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613</v>
      </c>
      <c r="K16" s="2667" t="s">
        <v>927</v>
      </c>
      <c r="L16" s="2668"/>
      <c r="M16" s="2619"/>
    </row>
    <row r="17" spans="1:37" s="705" customFormat="1" ht="18" customHeight="1">
      <c r="A17" s="2429" t="s">
        <v>2609</v>
      </c>
      <c r="B17" s="683" t="s">
        <v>358</v>
      </c>
      <c r="C17" s="313">
        <f ca="1">ROUND(F17*(F43+INDIRECT("'数据-取费表'!S"&amp;$G$1))/10000,0)</f>
        <v>861</v>
      </c>
      <c r="D17" s="683" t="s">
        <v>928</v>
      </c>
      <c r="E17" s="683" t="s">
        <v>929</v>
      </c>
      <c r="F17" s="315">
        <f>'数据-取费表'!B35</f>
        <v>200</v>
      </c>
      <c r="G17" s="2280"/>
      <c r="H17" s="2429" t="s">
        <v>2374</v>
      </c>
      <c r="I17" s="683" t="s">
        <v>359</v>
      </c>
      <c r="J17" s="313">
        <f ca="1">ROUND(IF(项目基本情况!B11="自然人",J5*M17,J18+J19+J20),1)</f>
        <v>220.6</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249</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18200</v>
      </c>
      <c r="D19" s="470" t="s">
        <v>934</v>
      </c>
      <c r="E19" s="3354"/>
      <c r="F19" s="315"/>
      <c r="G19" s="2279"/>
      <c r="H19" s="2429" t="s">
        <v>2607</v>
      </c>
      <c r="I19" s="683" t="s">
        <v>935</v>
      </c>
      <c r="J19" s="313">
        <f ca="1">IF(K19="按租金收入计税",ROUND(J5*M19,2),ROUND(C29*M19*0.7,2))</f>
        <v>219.54</v>
      </c>
      <c r="K19" s="1299" t="s">
        <v>2414</v>
      </c>
      <c r="L19" s="683" t="s">
        <v>361</v>
      </c>
      <c r="M19" s="706">
        <f>IF(K19="按租金收入计税",'数据-取费表'!B51,'数据-取费表'!B50)</f>
        <v>1.2E-2</v>
      </c>
    </row>
    <row r="20" spans="1:37" s="705" customFormat="1" ht="18" customHeight="1">
      <c r="A20" s="2429" t="s">
        <v>2611</v>
      </c>
      <c r="B20" s="683" t="s">
        <v>363</v>
      </c>
      <c r="C20" s="313">
        <f ca="1">ROUND(C19*F20,0)</f>
        <v>364</v>
      </c>
      <c r="D20" s="708" t="s">
        <v>936</v>
      </c>
      <c r="E20" s="683" t="s">
        <v>361</v>
      </c>
      <c r="F20" s="706">
        <f>'数据-取费表'!B37</f>
        <v>0.02</v>
      </c>
      <c r="G20" s="2280"/>
      <c r="H20" s="2429" t="s">
        <v>2608</v>
      </c>
      <c r="I20" s="495" t="s">
        <v>937</v>
      </c>
      <c r="J20" s="314">
        <f ca="1">ROUND(M20*M21/10000,2)</f>
        <v>1.05</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7027.15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392</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882</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-613</v>
      </c>
      <c r="K25" s="2675" t="s">
        <v>374</v>
      </c>
      <c r="L25" s="2676"/>
      <c r="M25" s="2677"/>
    </row>
    <row r="26" spans="1:37" ht="18" customHeight="1">
      <c r="A26" s="2429" t="s">
        <v>2371</v>
      </c>
      <c r="B26" s="683" t="s">
        <v>2528</v>
      </c>
      <c r="C26" s="313">
        <f ca="1">ROUND((C19+C20)*F26,0)</f>
        <v>4641</v>
      </c>
      <c r="D26" s="708" t="s">
        <v>955</v>
      </c>
      <c r="E26" s="694" t="s">
        <v>956</v>
      </c>
      <c r="F26" s="693">
        <f ca="1">INDIRECT("'数据-取费表'!q"&amp;$G$1)</f>
        <v>0.25</v>
      </c>
      <c r="G26" s="2279"/>
      <c r="H26" s="680" t="s">
        <v>2357</v>
      </c>
      <c r="I26" s="681" t="s">
        <v>957</v>
      </c>
      <c r="J26" s="682">
        <f ca="1">IF(J5&lt;&gt;0,ROUND(J25*(1-((1+M28)/(1+M26))^M27)/(M26-M28),0),0)</f>
        <v>0</v>
      </c>
      <c r="K26" s="709" t="s">
        <v>369</v>
      </c>
      <c r="L26" s="683" t="s">
        <v>370</v>
      </c>
      <c r="M26" s="693">
        <f ca="1">INDIRECT("'数据-取费表'!I"&amp;$G$1)</f>
        <v>6.5000000000000002E-2</v>
      </c>
    </row>
    <row r="27" spans="1:37" ht="18" customHeight="1">
      <c r="A27" s="2429" t="s">
        <v>2377</v>
      </c>
      <c r="B27" s="683" t="s">
        <v>371</v>
      </c>
      <c r="C27" s="313">
        <f ca="1">ROUND(F21*F26,4)</f>
        <v>5.0000000000000001E-3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26136</v>
      </c>
      <c r="D29" s="2672"/>
      <c r="E29" s="2670"/>
      <c r="F29" s="2673"/>
      <c r="G29" s="2280"/>
      <c r="H29" s="719" t="s">
        <v>2364</v>
      </c>
      <c r="I29" s="720" t="s">
        <v>961</v>
      </c>
      <c r="J29" s="721">
        <f ca="1">ROUND(J26/(1+F40)^F41,0)</f>
        <v>0</v>
      </c>
      <c r="K29" s="722" t="s">
        <v>962</v>
      </c>
      <c r="L29" s="723"/>
      <c r="M29" s="724">
        <f ca="1">INDIRECT("'数据-取费表'!k"&amp;$G$1)</f>
        <v>38821.839999999997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1155</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575.1</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354.51</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219.54</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1.05</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7027.15</v>
      </c>
      <c r="G35" s="2279"/>
      <c r="H35" s="1276"/>
      <c r="I35" s="2872"/>
      <c r="J35" s="2873"/>
      <c r="K35" s="1289"/>
      <c r="L35" s="1288"/>
      <c r="M35" s="1288"/>
    </row>
    <row r="36" spans="1:18" ht="18" customHeight="1">
      <c r="A36" s="2686" t="s">
        <v>2381</v>
      </c>
      <c r="B36" s="683" t="s">
        <v>945</v>
      </c>
      <c r="C36" s="313">
        <f ca="1">ROUND(C29*F36,1)</f>
        <v>392</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52.3</v>
      </c>
      <c r="D37" s="3352" t="s">
        <v>365</v>
      </c>
      <c r="E37" s="683" t="s">
        <v>361</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135.4</v>
      </c>
      <c r="D38" s="2672" t="s">
        <v>367</v>
      </c>
      <c r="E38" s="2670" t="s">
        <v>361</v>
      </c>
      <c r="F38" s="2666">
        <f ca="1">INDIRECT("'数据-取费表'!Am"&amp;$G$1)</f>
        <v>0.02</v>
      </c>
      <c r="G38" s="2279"/>
      <c r="H38" s="1288"/>
      <c r="I38" s="2872"/>
      <c r="J38" s="2873"/>
      <c r="K38" s="1293"/>
      <c r="L38" s="1288"/>
      <c r="M38" s="1288"/>
    </row>
    <row r="39" spans="1:18" ht="24.6" customHeight="1" thickTop="1">
      <c r="A39" s="2657" t="s">
        <v>2354</v>
      </c>
      <c r="B39" s="2674" t="s">
        <v>373</v>
      </c>
      <c r="C39" s="691">
        <f ca="1">C5-C30</f>
        <v>5613</v>
      </c>
      <c r="D39" s="2675" t="s">
        <v>374</v>
      </c>
      <c r="E39" s="2676"/>
      <c r="F39" s="2677"/>
      <c r="G39" s="2279"/>
      <c r="H39" s="1288"/>
      <c r="I39" s="2872"/>
      <c r="J39" s="2873"/>
      <c r="K39" s="1293"/>
      <c r="L39" s="1288"/>
      <c r="M39" s="1288"/>
    </row>
    <row r="40" spans="1:18" ht="18" customHeight="1">
      <c r="A40" s="680" t="s">
        <v>2357</v>
      </c>
      <c r="B40" s="681" t="s">
        <v>375</v>
      </c>
      <c r="C40" s="682">
        <f ca="1">ROUND(C39*(1-((1+F42)/(1+F40))^F41)/(F40-F42),0)</f>
        <v>119522</v>
      </c>
      <c r="D40" s="709" t="s">
        <v>369</v>
      </c>
      <c r="E40" s="683" t="s">
        <v>370</v>
      </c>
      <c r="F40" s="693">
        <f ca="1">INDIRECT("'数据-取费表'!I"&amp;$G$1)</f>
        <v>6.5000000000000002E-2</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35.64</v>
      </c>
      <c r="G41" s="2279"/>
      <c r="H41" s="1190"/>
      <c r="I41" s="2872"/>
      <c r="J41" s="2873"/>
      <c r="K41" s="1292"/>
      <c r="L41" s="1190"/>
      <c r="M41" s="1190"/>
    </row>
    <row r="42" spans="1:18" ht="18" customHeight="1">
      <c r="A42" s="689"/>
      <c r="B42" s="690"/>
      <c r="C42" s="691"/>
      <c r="D42" s="712"/>
      <c r="E42" s="683" t="s">
        <v>378</v>
      </c>
      <c r="F42" s="693">
        <f ca="1">INDIRECT("'数据-取费表'!v"&amp;$G$1)</f>
        <v>3.5000000000000003E-2</v>
      </c>
      <c r="G42" s="2279"/>
      <c r="H42" s="1190"/>
      <c r="I42" s="2872"/>
      <c r="J42" s="2873"/>
      <c r="K42" s="1292"/>
      <c r="L42" s="1190"/>
      <c r="M42" s="1190"/>
    </row>
    <row r="43" spans="1:18" ht="18" customHeight="1" thickBot="1">
      <c r="A43" s="719" t="s">
        <v>2364</v>
      </c>
      <c r="B43" s="720" t="s">
        <v>379</v>
      </c>
      <c r="C43" s="721">
        <f ca="1">ROUND(C40*10000/F43,0)</f>
        <v>30787</v>
      </c>
      <c r="D43" s="722" t="s">
        <v>380</v>
      </c>
      <c r="E43" s="723" t="s">
        <v>381</v>
      </c>
      <c r="F43" s="724">
        <f ca="1">INDIRECT("'数据-取费表'!k"&amp;$G$1)</f>
        <v>38821.839999999997</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-128668</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40</v>
      </c>
      <c r="M47" s="2575" t="str">
        <f>IF(ISNUMBER(FIND("住宅",C1)),"住宅","非住宅")</f>
        <v>非住宅</v>
      </c>
      <c r="O47" s="2578" t="s">
        <v>2450</v>
      </c>
      <c r="P47" s="2588" t="s">
        <v>2468</v>
      </c>
      <c r="Q47" s="2579">
        <f ca="1">C40+J29</f>
        <v>119522</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35.64</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26136</v>
      </c>
      <c r="R49" s="2579" t="s">
        <v>2469</v>
      </c>
    </row>
    <row r="50" spans="1:18" s="1453" customFormat="1" ht="15.75" thickBot="1">
      <c r="A50" s="2423"/>
      <c r="B50" s="2426"/>
      <c r="C50" s="2722"/>
      <c r="D50" s="2396"/>
      <c r="E50" s="2525" t="s">
        <v>916</v>
      </c>
      <c r="F50" s="2526">
        <f ca="1">F7</f>
        <v>38821.839999999997</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365</v>
      </c>
      <c r="I51" s="2549" t="s">
        <v>2423</v>
      </c>
      <c r="J51" s="2550">
        <f>IF(J49="",J50,J49+J50-YEAR('数据-取费表'!B2))</f>
        <v>60</v>
      </c>
      <c r="K51" s="2559" t="s">
        <v>2443</v>
      </c>
      <c r="L51" s="2572">
        <f ca="1">ROUND(-PV(INDIRECT("'数据-取费表'!h"&amp;$G$1),L48,(C39-C13*C76),0),0)</f>
        <v>52515</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35.64</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35.64</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119522</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26136</v>
      </c>
      <c r="D56" s="2689"/>
      <c r="E56" s="2402"/>
      <c r="F56" s="2531"/>
      <c r="I56" s="2534" t="s">
        <v>2426</v>
      </c>
      <c r="J56" s="2563" t="s">
        <v>3056</v>
      </c>
      <c r="K56" s="2535" t="s">
        <v>2430</v>
      </c>
      <c r="L56" s="2161" t="str">
        <f ca="1">IF(L48&lt;J51,"——",L48-J51)</f>
        <v>——</v>
      </c>
      <c r="O56" s="2578" t="s">
        <v>2450</v>
      </c>
      <c r="P56" s="2588" t="s">
        <v>2468</v>
      </c>
      <c r="Q56" s="2579">
        <f ca="1">C40+J29</f>
        <v>119522</v>
      </c>
      <c r="R56" s="2579" t="s">
        <v>2469</v>
      </c>
    </row>
    <row r="57" spans="1:18" s="1453" customFormat="1" ht="29.25" thickBot="1">
      <c r="A57" s="2532"/>
      <c r="B57" s="2393" t="s">
        <v>968</v>
      </c>
      <c r="C57" s="613">
        <f ca="1">C29</f>
        <v>26136</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665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220.6</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219.54</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1.05</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119522</v>
      </c>
      <c r="R62" s="2579" t="s">
        <v>2457</v>
      </c>
    </row>
    <row r="63" spans="1:18" s="1453" customFormat="1" ht="16.5" thickBot="1">
      <c r="A63" s="711"/>
      <c r="B63" s="2399"/>
      <c r="C63" s="318"/>
      <c r="D63" s="2413"/>
      <c r="E63" s="2393" t="s">
        <v>943</v>
      </c>
      <c r="F63" s="684">
        <f t="shared" ca="1" si="0"/>
        <v>7027.15</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392</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52.3</v>
      </c>
      <c r="D65" s="2411" t="s">
        <v>365</v>
      </c>
      <c r="E65" s="2393" t="s">
        <v>361</v>
      </c>
      <c r="F65" s="715">
        <f t="shared" ca="1" si="0"/>
        <v>2E-3</v>
      </c>
      <c r="I65" s="2538" t="s">
        <v>2435</v>
      </c>
      <c r="J65" s="3314">
        <v>40</v>
      </c>
      <c r="K65" s="3314">
        <v>30</v>
      </c>
      <c r="L65" s="3314">
        <v>50</v>
      </c>
      <c r="M65" s="3312">
        <v>0.02</v>
      </c>
      <c r="O65" s="2578" t="s">
        <v>2450</v>
      </c>
      <c r="P65" s="2588" t="s">
        <v>2468</v>
      </c>
      <c r="Q65" s="2579">
        <f ca="1">C40+J29</f>
        <v>119522</v>
      </c>
      <c r="R65" s="2579" t="s">
        <v>2469</v>
      </c>
    </row>
    <row r="66" spans="1:18" s="1453" customFormat="1" ht="20.25" thickBot="1">
      <c r="A66" s="2429" t="s">
        <v>2376</v>
      </c>
      <c r="B66" s="2393" t="s">
        <v>363</v>
      </c>
      <c r="C66" s="313">
        <f ca="1">ROUND(C48*F66,1)</f>
        <v>0</v>
      </c>
      <c r="D66" s="2411" t="s">
        <v>367</v>
      </c>
      <c r="E66" s="2393" t="s">
        <v>361</v>
      </c>
      <c r="F66" s="693">
        <f t="shared" ca="1" si="0"/>
        <v>0.02</v>
      </c>
      <c r="O66" s="2578" t="s">
        <v>2451</v>
      </c>
      <c r="P66" s="2588" t="s">
        <v>2475</v>
      </c>
      <c r="Q66" s="2579">
        <f ca="1">L60</f>
        <v>0</v>
      </c>
      <c r="R66" s="2579" t="s">
        <v>2458</v>
      </c>
    </row>
    <row r="67" spans="1:18" s="1453" customFormat="1" ht="24.75" thickBot="1">
      <c r="A67" s="2400" t="s">
        <v>2354</v>
      </c>
      <c r="B67" s="2414" t="s">
        <v>373</v>
      </c>
      <c r="C67" s="697">
        <f ca="1">C48-C58</f>
        <v>-665</v>
      </c>
      <c r="D67" s="2410" t="s">
        <v>374</v>
      </c>
      <c r="E67" s="2415"/>
      <c r="F67" s="2416"/>
      <c r="O67" s="2580" t="s">
        <v>2452</v>
      </c>
      <c r="P67" s="2588" t="s">
        <v>2482</v>
      </c>
      <c r="Q67" s="2583">
        <f ca="1">L51</f>
        <v>52515</v>
      </c>
      <c r="R67" s="2584" t="s">
        <v>2492</v>
      </c>
    </row>
    <row r="68" spans="1:18" s="1453" customFormat="1" ht="20.25" thickBot="1">
      <c r="A68" s="2390" t="s">
        <v>2357</v>
      </c>
      <c r="B68" s="2391" t="s">
        <v>375</v>
      </c>
      <c r="C68" s="682">
        <f ca="1">ROUND(C67*(1-((1+F70)/(1+F68))^F69)/(F68-F70),0)</f>
        <v>-9146</v>
      </c>
      <c r="D68" s="2412" t="s">
        <v>369</v>
      </c>
      <c r="E68" s="2393" t="s">
        <v>370</v>
      </c>
      <c r="F68" s="693">
        <f ca="1">F40</f>
        <v>6.5000000000000002E-2</v>
      </c>
      <c r="O68" s="2580" t="s">
        <v>2453</v>
      </c>
      <c r="P68" s="2589" t="s">
        <v>2486</v>
      </c>
      <c r="Q68" s="2579">
        <f ca="1">ROUND(Q69-Q70*Q71,0)</f>
        <v>3391</v>
      </c>
      <c r="R68" s="2579" t="s">
        <v>2491</v>
      </c>
    </row>
    <row r="69" spans="1:18" s="1453" customFormat="1" ht="15.75" thickBot="1">
      <c r="A69" s="2394"/>
      <c r="B69" s="2395"/>
      <c r="C69" s="687"/>
      <c r="D69" s="2417" t="s">
        <v>960</v>
      </c>
      <c r="E69" s="2393" t="s">
        <v>377</v>
      </c>
      <c r="F69" s="718">
        <f ca="1">F41</f>
        <v>35.64</v>
      </c>
      <c r="O69" s="2580" t="s">
        <v>2461</v>
      </c>
      <c r="P69" s="2589" t="s">
        <v>2476</v>
      </c>
      <c r="Q69" s="2579">
        <f ca="1">C39</f>
        <v>5613</v>
      </c>
      <c r="R69" s="2579" t="s">
        <v>2469</v>
      </c>
    </row>
    <row r="70" spans="1:18" s="1453" customFormat="1" ht="15.75" thickBot="1">
      <c r="A70" s="2397"/>
      <c r="B70" s="2398"/>
      <c r="C70" s="691"/>
      <c r="D70" s="2413"/>
      <c r="E70" s="2393" t="s">
        <v>378</v>
      </c>
      <c r="F70" s="2523"/>
      <c r="O70" s="2580" t="s">
        <v>2462</v>
      </c>
      <c r="P70" s="2589" t="s">
        <v>2477</v>
      </c>
      <c r="Q70" s="2579">
        <f ca="1">C13</f>
        <v>26136</v>
      </c>
      <c r="R70" s="2579" t="s">
        <v>2469</v>
      </c>
    </row>
    <row r="71" spans="1:18" s="1453" customFormat="1" ht="15.75" thickBot="1">
      <c r="A71" s="2418" t="s">
        <v>2364</v>
      </c>
      <c r="B71" s="2419" t="s">
        <v>379</v>
      </c>
      <c r="C71" s="721">
        <f ca="1">ROUND(C68*10000/F71,0)</f>
        <v>-2356</v>
      </c>
      <c r="D71" s="2420" t="s">
        <v>380</v>
      </c>
      <c r="E71" s="2421" t="s">
        <v>381</v>
      </c>
      <c r="F71" s="724">
        <f ca="1">F43</f>
        <v>38821.839999999997</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2222</v>
      </c>
      <c r="D75" s="1453"/>
      <c r="E75" s="1453"/>
      <c r="F75" s="1453"/>
      <c r="K75" s="1454"/>
      <c r="L75" s="1453"/>
      <c r="O75" s="2578" t="s">
        <v>2456</v>
      </c>
      <c r="P75" s="2588" t="s">
        <v>2474</v>
      </c>
      <c r="Q75" s="2579">
        <f ca="1">Q65+Q66</f>
        <v>119522</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0.60399999999999998</v>
      </c>
    </row>
    <row r="80" spans="1:18">
      <c r="B80" s="2864" t="s">
        <v>2701</v>
      </c>
      <c r="C80" s="649">
        <f ca="1">ROUND(C75/C39,3)</f>
        <v>0.39600000000000002</v>
      </c>
    </row>
    <row r="81" spans="2:3">
      <c r="B81" s="645" t="s">
        <v>383</v>
      </c>
      <c r="C81" s="646"/>
    </row>
    <row r="82" spans="2:3">
      <c r="B82" s="2863" t="s">
        <v>2700</v>
      </c>
      <c r="C82" s="650">
        <f ca="1">1-C83</f>
        <v>0.78100000000000003</v>
      </c>
    </row>
    <row r="83" spans="2:3">
      <c r="B83" s="2863" t="s">
        <v>2699</v>
      </c>
      <c r="C83" s="649">
        <f ca="1">ROUND(C13/C40,3)</f>
        <v>0.219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39" sqref="D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193</v>
      </c>
      <c r="D1" s="1272"/>
      <c r="E1" s="2576" t="s">
        <v>535</v>
      </c>
      <c r="F1" s="2577">
        <f ca="1">J53</f>
        <v>45.65</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6351</v>
      </c>
      <c r="C2" s="1298" t="s">
        <v>1102</v>
      </c>
      <c r="D2" s="1274"/>
      <c r="E2" s="2566"/>
      <c r="F2" s="1275"/>
      <c r="G2" s="2278"/>
      <c r="H2" s="1273"/>
      <c r="I2" s="1273"/>
      <c r="J2" s="1273"/>
      <c r="K2" s="1297"/>
      <c r="L2" s="1273"/>
      <c r="M2" s="1273"/>
    </row>
    <row r="3" spans="1:37" ht="18" customHeight="1" thickBot="1">
      <c r="A3" s="674" t="s">
        <v>342</v>
      </c>
      <c r="B3" s="1406">
        <f ca="1">IF(ISERROR(B2*10000/F43),0,ROUND(B2*10000/F43,0))</f>
        <v>3409</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485</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485</v>
      </c>
      <c r="D6" s="2616" t="s">
        <v>2537</v>
      </c>
      <c r="E6" s="683" t="s">
        <v>915</v>
      </c>
      <c r="F6" s="684">
        <f ca="1">INDIRECT("'数据-取费表'!u"&amp;$G$1)</f>
        <v>800</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532</v>
      </c>
      <c r="G7" s="2279"/>
      <c r="H7" s="685"/>
      <c r="I7" s="3563"/>
      <c r="J7" s="687"/>
      <c r="K7" s="688"/>
      <c r="L7" s="683" t="s">
        <v>916</v>
      </c>
      <c r="M7" s="684">
        <f ca="1">F7</f>
        <v>532</v>
      </c>
    </row>
    <row r="8" spans="1:37" ht="18" customHeight="1">
      <c r="A8" s="685"/>
      <c r="B8" s="3563"/>
      <c r="C8" s="687"/>
      <c r="D8" s="688"/>
      <c r="E8" s="683" t="s">
        <v>917</v>
      </c>
      <c r="F8" s="684">
        <f ca="1">INDIRECT("'数据-取费表'!ai"&amp;$G$1)</f>
        <v>12</v>
      </c>
      <c r="G8" s="2279"/>
      <c r="H8" s="685"/>
      <c r="I8" s="3563"/>
      <c r="J8" s="687"/>
      <c r="K8" s="688"/>
      <c r="L8" s="683" t="s">
        <v>917</v>
      </c>
      <c r="M8" s="684">
        <f ca="1">INDIRECT("'数据-取费表'!ai"&amp;$G$1)</f>
        <v>12</v>
      </c>
    </row>
    <row r="9" spans="1:37" ht="18" customHeight="1">
      <c r="A9" s="685"/>
      <c r="B9" s="3564"/>
      <c r="C9" s="687"/>
      <c r="D9" s="688"/>
      <c r="E9" s="683" t="s">
        <v>918</v>
      </c>
      <c r="F9" s="693">
        <f ca="1">INDIRECT("'数据-取费表'!w"&amp;$G$1)</f>
        <v>0.05</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0</v>
      </c>
      <c r="D10" s="2625" t="s">
        <v>2538</v>
      </c>
      <c r="E10" s="2090" t="s">
        <v>2532</v>
      </c>
      <c r="F10" s="2819" t="s">
        <v>2694</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8590</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6099</v>
      </c>
      <c r="D14" s="3351" t="s">
        <v>922</v>
      </c>
      <c r="E14" s="3350"/>
      <c r="F14" s="702"/>
      <c r="G14" s="2279"/>
      <c r="H14" s="2429" t="s">
        <v>2374</v>
      </c>
      <c r="I14" s="683" t="s">
        <v>923</v>
      </c>
      <c r="J14" s="313">
        <f ca="1">C29</f>
        <v>8590</v>
      </c>
      <c r="K14" s="303"/>
      <c r="L14" s="699"/>
      <c r="M14" s="700"/>
    </row>
    <row r="15" spans="1:37" s="705" customFormat="1" ht="18" customHeight="1" thickBot="1">
      <c r="A15" s="2429" t="s">
        <v>2607</v>
      </c>
      <c r="B15" s="683" t="s">
        <v>356</v>
      </c>
      <c r="C15" s="313">
        <f ca="1">ROUND(C14*F15,0)</f>
        <v>183</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202</v>
      </c>
      <c r="K16" s="2667" t="s">
        <v>927</v>
      </c>
      <c r="L16" s="2668"/>
      <c r="M16" s="2619"/>
    </row>
    <row r="17" spans="1:37" s="705" customFormat="1" ht="18" customHeight="1">
      <c r="A17" s="2429" t="s">
        <v>2609</v>
      </c>
      <c r="B17" s="683" t="s">
        <v>358</v>
      </c>
      <c r="C17" s="313">
        <f ca="1">ROUND(F17*(F43+INDIRECT("'数据-取费表'!S"&amp;$G$1))/10000,0)</f>
        <v>413</v>
      </c>
      <c r="D17" s="683" t="s">
        <v>928</v>
      </c>
      <c r="E17" s="683" t="s">
        <v>929</v>
      </c>
      <c r="F17" s="315">
        <f>'数据-取费表'!B35</f>
        <v>200</v>
      </c>
      <c r="G17" s="2280"/>
      <c r="H17" s="2429" t="s">
        <v>2374</v>
      </c>
      <c r="I17" s="683" t="s">
        <v>359</v>
      </c>
      <c r="J17" s="313">
        <f ca="1">ROUND(IF(项目基本情况!B11="自然人",J5*M17,J18+J19+J20),1)</f>
        <v>72.7</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91</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6786</v>
      </c>
      <c r="D19" s="470" t="s">
        <v>934</v>
      </c>
      <c r="E19" s="3354"/>
      <c r="F19" s="315"/>
      <c r="G19" s="2279"/>
      <c r="H19" s="2429" t="s">
        <v>2607</v>
      </c>
      <c r="I19" s="683" t="s">
        <v>935</v>
      </c>
      <c r="J19" s="313">
        <f ca="1">IF(K19="按租金收入计税",ROUND(J5*M19,2),ROUND(C29*M19*0.7,2))</f>
        <v>72.16</v>
      </c>
      <c r="K19" s="1299" t="s">
        <v>2414</v>
      </c>
      <c r="L19" s="683" t="s">
        <v>361</v>
      </c>
      <c r="M19" s="706">
        <f>IF(K19="按租金收入计税",'数据-取费表'!B51,'数据-取费表'!B50)</f>
        <v>1.2E-2</v>
      </c>
    </row>
    <row r="20" spans="1:37" s="705" customFormat="1" ht="18" customHeight="1">
      <c r="A20" s="2429" t="s">
        <v>2611</v>
      </c>
      <c r="B20" s="683" t="s">
        <v>363</v>
      </c>
      <c r="C20" s="313">
        <f ca="1">ROUND(C19*F20,0)</f>
        <v>136</v>
      </c>
      <c r="D20" s="708" t="s">
        <v>936</v>
      </c>
      <c r="E20" s="683" t="s">
        <v>361</v>
      </c>
      <c r="F20" s="706">
        <f>'数据-取费表'!B37</f>
        <v>0.02</v>
      </c>
      <c r="G20" s="2280"/>
      <c r="H20" s="2429" t="s">
        <v>2608</v>
      </c>
      <c r="I20" s="495" t="s">
        <v>937</v>
      </c>
      <c r="J20" s="314">
        <f ca="1">ROUND(M20*M21/10000,2)</f>
        <v>0.51</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3372.5099999999998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128.9</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328</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-202</v>
      </c>
      <c r="K25" s="2675" t="s">
        <v>374</v>
      </c>
      <c r="L25" s="2676"/>
      <c r="M25" s="2677"/>
    </row>
    <row r="26" spans="1:37" ht="18" customHeight="1">
      <c r="A26" s="2429" t="s">
        <v>2371</v>
      </c>
      <c r="B26" s="683" t="s">
        <v>2528</v>
      </c>
      <c r="C26" s="313">
        <f ca="1">ROUND((C19+C20)*F26,0)</f>
        <v>692</v>
      </c>
      <c r="D26" s="708" t="s">
        <v>955</v>
      </c>
      <c r="E26" s="694" t="s">
        <v>956</v>
      </c>
      <c r="F26" s="693">
        <f ca="1">INDIRECT("'数据-取费表'!q"&amp;$G$1)</f>
        <v>0.1</v>
      </c>
      <c r="G26" s="2279"/>
      <c r="H26" s="680" t="s">
        <v>2357</v>
      </c>
      <c r="I26" s="681" t="s">
        <v>957</v>
      </c>
      <c r="J26" s="682">
        <f ca="1">IF(J5&lt;&gt;0,ROUND(J25*(1-((1+M28)/(1+M26))^M27)/(M26-M28),0),0)</f>
        <v>0</v>
      </c>
      <c r="K26" s="709" t="s">
        <v>369</v>
      </c>
      <c r="L26" s="683" t="s">
        <v>370</v>
      </c>
      <c r="M26" s="693">
        <f ca="1">INDIRECT("'数据-取费表'!I"&amp;$G$1)</f>
        <v>0.05</v>
      </c>
    </row>
    <row r="27" spans="1:37" ht="18" customHeight="1">
      <c r="A27" s="2429" t="s">
        <v>2377</v>
      </c>
      <c r="B27" s="683" t="s">
        <v>371</v>
      </c>
      <c r="C27" s="313">
        <f ca="1">ROUND(F21*F26,4)</f>
        <v>2E-3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8590</v>
      </c>
      <c r="D29" s="2672"/>
      <c r="E29" s="2670"/>
      <c r="F29" s="2673"/>
      <c r="G29" s="2280"/>
      <c r="H29" s="719" t="s">
        <v>2364</v>
      </c>
      <c r="I29" s="720" t="s">
        <v>961</v>
      </c>
      <c r="J29" s="721">
        <f ca="1">ROUND(J26/(1+F40)^F41,0)</f>
        <v>0</v>
      </c>
      <c r="K29" s="722" t="s">
        <v>962</v>
      </c>
      <c r="L29" s="723"/>
      <c r="M29" s="724">
        <f ca="1">INDIRECT("'数据-取费表'!k"&amp;$G$1)</f>
        <v>18631.559999999998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247</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98.1</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25.4</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72.16</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0.51</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3372.5099999999998</v>
      </c>
      <c r="G35" s="2279"/>
      <c r="H35" s="1276"/>
      <c r="I35" s="2872"/>
      <c r="J35" s="2873"/>
      <c r="K35" s="1289"/>
      <c r="L35" s="1288"/>
      <c r="M35" s="1288"/>
    </row>
    <row r="36" spans="1:18" ht="18" customHeight="1">
      <c r="A36" s="2686" t="s">
        <v>2381</v>
      </c>
      <c r="B36" s="683" t="s">
        <v>945</v>
      </c>
      <c r="C36" s="313">
        <f ca="1">ROUND(C29*F36,1)</f>
        <v>128.9</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12.9</v>
      </c>
      <c r="D37" s="3352" t="s">
        <v>365</v>
      </c>
      <c r="E37" s="683" t="s">
        <v>361</v>
      </c>
      <c r="F37" s="715">
        <f ca="1">INDIRECT("'数据-取费表'!Al"&amp;$G$1)</f>
        <v>1.5E-3</v>
      </c>
      <c r="G37" s="2279"/>
      <c r="H37" s="1288"/>
      <c r="I37" s="2872"/>
      <c r="J37" s="2873"/>
      <c r="K37" s="1292"/>
      <c r="L37" s="1288"/>
      <c r="M37" s="1288"/>
    </row>
    <row r="38" spans="1:18" ht="18" customHeight="1" thickBot="1">
      <c r="A38" s="2669" t="s">
        <v>2613</v>
      </c>
      <c r="B38" s="2670" t="s">
        <v>363</v>
      </c>
      <c r="C38" s="2671">
        <f ca="1">ROUND(C5*F38,1)</f>
        <v>7.3</v>
      </c>
      <c r="D38" s="2672" t="s">
        <v>367</v>
      </c>
      <c r="E38" s="2670" t="s">
        <v>361</v>
      </c>
      <c r="F38" s="2666">
        <f ca="1">INDIRECT("'数据-取费表'!Am"&amp;$G$1)</f>
        <v>1.4999999999999999E-2</v>
      </c>
      <c r="G38" s="2279"/>
      <c r="H38" s="1288"/>
      <c r="I38" s="2872"/>
      <c r="J38" s="2873"/>
      <c r="K38" s="1293"/>
      <c r="L38" s="1288"/>
      <c r="M38" s="1288"/>
    </row>
    <row r="39" spans="1:18" ht="24.6" customHeight="1" thickTop="1">
      <c r="A39" s="2657" t="s">
        <v>2354</v>
      </c>
      <c r="B39" s="2674" t="s">
        <v>373</v>
      </c>
      <c r="C39" s="691">
        <f ca="1">C5-C30</f>
        <v>238</v>
      </c>
      <c r="D39" s="2675" t="s">
        <v>374</v>
      </c>
      <c r="E39" s="2676"/>
      <c r="F39" s="2677"/>
      <c r="G39" s="2279"/>
      <c r="H39" s="1288"/>
      <c r="I39" s="2872"/>
      <c r="J39" s="2873"/>
      <c r="K39" s="1293"/>
      <c r="L39" s="1288"/>
      <c r="M39" s="1288"/>
    </row>
    <row r="40" spans="1:18" ht="18" customHeight="1">
      <c r="A40" s="680" t="s">
        <v>2357</v>
      </c>
      <c r="B40" s="681" t="s">
        <v>375</v>
      </c>
      <c r="C40" s="682">
        <f ca="1">ROUND(C39*(1-((1+F42)/(1+F40))^F41)/(F40-F42),0)</f>
        <v>6351</v>
      </c>
      <c r="D40" s="709" t="s">
        <v>369</v>
      </c>
      <c r="E40" s="683" t="s">
        <v>370</v>
      </c>
      <c r="F40" s="693">
        <f ca="1">INDIRECT("'数据-取费表'!I"&amp;$G$1)</f>
        <v>0.05</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2.5000000000000001E-2</v>
      </c>
      <c r="G42" s="2279"/>
      <c r="H42" s="1190"/>
      <c r="I42" s="2872"/>
      <c r="J42" s="2873"/>
      <c r="K42" s="1292"/>
      <c r="L42" s="1190"/>
      <c r="M42" s="1190"/>
    </row>
    <row r="43" spans="1:18" ht="18" customHeight="1" thickBot="1">
      <c r="A43" s="719" t="s">
        <v>2364</v>
      </c>
      <c r="B43" s="720" t="s">
        <v>379</v>
      </c>
      <c r="C43" s="721">
        <f ca="1">ROUND(C40*10000/F43,0)</f>
        <v>3409</v>
      </c>
      <c r="D43" s="722" t="s">
        <v>380</v>
      </c>
      <c r="E43" s="723" t="s">
        <v>381</v>
      </c>
      <c r="F43" s="724">
        <f ca="1">INDIRECT("'数据-取费表'!k"&amp;$G$1)</f>
        <v>18631.559999999998</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-10187</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6351</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8590</v>
      </c>
      <c r="R49" s="2579" t="s">
        <v>2469</v>
      </c>
    </row>
    <row r="50" spans="1:18" s="1453" customFormat="1" ht="15.75" thickBot="1">
      <c r="A50" s="2423"/>
      <c r="B50" s="2426"/>
      <c r="C50" s="2722"/>
      <c r="D50" s="2396"/>
      <c r="E50" s="2525" t="s">
        <v>916</v>
      </c>
      <c r="F50" s="2526">
        <f ca="1">F7</f>
        <v>532</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12</v>
      </c>
      <c r="I51" s="2549" t="s">
        <v>2423</v>
      </c>
      <c r="J51" s="2550">
        <f>IF(J49="",J50,J49+J50-YEAR('数据-取费表'!B2))</f>
        <v>60</v>
      </c>
      <c r="K51" s="2559" t="s">
        <v>2443</v>
      </c>
      <c r="L51" s="2572">
        <f ca="1">ROUND(-PV(INDIRECT("'数据-取费表'!h"&amp;$G$1),L48,(C39-C13*C76),0),0)</f>
        <v>-9470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6351</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8590</v>
      </c>
      <c r="D56" s="2689"/>
      <c r="E56" s="2402"/>
      <c r="F56" s="2531"/>
      <c r="I56" s="2534" t="s">
        <v>2426</v>
      </c>
      <c r="J56" s="2563" t="s">
        <v>3056</v>
      </c>
      <c r="K56" s="2535" t="s">
        <v>2430</v>
      </c>
      <c r="L56" s="2161" t="str">
        <f ca="1">IF(L48&lt;J51,"——",L48-J51)</f>
        <v>——</v>
      </c>
      <c r="O56" s="2578" t="s">
        <v>2450</v>
      </c>
      <c r="P56" s="2588" t="s">
        <v>2468</v>
      </c>
      <c r="Q56" s="2579">
        <f ca="1">C40+J29</f>
        <v>6351</v>
      </c>
      <c r="R56" s="2579" t="s">
        <v>2469</v>
      </c>
    </row>
    <row r="57" spans="1:18" s="1453" customFormat="1" ht="29.25" thickBot="1">
      <c r="A57" s="2532"/>
      <c r="B57" s="2393" t="s">
        <v>968</v>
      </c>
      <c r="C57" s="613">
        <f ca="1">C29</f>
        <v>8590</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215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72.7</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72.16</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0.51</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6351</v>
      </c>
      <c r="R62" s="2579" t="s">
        <v>2457</v>
      </c>
    </row>
    <row r="63" spans="1:18" s="1453" customFormat="1" ht="16.5" thickBot="1">
      <c r="A63" s="711"/>
      <c r="B63" s="2399"/>
      <c r="C63" s="318"/>
      <c r="D63" s="2413"/>
      <c r="E63" s="2393" t="s">
        <v>943</v>
      </c>
      <c r="F63" s="684">
        <f t="shared" ca="1" si="0"/>
        <v>3372.5099999999998</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128.9</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12.9</v>
      </c>
      <c r="D65" s="2411" t="s">
        <v>365</v>
      </c>
      <c r="E65" s="2393" t="s">
        <v>361</v>
      </c>
      <c r="F65" s="715">
        <f t="shared" ca="1" si="0"/>
        <v>1.5E-3</v>
      </c>
      <c r="I65" s="2538" t="s">
        <v>2435</v>
      </c>
      <c r="J65" s="3314">
        <v>40</v>
      </c>
      <c r="K65" s="3314">
        <v>30</v>
      </c>
      <c r="L65" s="3314">
        <v>50</v>
      </c>
      <c r="M65" s="3312">
        <v>0.02</v>
      </c>
      <c r="O65" s="2578" t="s">
        <v>2450</v>
      </c>
      <c r="P65" s="2588" t="s">
        <v>2468</v>
      </c>
      <c r="Q65" s="2579">
        <f ca="1">C40+J29</f>
        <v>6351</v>
      </c>
      <c r="R65" s="2579" t="s">
        <v>2469</v>
      </c>
    </row>
    <row r="66" spans="1:18" s="1453" customFormat="1" ht="20.25" thickBot="1">
      <c r="A66" s="2429" t="s">
        <v>2376</v>
      </c>
      <c r="B66" s="2393" t="s">
        <v>363</v>
      </c>
      <c r="C66" s="313">
        <f ca="1">ROUND(C48*F66,1)</f>
        <v>0</v>
      </c>
      <c r="D66" s="2411" t="s">
        <v>367</v>
      </c>
      <c r="E66" s="2393" t="s">
        <v>361</v>
      </c>
      <c r="F66" s="693">
        <f t="shared" ca="1" si="0"/>
        <v>1.4999999999999999E-2</v>
      </c>
      <c r="O66" s="2578" t="s">
        <v>2451</v>
      </c>
      <c r="P66" s="2588" t="s">
        <v>2475</v>
      </c>
      <c r="Q66" s="2579">
        <f ca="1">L60</f>
        <v>0</v>
      </c>
      <c r="R66" s="2579" t="s">
        <v>2458</v>
      </c>
    </row>
    <row r="67" spans="1:18" s="1453" customFormat="1" ht="24.75" thickBot="1">
      <c r="A67" s="2400" t="s">
        <v>2354</v>
      </c>
      <c r="B67" s="2414" t="s">
        <v>373</v>
      </c>
      <c r="C67" s="697">
        <f ca="1">C48-C58</f>
        <v>-215</v>
      </c>
      <c r="D67" s="2410" t="s">
        <v>374</v>
      </c>
      <c r="E67" s="2415"/>
      <c r="F67" s="2416"/>
      <c r="O67" s="2580" t="s">
        <v>2452</v>
      </c>
      <c r="P67" s="2588" t="s">
        <v>2482</v>
      </c>
      <c r="Q67" s="2583">
        <f ca="1">L51</f>
        <v>-9470</v>
      </c>
      <c r="R67" s="2584" t="s">
        <v>2492</v>
      </c>
    </row>
    <row r="68" spans="1:18" s="1453" customFormat="1" ht="20.25" thickBot="1">
      <c r="A68" s="2390" t="s">
        <v>2357</v>
      </c>
      <c r="B68" s="2391" t="s">
        <v>375</v>
      </c>
      <c r="C68" s="682">
        <f ca="1">ROUND(C67*(1-((1+F70)/(1+F68))^F69)/(F68-F70),0)</f>
        <v>-3836</v>
      </c>
      <c r="D68" s="2412" t="s">
        <v>369</v>
      </c>
      <c r="E68" s="2393" t="s">
        <v>370</v>
      </c>
      <c r="F68" s="693">
        <f ca="1">F40</f>
        <v>0.05</v>
      </c>
      <c r="O68" s="2580" t="s">
        <v>2453</v>
      </c>
      <c r="P68" s="2589" t="s">
        <v>2486</v>
      </c>
      <c r="Q68" s="2579">
        <f ca="1">ROUND(Q69-Q70*Q71,0)</f>
        <v>-492</v>
      </c>
      <c r="R68" s="2579" t="s">
        <v>2491</v>
      </c>
    </row>
    <row r="69" spans="1:18" s="1453" customFormat="1" ht="15.75" thickBot="1">
      <c r="A69" s="2394"/>
      <c r="B69" s="2395"/>
      <c r="C69" s="687"/>
      <c r="D69" s="2417" t="s">
        <v>960</v>
      </c>
      <c r="E69" s="2393" t="s">
        <v>377</v>
      </c>
      <c r="F69" s="718">
        <f ca="1">F41</f>
        <v>45.65</v>
      </c>
      <c r="O69" s="2580" t="s">
        <v>2461</v>
      </c>
      <c r="P69" s="2589" t="s">
        <v>2476</v>
      </c>
      <c r="Q69" s="2579">
        <f ca="1">C39</f>
        <v>238</v>
      </c>
      <c r="R69" s="2579" t="s">
        <v>2469</v>
      </c>
    </row>
    <row r="70" spans="1:18" s="1453" customFormat="1" ht="15.75" thickBot="1">
      <c r="A70" s="2397"/>
      <c r="B70" s="2398"/>
      <c r="C70" s="691"/>
      <c r="D70" s="2413"/>
      <c r="E70" s="2393" t="s">
        <v>378</v>
      </c>
      <c r="F70" s="2523"/>
      <c r="O70" s="2580" t="s">
        <v>2462</v>
      </c>
      <c r="P70" s="2589" t="s">
        <v>2477</v>
      </c>
      <c r="Q70" s="2579">
        <f ca="1">C13</f>
        <v>8590</v>
      </c>
      <c r="R70" s="2579" t="s">
        <v>2469</v>
      </c>
    </row>
    <row r="71" spans="1:18" s="1453" customFormat="1" ht="15.75" thickBot="1">
      <c r="A71" s="2418" t="s">
        <v>2364</v>
      </c>
      <c r="B71" s="2419" t="s">
        <v>379</v>
      </c>
      <c r="C71" s="721">
        <f ca="1">ROUND(C68*10000/F71,0)</f>
        <v>-2059</v>
      </c>
      <c r="D71" s="2420" t="s">
        <v>380</v>
      </c>
      <c r="E71" s="2421" t="s">
        <v>381</v>
      </c>
      <c r="F71" s="724">
        <f ca="1">F43</f>
        <v>18631.559999999998</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730</v>
      </c>
      <c r="D75" s="1453"/>
      <c r="E75" s="1453"/>
      <c r="F75" s="1453"/>
      <c r="K75" s="1454"/>
      <c r="L75" s="1453"/>
      <c r="O75" s="2578" t="s">
        <v>2456</v>
      </c>
      <c r="P75" s="2588" t="s">
        <v>2474</v>
      </c>
      <c r="Q75" s="2579">
        <f ca="1">Q65+Q66</f>
        <v>6351</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-2.0670000000000002</v>
      </c>
    </row>
    <row r="80" spans="1:18">
      <c r="B80" s="2864" t="s">
        <v>2701</v>
      </c>
      <c r="C80" s="649">
        <f ca="1">ROUND(C75/C39,3)</f>
        <v>3.0670000000000002</v>
      </c>
    </row>
    <row r="81" spans="2:3">
      <c r="B81" s="645" t="s">
        <v>383</v>
      </c>
      <c r="C81" s="646"/>
    </row>
    <row r="82" spans="2:3">
      <c r="B82" s="2863" t="s">
        <v>2700</v>
      </c>
      <c r="C82" s="650">
        <f ca="1">1-C83</f>
        <v>-0.35299999999999998</v>
      </c>
    </row>
    <row r="83" spans="2:3">
      <c r="B83" s="2863" t="s">
        <v>2699</v>
      </c>
      <c r="C83" s="649">
        <f ca="1">ROUND(C13/C40,3)</f>
        <v>1.353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c r="D1" s="1272"/>
      <c r="E1" s="2576" t="s">
        <v>535</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t="e">
        <f ca="1">ROUND(D2/10000,0)</f>
        <v>#DIV/0!</v>
      </c>
      <c r="C2" s="1298" t="s">
        <v>1102</v>
      </c>
      <c r="D2" s="2715" t="e">
        <f ca="1">C40+J29+L46</f>
        <v>#DIV/0!</v>
      </c>
      <c r="E2" s="2566" t="s">
        <v>2622</v>
      </c>
      <c r="F2" s="1275"/>
      <c r="G2" s="2278"/>
      <c r="H2" s="1273"/>
      <c r="I2" s="1273"/>
      <c r="J2" s="1273"/>
      <c r="K2" s="1297"/>
      <c r="L2" s="1273"/>
      <c r="M2" s="1273"/>
    </row>
    <row r="3" spans="1:37" ht="18" customHeight="1" thickBot="1">
      <c r="A3" s="674" t="s">
        <v>342</v>
      </c>
      <c r="B3" s="1406">
        <f ca="1">IF(ISERROR(D2/F43),0,ROUND(D2/F43,0))</f>
        <v>0</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0</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ROUND(F6*F8*F7*(1-F9),0)</f>
        <v>0</v>
      </c>
      <c r="D6" s="2616" t="s">
        <v>2537</v>
      </c>
      <c r="E6" s="683" t="s">
        <v>915</v>
      </c>
      <c r="F6" s="684">
        <f ca="1">INDIRECT("'数据-取费表'!u"&amp;$G$1)</f>
        <v>0</v>
      </c>
      <c r="G6" s="2279"/>
      <c r="H6" s="2613" t="s">
        <v>2374</v>
      </c>
      <c r="I6" s="3562" t="s">
        <v>2535</v>
      </c>
      <c r="J6" s="682">
        <f ca="1">ROUND(M6*M8*M7*(1-M9),0)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0</v>
      </c>
      <c r="G7" s="2279"/>
      <c r="H7" s="685"/>
      <c r="I7" s="3563"/>
      <c r="J7" s="687"/>
      <c r="K7" s="688"/>
      <c r="L7" s="683" t="s">
        <v>916</v>
      </c>
      <c r="M7" s="684">
        <f ca="1">F7</f>
        <v>0</v>
      </c>
    </row>
    <row r="8" spans="1:37" ht="18" customHeight="1">
      <c r="A8" s="685"/>
      <c r="B8" s="3563"/>
      <c r="C8" s="687"/>
      <c r="D8" s="688"/>
      <c r="E8" s="683" t="s">
        <v>917</v>
      </c>
      <c r="F8" s="684">
        <f ca="1">INDIRECT("'数据-取费表'!ai"&amp;$G$1)</f>
        <v>0</v>
      </c>
      <c r="G8" s="2279"/>
      <c r="H8" s="685"/>
      <c r="I8" s="3563"/>
      <c r="J8" s="687"/>
      <c r="K8" s="688"/>
      <c r="L8" s="683" t="s">
        <v>917</v>
      </c>
      <c r="M8" s="684">
        <f ca="1">INDIRECT("'数据-取费表'!ai"&amp;$G$1)</f>
        <v>0</v>
      </c>
    </row>
    <row r="9" spans="1:37" ht="18" customHeight="1">
      <c r="A9" s="685"/>
      <c r="B9" s="3564"/>
      <c r="C9" s="687"/>
      <c r="D9" s="688"/>
      <c r="E9" s="683" t="s">
        <v>918</v>
      </c>
      <c r="F9" s="693">
        <f ca="1">INDIRECT("'数据-取费表'!w"&amp;$G$1)</f>
        <v>0</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ROUND(IF(F10="押一",F6*F8*F7/12*F11,IF(F10="押二",F6*F8*F7/12*2*F11,IF(F10="押三",F6*F8*F7/12*3*F11,C11*F11))),0)</f>
        <v>0</v>
      </c>
      <c r="D10" s="2625" t="s">
        <v>2538</v>
      </c>
      <c r="E10" s="2090" t="s">
        <v>2532</v>
      </c>
      <c r="F10" s="2819"/>
      <c r="G10" s="2279"/>
      <c r="H10" s="2613" t="s">
        <v>2381</v>
      </c>
      <c r="I10" s="2614" t="s">
        <v>2530</v>
      </c>
      <c r="J10" s="682">
        <f ca="1">ROUND(IF(M10="押一",M6*M8*M7/12*M11,IF(M10="押二",M6*M8*M7/12*2*M11,IF(M10="押三",M6*M8*M7/12*3*M11,J11*M11))),0)</f>
        <v>0</v>
      </c>
      <c r="K10" s="2625" t="s">
        <v>2538</v>
      </c>
      <c r="L10" s="2090" t="s">
        <v>2532</v>
      </c>
      <c r="M10" s="2819" t="s">
        <v>2694</v>
      </c>
    </row>
    <row r="11" spans="1:37" ht="18" customHeight="1">
      <c r="A11" s="689"/>
      <c r="B11" s="2615" t="s">
        <v>2540</v>
      </c>
      <c r="C11" s="2406"/>
      <c r="D11" s="688"/>
      <c r="E11" s="2090" t="s">
        <v>2533</v>
      </c>
      <c r="F11" s="695">
        <f ca="1">'数据-取费表'!B39</f>
        <v>1.4999999999999999E-2</v>
      </c>
      <c r="G11" s="2279"/>
      <c r="H11" s="2626"/>
      <c r="I11" s="2615" t="s">
        <v>2695</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0</v>
      </c>
      <c r="D13" s="2659" t="s">
        <v>920</v>
      </c>
      <c r="E13" s="2659" t="s">
        <v>921</v>
      </c>
      <c r="F13" s="2660">
        <f ca="1">INDIRECT("'数据-取费表'!y"&amp;$G$1)</f>
        <v>0</v>
      </c>
      <c r="G13" s="2279"/>
      <c r="H13" s="2657">
        <v>2</v>
      </c>
      <c r="I13" s="2658" t="s">
        <v>919</v>
      </c>
      <c r="J13" s="2612">
        <f ca="1">ROUND(J14*J15,0)</f>
        <v>0</v>
      </c>
      <c r="K13" s="2667" t="s">
        <v>920</v>
      </c>
      <c r="L13" s="2678"/>
      <c r="M13" s="2679"/>
    </row>
    <row r="14" spans="1:37" ht="18" customHeight="1">
      <c r="A14" s="2429" t="s">
        <v>2371</v>
      </c>
      <c r="B14" s="683" t="s">
        <v>355</v>
      </c>
      <c r="C14" s="701">
        <f ca="1">ROUND(INDIRECT("'数据-取费表'!l"&amp;$G$1)*F43+'数据-取费表'!L14*INDIRECT("'数据-取费表'!S"&amp;$G$1),0)</f>
        <v>0</v>
      </c>
      <c r="D14" s="2710" t="s">
        <v>922</v>
      </c>
      <c r="E14" s="2709"/>
      <c r="F14" s="702"/>
      <c r="G14" s="2279"/>
      <c r="H14" s="2429" t="s">
        <v>2374</v>
      </c>
      <c r="I14" s="683" t="s">
        <v>923</v>
      </c>
      <c r="J14" s="313">
        <f ca="1">C29</f>
        <v>0</v>
      </c>
      <c r="K14" s="303"/>
      <c r="L14" s="699"/>
      <c r="M14" s="700"/>
    </row>
    <row r="15" spans="1:37" s="705" customFormat="1" ht="18" customHeight="1" thickBot="1">
      <c r="A15" s="2429" t="s">
        <v>2607</v>
      </c>
      <c r="B15" s="683" t="s">
        <v>356</v>
      </c>
      <c r="C15" s="313">
        <f ca="1">ROUND(C14*F15,0)</f>
        <v>0</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ROUND(INDIRECT("'数据-取费表'!l"&amp;$G$1)*F43*F16,0)</f>
        <v>0</v>
      </c>
      <c r="D16" s="683" t="s">
        <v>924</v>
      </c>
      <c r="E16" s="683" t="s">
        <v>361</v>
      </c>
      <c r="F16" s="706">
        <f ca="1">IF(INDIRECT("'数据-取费表'!c"&amp;$G$1)="住宅",'数据-取费表'!B34,0)</f>
        <v>0</v>
      </c>
      <c r="G16" s="2279"/>
      <c r="H16" s="2657" t="s">
        <v>2339</v>
      </c>
      <c r="I16" s="2658" t="s">
        <v>926</v>
      </c>
      <c r="J16" s="691">
        <f ca="1">ROUND(J17+J22+J23+J24,0)</f>
        <v>0</v>
      </c>
      <c r="K16" s="2667" t="s">
        <v>927</v>
      </c>
      <c r="L16" s="2668"/>
      <c r="M16" s="2619"/>
    </row>
    <row r="17" spans="1:37" s="705" customFormat="1" ht="18" customHeight="1">
      <c r="A17" s="2429" t="s">
        <v>2609</v>
      </c>
      <c r="B17" s="683" t="s">
        <v>358</v>
      </c>
      <c r="C17" s="313">
        <f ca="1">ROUND(F17*(F43+INDIRECT("'数据-取费表'!S"&amp;$G$1)),0)</f>
        <v>0</v>
      </c>
      <c r="D17" s="683" t="s">
        <v>928</v>
      </c>
      <c r="E17" s="683" t="s">
        <v>929</v>
      </c>
      <c r="F17" s="315">
        <f>'数据-取费表'!B35</f>
        <v>200</v>
      </c>
      <c r="G17" s="2280"/>
      <c r="H17" s="2429" t="s">
        <v>2374</v>
      </c>
      <c r="I17" s="683" t="s">
        <v>359</v>
      </c>
      <c r="J17" s="313">
        <f ca="1">ROUND(IF(项目基本情况!B11="自然人",J5*M17,J18+J19+J20),0)</f>
        <v>0</v>
      </c>
      <c r="K17" s="2710" t="s">
        <v>930</v>
      </c>
      <c r="L17" s="2711"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0</v>
      </c>
      <c r="D18" s="683" t="s">
        <v>924</v>
      </c>
      <c r="E18" s="683" t="s">
        <v>361</v>
      </c>
      <c r="F18" s="706">
        <f>'数据-取费表'!B36</f>
        <v>1.4999999999999999E-2</v>
      </c>
      <c r="G18" s="2280"/>
      <c r="H18" s="2429" t="s">
        <v>2371</v>
      </c>
      <c r="I18" s="683" t="s">
        <v>932</v>
      </c>
      <c r="J18" s="313">
        <f ca="1">ROUND(J5*M18/(1+'数据-取费表'!C42),0)</f>
        <v>0</v>
      </c>
      <c r="K18" s="2711"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0</v>
      </c>
      <c r="D19" s="470" t="s">
        <v>934</v>
      </c>
      <c r="E19" s="2713"/>
      <c r="F19" s="315"/>
      <c r="G19" s="2279"/>
      <c r="H19" s="2429" t="s">
        <v>2607</v>
      </c>
      <c r="I19" s="683" t="s">
        <v>935</v>
      </c>
      <c r="J19" s="313">
        <f ca="1">IF(K19="按租金收入计税",ROUND(J5*M19,0),ROUND(C29*M19*0.7,0))</f>
        <v>0</v>
      </c>
      <c r="K19" s="1299" t="s">
        <v>2414</v>
      </c>
      <c r="L19" s="683" t="s">
        <v>361</v>
      </c>
      <c r="M19" s="706">
        <f>IF(K19="按租金收入计税",'数据-取费表'!B51,'数据-取费表'!B50)</f>
        <v>1.2E-2</v>
      </c>
    </row>
    <row r="20" spans="1:37" s="705" customFormat="1" ht="18" customHeight="1">
      <c r="A20" s="2429" t="s">
        <v>2611</v>
      </c>
      <c r="B20" s="683" t="s">
        <v>363</v>
      </c>
      <c r="C20" s="313">
        <f ca="1">ROUND(C19*F20,0)</f>
        <v>0</v>
      </c>
      <c r="D20" s="708" t="s">
        <v>936</v>
      </c>
      <c r="E20" s="683" t="s">
        <v>361</v>
      </c>
      <c r="F20" s="706">
        <f>'数据-取费表'!B37</f>
        <v>0.02</v>
      </c>
      <c r="G20" s="2280"/>
      <c r="H20" s="2429" t="s">
        <v>2608</v>
      </c>
      <c r="I20" s="495" t="s">
        <v>937</v>
      </c>
      <c r="J20" s="314">
        <f ca="1">ROUND(M20*M21,0)</f>
        <v>0</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23</v>
      </c>
      <c r="D21" s="708" t="s">
        <v>941</v>
      </c>
      <c r="E21" s="683" t="s">
        <v>942</v>
      </c>
      <c r="F21" s="706">
        <f>'数据-取费表'!B38</f>
        <v>0.02</v>
      </c>
      <c r="G21" s="2280"/>
      <c r="H21" s="711"/>
      <c r="I21" s="692"/>
      <c r="J21" s="318"/>
      <c r="K21" s="712"/>
      <c r="L21" s="683" t="s">
        <v>943</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713"/>
      <c r="F22" s="315"/>
      <c r="G22" s="2279"/>
      <c r="H22" s="2429" t="s">
        <v>2381</v>
      </c>
      <c r="I22" s="683" t="s">
        <v>945</v>
      </c>
      <c r="J22" s="313">
        <f ca="1">ROUND(J14*M22,0)</f>
        <v>0</v>
      </c>
      <c r="K22" s="2711" t="s">
        <v>946</v>
      </c>
      <c r="L22" s="683" t="s">
        <v>361</v>
      </c>
      <c r="M22" s="713">
        <f ca="1">INDIRECT("'数据-取费表'!Ak"&amp;$G$1)</f>
        <v>0</v>
      </c>
    </row>
    <row r="23" spans="1:37" s="705" customFormat="1" ht="18" customHeight="1">
      <c r="A23" s="2429" t="s">
        <v>2371</v>
      </c>
      <c r="B23" s="683" t="s">
        <v>2527</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ROUND(J13*M23,0)</f>
        <v>0</v>
      </c>
      <c r="K23" s="2711" t="s">
        <v>365</v>
      </c>
      <c r="L23" s="683" t="s">
        <v>361</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ROUND(J5*M24,0)</f>
        <v>0</v>
      </c>
      <c r="K24" s="2672" t="s">
        <v>367</v>
      </c>
      <c r="L24" s="2670" t="s">
        <v>361</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713"/>
      <c r="F25" s="315"/>
      <c r="G25" s="2279"/>
      <c r="H25" s="2657" t="s">
        <v>2354</v>
      </c>
      <c r="I25" s="2674" t="s">
        <v>373</v>
      </c>
      <c r="J25" s="691">
        <f ca="1">J5-J16</f>
        <v>0</v>
      </c>
      <c r="K25" s="2675" t="s">
        <v>374</v>
      </c>
      <c r="L25" s="2676"/>
      <c r="M25" s="2677"/>
    </row>
    <row r="26" spans="1:37" ht="18" customHeight="1">
      <c r="A26" s="2429" t="s">
        <v>2371</v>
      </c>
      <c r="B26" s="683" t="s">
        <v>2528</v>
      </c>
      <c r="C26" s="313">
        <f ca="1">ROUND((C19+C20)*F26,0)</f>
        <v>0</v>
      </c>
      <c r="D26" s="708" t="s">
        <v>955</v>
      </c>
      <c r="E26" s="694" t="s">
        <v>956</v>
      </c>
      <c r="F26" s="693">
        <f ca="1">INDIRECT("'数据-取费表'!q"&amp;$G$1)</f>
        <v>0</v>
      </c>
      <c r="G26" s="2279"/>
      <c r="H26" s="680" t="s">
        <v>2357</v>
      </c>
      <c r="I26" s="681" t="s">
        <v>957</v>
      </c>
      <c r="J26" s="682">
        <f ca="1">IF(J5&lt;&gt;0,ROUND(J25*(1-((1+M28)/(1+M26))^M27)/(M26-M28),0),0)</f>
        <v>0</v>
      </c>
      <c r="K26" s="709" t="s">
        <v>369</v>
      </c>
      <c r="L26" s="683" t="s">
        <v>370</v>
      </c>
      <c r="M26" s="693">
        <f ca="1">INDIRECT("'数据-取费表'!I"&amp;$G$1)</f>
        <v>0</v>
      </c>
    </row>
    <row r="27" spans="1:37" ht="18" customHeight="1">
      <c r="A27" s="2429" t="s">
        <v>2377</v>
      </c>
      <c r="B27" s="683" t="s">
        <v>371</v>
      </c>
      <c r="C27" s="313">
        <f ca="1">ROUND(F21*F26,4)</f>
        <v>0</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0</v>
      </c>
      <c r="D29" s="2672"/>
      <c r="E29" s="2670"/>
      <c r="F29" s="2673"/>
      <c r="G29" s="2280"/>
      <c r="H29" s="719" t="s">
        <v>2364</v>
      </c>
      <c r="I29" s="720" t="s">
        <v>961</v>
      </c>
      <c r="J29" s="721">
        <f ca="1">ROUND(J26/(1+F40)^F41,0)</f>
        <v>0</v>
      </c>
      <c r="K29" s="722" t="s">
        <v>962</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0</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ROUND(IF(项目基本情况!B11="自然人",C5*F31,C32+C33+C34),0)</f>
        <v>0</v>
      </c>
      <c r="D31" s="2710" t="s">
        <v>930</v>
      </c>
      <c r="E31" s="2711"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IF(项目基本情况!B11="自然人","——",ROUND(C5*F32/(1+'数据-取费表'!C42),0))</f>
        <v>0</v>
      </c>
      <c r="D32" s="2711"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IF(项目基本情况!B11="自然人","——",IF(D33="按租金收入计税",ROUND(C5*F33,0),IF(D33="按房产原值计税",ROUND(C29*F33*0.7,0),INDIRECT("'数据-取费表'!Aj"&amp;$G$1))))</f>
        <v>0</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f>
        <v>0</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0</v>
      </c>
      <c r="G35" s="2279"/>
      <c r="H35" s="1276"/>
      <c r="I35" s="2872"/>
      <c r="J35" s="2873"/>
      <c r="K35" s="1289"/>
      <c r="L35" s="1288"/>
      <c r="M35" s="1288"/>
    </row>
    <row r="36" spans="1:18" ht="18" customHeight="1">
      <c r="A36" s="2686" t="s">
        <v>2381</v>
      </c>
      <c r="B36" s="683" t="s">
        <v>945</v>
      </c>
      <c r="C36" s="313">
        <f ca="1">ROUND(C29*F36,0)</f>
        <v>0</v>
      </c>
      <c r="D36" s="2711" t="s">
        <v>975</v>
      </c>
      <c r="E36" s="683" t="s">
        <v>361</v>
      </c>
      <c r="F36" s="713">
        <f ca="1">INDIRECT("'数据-取费表'!Ak"&amp;$G$1)</f>
        <v>0</v>
      </c>
      <c r="G36" s="2279"/>
      <c r="H36" s="1288"/>
      <c r="I36" s="2872"/>
      <c r="J36" s="2873"/>
      <c r="K36" s="1292"/>
      <c r="L36" s="1288"/>
      <c r="M36" s="1288"/>
    </row>
    <row r="37" spans="1:18" ht="18" customHeight="1">
      <c r="A37" s="2429" t="s">
        <v>2612</v>
      </c>
      <c r="B37" s="683" t="s">
        <v>364</v>
      </c>
      <c r="C37" s="313">
        <f ca="1">ROUND(C13*F37,0)</f>
        <v>0</v>
      </c>
      <c r="D37" s="2711" t="s">
        <v>365</v>
      </c>
      <c r="E37" s="683" t="s">
        <v>361</v>
      </c>
      <c r="F37" s="715">
        <f ca="1">INDIRECT("'数据-取费表'!Al"&amp;$G$1)</f>
        <v>0</v>
      </c>
      <c r="G37" s="2279"/>
      <c r="H37" s="1288"/>
      <c r="I37" s="2872"/>
      <c r="J37" s="2873"/>
      <c r="K37" s="1292"/>
      <c r="L37" s="1288"/>
      <c r="M37" s="1288"/>
    </row>
    <row r="38" spans="1:18" ht="18" customHeight="1" thickBot="1">
      <c r="A38" s="2669" t="s">
        <v>2613</v>
      </c>
      <c r="B38" s="2670" t="s">
        <v>363</v>
      </c>
      <c r="C38" s="2671">
        <f ca="1">ROUND(C5*F38,1)</f>
        <v>0</v>
      </c>
      <c r="D38" s="2672" t="s">
        <v>367</v>
      </c>
      <c r="E38" s="2670" t="s">
        <v>361</v>
      </c>
      <c r="F38" s="2666">
        <f ca="1">INDIRECT("'数据-取费表'!Am"&amp;$G$1)</f>
        <v>0</v>
      </c>
      <c r="G38" s="2279"/>
      <c r="H38" s="1288"/>
      <c r="I38" s="2872"/>
      <c r="J38" s="2873"/>
      <c r="K38" s="1293"/>
      <c r="L38" s="1288"/>
      <c r="M38" s="1288"/>
    </row>
    <row r="39" spans="1:18" ht="24.6" customHeight="1" thickTop="1">
      <c r="A39" s="2657" t="s">
        <v>2354</v>
      </c>
      <c r="B39" s="2674" t="s">
        <v>373</v>
      </c>
      <c r="C39" s="691">
        <f ca="1">C5-C30</f>
        <v>0</v>
      </c>
      <c r="D39" s="2675" t="s">
        <v>374</v>
      </c>
      <c r="E39" s="2676"/>
      <c r="F39" s="2677"/>
      <c r="G39" s="2279"/>
      <c r="H39" s="1288"/>
      <c r="I39" s="2872"/>
      <c r="J39" s="2873"/>
      <c r="K39" s="1293"/>
      <c r="L39" s="1288"/>
      <c r="M39" s="1288"/>
    </row>
    <row r="40" spans="1:18" ht="18" customHeight="1">
      <c r="A40" s="680" t="s">
        <v>2357</v>
      </c>
      <c r="B40" s="681" t="s">
        <v>375</v>
      </c>
      <c r="C40" s="682" t="e">
        <f ca="1">ROUND(C39*(1-((1+F42)/(1+F40))^F41)/(F40-F42),0)</f>
        <v>#DIV/0!</v>
      </c>
      <c r="D40" s="709" t="s">
        <v>369</v>
      </c>
      <c r="E40" s="683" t="s">
        <v>370</v>
      </c>
      <c r="F40" s="693">
        <f ca="1">INDIRECT("'数据-取费表'!I"&amp;$G$1)</f>
        <v>0</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378</v>
      </c>
      <c r="F42" s="693">
        <f ca="1">INDIRECT("'数据-取费表'!v"&amp;$G$1)</f>
        <v>0</v>
      </c>
      <c r="G42" s="2279"/>
      <c r="H42" s="1190"/>
      <c r="I42" s="2872"/>
      <c r="J42" s="2873"/>
      <c r="K42" s="1292"/>
      <c r="L42" s="1190"/>
      <c r="M42" s="1190"/>
    </row>
    <row r="43" spans="1:18" ht="18" customHeight="1" thickBot="1">
      <c r="A43" s="719" t="s">
        <v>2364</v>
      </c>
      <c r="B43" s="720" t="s">
        <v>379</v>
      </c>
      <c r="C43" s="721" t="e">
        <f ca="1">ROUND(C40/F43,0)</f>
        <v>#DIV/0!</v>
      </c>
      <c r="D43" s="722" t="s">
        <v>380</v>
      </c>
      <c r="E43" s="723" t="s">
        <v>381</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2623</v>
      </c>
      <c r="E45" s="1431"/>
      <c r="F45" s="1431"/>
      <c r="O45" s="2582" t="s">
        <v>2487</v>
      </c>
      <c r="P45" s="1294"/>
      <c r="Q45" s="1294"/>
      <c r="R45" s="1294"/>
    </row>
    <row r="46" spans="1:18" s="1453" customFormat="1" ht="21" thickBot="1">
      <c r="A46" s="2387" t="s">
        <v>2326</v>
      </c>
      <c r="B46" s="2388"/>
      <c r="C46" s="2716" t="e">
        <f ca="1">ROUND(C45/10000,0)</f>
        <v>#DIV/0!</v>
      </c>
      <c r="D46" s="2717" t="str">
        <f>C2</f>
        <v>万元</v>
      </c>
      <c r="I46" s="2569" t="s">
        <v>2422</v>
      </c>
      <c r="J46" s="2570"/>
      <c r="K46" s="2571"/>
      <c r="L46" s="2573" t="e">
        <f ca="1">IF(M47="住宅",0,IF(L48&gt;J51,L60,J60))</f>
        <v>#DIV/0!</v>
      </c>
      <c r="O46" s="2585" t="s">
        <v>2465</v>
      </c>
      <c r="P46" s="2586" t="s">
        <v>2466</v>
      </c>
      <c r="Q46" s="2587" t="s">
        <v>2464</v>
      </c>
      <c r="R46" s="2587" t="s">
        <v>2467</v>
      </c>
    </row>
    <row r="47" spans="1:18" s="1453" customFormat="1" ht="15.75" thickBot="1">
      <c r="A47" s="2389" t="s">
        <v>910</v>
      </c>
      <c r="B47" s="2425" t="s">
        <v>911</v>
      </c>
      <c r="C47" s="2425" t="s">
        <v>912</v>
      </c>
      <c r="D47" s="2425" t="s">
        <v>913</v>
      </c>
      <c r="E47" s="2528" t="s">
        <v>914</v>
      </c>
      <c r="F47" s="2529"/>
      <c r="G47" s="1455"/>
      <c r="I47" s="2544" t="s">
        <v>2415</v>
      </c>
      <c r="J47" s="2545"/>
      <c r="K47" s="2554" t="s">
        <v>2438</v>
      </c>
      <c r="L47" s="2555">
        <f ca="1">INDIRECT("'数据-取费表'!d"&amp;$G$1)</f>
        <v>0</v>
      </c>
      <c r="M47" s="2575" t="str">
        <f>IF(ISNUMBER(FIND("住宅",C1)),"住宅","非住宅")</f>
        <v>非住宅</v>
      </c>
      <c r="O47" s="2578" t="s">
        <v>2450</v>
      </c>
      <c r="P47" s="2588" t="s">
        <v>2468</v>
      </c>
      <c r="Q47" s="2579" t="e">
        <f ca="1">C40+J29</f>
        <v>#DIV/0!</v>
      </c>
      <c r="R47" s="2579" t="s">
        <v>2469</v>
      </c>
    </row>
    <row r="48" spans="1:18" s="1453" customFormat="1" ht="47.25" thickBot="1">
      <c r="A48" s="2702" t="s">
        <v>2618</v>
      </c>
      <c r="B48" s="681" t="s">
        <v>2333</v>
      </c>
      <c r="C48" s="2712">
        <f ca="1">C49+C53+C55</f>
        <v>0</v>
      </c>
      <c r="D48" s="2706"/>
      <c r="E48" s="2707"/>
      <c r="F48" s="2409"/>
      <c r="G48" s="1455"/>
      <c r="H48" s="1456"/>
      <c r="I48" s="2535" t="s">
        <v>2416</v>
      </c>
      <c r="J48" s="2546"/>
      <c r="K48" s="2556" t="s">
        <v>679</v>
      </c>
      <c r="L48" s="2161">
        <f ca="1">INDIRECT("'数据-取费表'!f"&amp;$G$1)</f>
        <v>0</v>
      </c>
      <c r="O48" s="2578" t="s">
        <v>2451</v>
      </c>
      <c r="P48" s="2588" t="s">
        <v>2470</v>
      </c>
      <c r="Q48" s="2579" t="e">
        <f ca="1">J60</f>
        <v>#DIV/0!</v>
      </c>
      <c r="R48" s="2579" t="s">
        <v>2478</v>
      </c>
    </row>
    <row r="49" spans="1:18" s="1453" customFormat="1" ht="15.75" thickBot="1">
      <c r="A49" s="2422" t="s">
        <v>2619</v>
      </c>
      <c r="B49" s="2705" t="s">
        <v>2621</v>
      </c>
      <c r="C49" s="2714">
        <f ca="1">ROUND(F49*F51*F50*(1-F52),0)</f>
        <v>0</v>
      </c>
      <c r="D49" s="2524" t="s">
        <v>2334</v>
      </c>
      <c r="E49" s="2527" t="s">
        <v>2327</v>
      </c>
      <c r="F49" s="2530"/>
      <c r="G49" s="1457"/>
      <c r="H49" s="1456"/>
      <c r="I49" s="2535" t="s">
        <v>2436</v>
      </c>
      <c r="J49" s="2547"/>
      <c r="K49" s="2557" t="s">
        <v>2441</v>
      </c>
      <c r="L49" s="2558"/>
      <c r="O49" s="2580" t="s">
        <v>2452</v>
      </c>
      <c r="P49" s="2588" t="s">
        <v>2471</v>
      </c>
      <c r="Q49" s="2579">
        <f ca="1">C29</f>
        <v>0</v>
      </c>
      <c r="R49" s="2579" t="s">
        <v>2469</v>
      </c>
    </row>
    <row r="50" spans="1:18" s="1453" customFormat="1" ht="15.75" thickBot="1">
      <c r="A50" s="2423"/>
      <c r="B50" s="2426"/>
      <c r="C50" s="2427"/>
      <c r="D50" s="2396"/>
      <c r="E50" s="2525" t="s">
        <v>916</v>
      </c>
      <c r="F50" s="2526">
        <f ca="1">F7</f>
        <v>0</v>
      </c>
      <c r="H50" s="1456"/>
      <c r="I50" s="2535" t="s">
        <v>2418</v>
      </c>
      <c r="J50" s="2548">
        <f>SUMPRODUCT((I63:I65=J47)*(J62:L62=J48)*(J63:L65))</f>
        <v>0</v>
      </c>
      <c r="K50" s="2557" t="s">
        <v>2442</v>
      </c>
      <c r="L50" s="2558"/>
      <c r="M50" s="2552"/>
      <c r="O50" s="2580" t="s">
        <v>2453</v>
      </c>
      <c r="P50" s="2588" t="s">
        <v>2479</v>
      </c>
      <c r="Q50" s="2581" t="e">
        <f ca="1">J58</f>
        <v>#DIV/0!</v>
      </c>
      <c r="R50" s="2579"/>
    </row>
    <row r="51" spans="1:18" s="1453" customFormat="1" ht="15.75" thickBot="1">
      <c r="A51" s="2424"/>
      <c r="B51" s="2426"/>
      <c r="C51" s="2427"/>
      <c r="D51" s="2396"/>
      <c r="E51" s="2428" t="s">
        <v>917</v>
      </c>
      <c r="F51" s="684">
        <f ca="1">F8</f>
        <v>0</v>
      </c>
      <c r="I51" s="2549" t="s">
        <v>2423</v>
      </c>
      <c r="J51" s="2550">
        <f>IF(J49="",J50,J49+J50-YEAR('数据-取费表'!B2))</f>
        <v>0</v>
      </c>
      <c r="K51" s="2559" t="s">
        <v>2443</v>
      </c>
      <c r="L51" s="2572">
        <f ca="1">ROUND(-PV(INDIRECT("'数据-取费表'!h"&amp;$G$1),L48,(C39-C13*C76),0),0)</f>
        <v>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0</v>
      </c>
      <c r="R52" s="2579" t="s">
        <v>2473</v>
      </c>
    </row>
    <row r="53" spans="1:18" s="1453" customFormat="1" ht="43.5" thickBot="1">
      <c r="A53" s="2703" t="s">
        <v>2620</v>
      </c>
      <c r="B53" s="2704" t="s">
        <v>2530</v>
      </c>
      <c r="C53" s="697">
        <f ca="1">ROUND(IF(F53="押一",F49*F51*F50/12*F11,IF(F53="押二",F49*F51*F50/12*2*F11,IF(F53="押三",F49*F51*F50/12*3*F11,C54*F11))),0)</f>
        <v>0</v>
      </c>
      <c r="D53" s="2625" t="s">
        <v>2538</v>
      </c>
      <c r="E53" s="2090" t="s">
        <v>2532</v>
      </c>
      <c r="F53" s="2819"/>
      <c r="I53" s="2561" t="s">
        <v>2448</v>
      </c>
      <c r="J53" s="2562">
        <f ca="1">IF(M47="住宅",J51,MIN(J51,L48))</f>
        <v>0</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1"/>
      <c r="O53" s="2578" t="s">
        <v>2456</v>
      </c>
      <c r="P53" s="2588" t="s">
        <v>2474</v>
      </c>
      <c r="Q53" s="2579" t="e">
        <f ca="1">Q47+Q48</f>
        <v>#DIV/0!</v>
      </c>
      <c r="R53" s="2579" t="s">
        <v>2457</v>
      </c>
    </row>
    <row r="54" spans="1:18" s="1453" customFormat="1" ht="16.5" thickBot="1">
      <c r="A54" s="2422"/>
      <c r="B54" s="2816" t="s">
        <v>2695</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8"/>
      <c r="F55" s="2531"/>
      <c r="I55" s="3309" t="s">
        <v>2424</v>
      </c>
      <c r="J55" s="3308" t="e">
        <f ca="1">ROUND(IF(J47="钢混",J57/J50,1-(1-2%)*(J50-J57)/J50),3)</f>
        <v>#DIV/0!</v>
      </c>
      <c r="K55" s="2542" t="s">
        <v>2425</v>
      </c>
      <c r="L55" s="2564"/>
      <c r="O55" s="2585" t="s">
        <v>2465</v>
      </c>
      <c r="P55" s="2586" t="s">
        <v>2466</v>
      </c>
      <c r="Q55" s="2587" t="s">
        <v>2464</v>
      </c>
      <c r="R55" s="2587" t="s">
        <v>2467</v>
      </c>
    </row>
    <row r="56" spans="1:18" s="1453" customFormat="1" ht="44.25" thickTop="1" thickBot="1">
      <c r="A56" s="2400">
        <v>2</v>
      </c>
      <c r="B56" s="2401" t="s">
        <v>919</v>
      </c>
      <c r="C56" s="607">
        <f ca="1">C13</f>
        <v>0</v>
      </c>
      <c r="D56" s="2689"/>
      <c r="E56" s="2402"/>
      <c r="F56" s="2531"/>
      <c r="I56" s="2534" t="s">
        <v>2426</v>
      </c>
      <c r="J56" s="2563"/>
      <c r="K56" s="2535" t="s">
        <v>2430</v>
      </c>
      <c r="L56" s="2161">
        <f ca="1">IF(L48&lt;J51,"——",L48-J51)</f>
        <v>0</v>
      </c>
      <c r="O56" s="2578" t="s">
        <v>2450</v>
      </c>
      <c r="P56" s="2588" t="s">
        <v>2468</v>
      </c>
      <c r="Q56" s="2579" t="e">
        <f ca="1">C40+J29</f>
        <v>#DIV/0!</v>
      </c>
      <c r="R56" s="2579" t="s">
        <v>2469</v>
      </c>
    </row>
    <row r="57" spans="1:18" s="1453" customFormat="1" ht="29.25" thickBot="1">
      <c r="A57" s="2532"/>
      <c r="B57" s="2393" t="s">
        <v>968</v>
      </c>
      <c r="C57" s="613">
        <f ca="1">C29</f>
        <v>0</v>
      </c>
      <c r="D57" s="2404"/>
      <c r="E57" s="2405"/>
      <c r="F57" s="2533"/>
      <c r="I57" s="2536" t="s">
        <v>2447</v>
      </c>
      <c r="J57" s="2540">
        <f ca="1">IF(OR(M47="住宅",J51&lt;L48,J56="是"),"——",J51-L48)</f>
        <v>0</v>
      </c>
      <c r="K57" s="2535" t="s">
        <v>2440</v>
      </c>
      <c r="L57" s="2161">
        <f ca="1">IF(L48&lt;J51,"——",IF(L55="比较法",L49,IF(L55="基准地价",L50,L51)))</f>
        <v>0</v>
      </c>
      <c r="O57" s="2578" t="s">
        <v>2451</v>
      </c>
      <c r="P57" s="2588" t="s">
        <v>2475</v>
      </c>
      <c r="Q57" s="2579" t="e">
        <f ca="1">L60</f>
        <v>#DIV/0!</v>
      </c>
      <c r="R57" s="2579" t="s">
        <v>2490</v>
      </c>
    </row>
    <row r="58" spans="1:18" s="1453" customFormat="1" ht="29.25" thickBot="1">
      <c r="A58" s="696" t="s">
        <v>2339</v>
      </c>
      <c r="B58" s="2401" t="s">
        <v>926</v>
      </c>
      <c r="C58" s="697">
        <f ca="1">ROUND(C59+C64+C65+C66,0)</f>
        <v>0</v>
      </c>
      <c r="D58" s="2407" t="s">
        <v>927</v>
      </c>
      <c r="E58" s="2408"/>
      <c r="F58" s="2409"/>
      <c r="I58" s="2536" t="s">
        <v>2427</v>
      </c>
      <c r="J58" s="3310" t="e">
        <f ca="1">IF(J55&lt;0.4,0.4,J55)</f>
        <v>#DIV/0!</v>
      </c>
      <c r="K58" s="2559" t="s">
        <v>2449</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ROUND(IF(项目基本情况!B11="自然人",C48*F59,C60+C61+C62),0)</f>
        <v>0</v>
      </c>
      <c r="D59" s="2410" t="s">
        <v>930</v>
      </c>
      <c r="E59" s="2411" t="s">
        <v>931</v>
      </c>
      <c r="F59" s="707" t="str">
        <f ca="1">IF(项目基本情况!B11="企业","",IF(INDIRECT("'数据-取费表'!c"&amp;$G$1)="住宅",5%,IF(F49*F50*F51/12/(1+'数据-取费表'!C42)&gt;20000,12%,7%)))</f>
        <v/>
      </c>
      <c r="I59" s="2536" t="s">
        <v>2428</v>
      </c>
      <c r="J59" s="2540" t="e">
        <f ca="1">IF(OR(M47="住宅",J51&lt;L48,J56="是"),"——",ROUND(C29*J58,0))</f>
        <v>#DIV/0!</v>
      </c>
      <c r="K59" s="2559" t="s">
        <v>2437</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IF(项目基本情况!B11="自然人","——",ROUND(C48*F60/(1+'数据-取费表'!C42),0))</f>
        <v>0</v>
      </c>
      <c r="D60" s="2411" t="s">
        <v>933</v>
      </c>
      <c r="E60" s="2393" t="s">
        <v>361</v>
      </c>
      <c r="F60" s="716">
        <f t="shared" ref="F60:F66" si="0">F32</f>
        <v>5.5000000000000007E-2</v>
      </c>
      <c r="I60" s="2537" t="s">
        <v>2429</v>
      </c>
      <c r="J60" s="2541" t="e">
        <f ca="1">IF(OR(M47="住宅",J51&lt;L48,J56="是"),"0",ROUND(J59/(1+J52)^J53,0))</f>
        <v>#DIV/0!</v>
      </c>
      <c r="K60" s="2543" t="s">
        <v>2432</v>
      </c>
      <c r="L60" s="2541" t="e">
        <f ca="1">IF(OR(M47="住宅",L48&lt;J51),0,ROUND(L57*(L58/L59-1),0))</f>
        <v>#DIV/0!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IF(项目基本情况!B11="自然人","——",IF(D61="按租金收入计税",ROUND(C48*F61,0),IF(D61="按房产原值计税",ROUND(C57*F61*0.7,0),INDIRECT("'数据-取费表'!Aj"&amp;$G$1))))</f>
        <v>0</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IF(项目基本情况!B11="自然人","——",ROUND(F62*F63,0))</f>
        <v>0</v>
      </c>
      <c r="D62" s="2412" t="s">
        <v>938</v>
      </c>
      <c r="E62" s="2393" t="s">
        <v>939</v>
      </c>
      <c r="F62" s="710">
        <f t="shared" si="0"/>
        <v>1.5</v>
      </c>
      <c r="I62" s="2538" t="s">
        <v>2419</v>
      </c>
      <c r="J62" s="2539" t="s">
        <v>2420</v>
      </c>
      <c r="K62" s="2539" t="s">
        <v>2421</v>
      </c>
      <c r="L62" s="2539" t="s">
        <v>2417</v>
      </c>
      <c r="M62" s="3311" t="s">
        <v>3039</v>
      </c>
      <c r="O62" s="2578" t="s">
        <v>2456</v>
      </c>
      <c r="P62" s="2588" t="s">
        <v>2474</v>
      </c>
      <c r="Q62" s="2579" t="e">
        <f ca="1">Q56+Q57</f>
        <v>#DIV/0!</v>
      </c>
      <c r="R62" s="2579" t="s">
        <v>2457</v>
      </c>
    </row>
    <row r="63" spans="1:18" s="1453" customFormat="1" ht="16.5" thickBot="1">
      <c r="A63" s="711"/>
      <c r="B63" s="2399"/>
      <c r="C63" s="318"/>
      <c r="D63" s="2413"/>
      <c r="E63" s="2393" t="s">
        <v>943</v>
      </c>
      <c r="F63" s="684">
        <f t="shared" ca="1" si="0"/>
        <v>0</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ROUND(C57*F64,0)</f>
        <v>0</v>
      </c>
      <c r="D64" s="2411" t="s">
        <v>975</v>
      </c>
      <c r="E64" s="2393" t="s">
        <v>361</v>
      </c>
      <c r="F64" s="713">
        <f t="shared" ca="1" si="0"/>
        <v>0</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ROUND(C56*F65,0)</f>
        <v>0</v>
      </c>
      <c r="D65" s="2411" t="s">
        <v>365</v>
      </c>
      <c r="E65" s="2393" t="s">
        <v>361</v>
      </c>
      <c r="F65" s="715">
        <f t="shared" ca="1" si="0"/>
        <v>0</v>
      </c>
      <c r="I65" s="2538" t="s">
        <v>2435</v>
      </c>
      <c r="J65" s="3314">
        <v>40</v>
      </c>
      <c r="K65" s="3314">
        <v>30</v>
      </c>
      <c r="L65" s="3314">
        <v>50</v>
      </c>
      <c r="M65" s="3312">
        <v>0.02</v>
      </c>
      <c r="O65" s="2578" t="s">
        <v>2450</v>
      </c>
      <c r="P65" s="2588" t="s">
        <v>2468</v>
      </c>
      <c r="Q65" s="2579" t="e">
        <f ca="1">C40+J29</f>
        <v>#DIV/0!</v>
      </c>
      <c r="R65" s="2579" t="s">
        <v>2469</v>
      </c>
    </row>
    <row r="66" spans="1:18" s="1453" customFormat="1" ht="20.25" thickBot="1">
      <c r="A66" s="2429" t="s">
        <v>2376</v>
      </c>
      <c r="B66" s="2393" t="s">
        <v>363</v>
      </c>
      <c r="C66" s="313">
        <f ca="1">ROUND(C48*F66,0)</f>
        <v>0</v>
      </c>
      <c r="D66" s="2411" t="s">
        <v>367</v>
      </c>
      <c r="E66" s="2393" t="s">
        <v>361</v>
      </c>
      <c r="F66" s="693">
        <f t="shared" ca="1" si="0"/>
        <v>0</v>
      </c>
      <c r="O66" s="2578" t="s">
        <v>2451</v>
      </c>
      <c r="P66" s="2588" t="s">
        <v>2475</v>
      </c>
      <c r="Q66" s="2579" t="e">
        <f ca="1">L60</f>
        <v>#DIV/0!</v>
      </c>
      <c r="R66" s="2579" t="s">
        <v>2458</v>
      </c>
    </row>
    <row r="67" spans="1:18" s="1453" customFormat="1" ht="24.75" thickBot="1">
      <c r="A67" s="2400" t="s">
        <v>2354</v>
      </c>
      <c r="B67" s="2414" t="s">
        <v>373</v>
      </c>
      <c r="C67" s="697">
        <f ca="1">C48-C58</f>
        <v>0</v>
      </c>
      <c r="D67" s="2410" t="s">
        <v>374</v>
      </c>
      <c r="E67" s="2415"/>
      <c r="F67" s="2416"/>
      <c r="O67" s="2580" t="s">
        <v>2452</v>
      </c>
      <c r="P67" s="2588" t="s">
        <v>2482</v>
      </c>
      <c r="Q67" s="2583">
        <f ca="1">L51</f>
        <v>0</v>
      </c>
      <c r="R67" s="2584" t="s">
        <v>2492</v>
      </c>
    </row>
    <row r="68" spans="1:18" s="1453" customFormat="1" ht="20.25" thickBot="1">
      <c r="A68" s="2390" t="s">
        <v>2357</v>
      </c>
      <c r="B68" s="2391" t="s">
        <v>375</v>
      </c>
      <c r="C68" s="682" t="e">
        <f ca="1">ROUND(C67*(1-((1+F70)/(1+F68))^F69)/(F68-F70),0)</f>
        <v>#DIV/0!</v>
      </c>
      <c r="D68" s="2412" t="s">
        <v>369</v>
      </c>
      <c r="E68" s="2393" t="s">
        <v>370</v>
      </c>
      <c r="F68" s="693">
        <f ca="1">F40</f>
        <v>0</v>
      </c>
      <c r="O68" s="2580" t="s">
        <v>2453</v>
      </c>
      <c r="P68" s="2589" t="s">
        <v>2486</v>
      </c>
      <c r="Q68" s="2579">
        <f ca="1">ROUND(Q69-Q70*Q71,0)</f>
        <v>0</v>
      </c>
      <c r="R68" s="2579" t="s">
        <v>2491</v>
      </c>
    </row>
    <row r="69" spans="1:18" s="1453" customFormat="1" ht="15.75" thickBot="1">
      <c r="A69" s="2394"/>
      <c r="B69" s="2395"/>
      <c r="C69" s="687"/>
      <c r="D69" s="2417" t="s">
        <v>960</v>
      </c>
      <c r="E69" s="2393" t="s">
        <v>377</v>
      </c>
      <c r="F69" s="718">
        <f ca="1">F41</f>
        <v>0</v>
      </c>
      <c r="O69" s="2580" t="s">
        <v>2461</v>
      </c>
      <c r="P69" s="2589" t="s">
        <v>2476</v>
      </c>
      <c r="Q69" s="2579">
        <f ca="1">C39</f>
        <v>0</v>
      </c>
      <c r="R69" s="2579" t="s">
        <v>2469</v>
      </c>
    </row>
    <row r="70" spans="1:18" s="1453" customFormat="1" ht="15.75" thickBot="1">
      <c r="A70" s="2397"/>
      <c r="B70" s="2398"/>
      <c r="C70" s="691"/>
      <c r="D70" s="2413"/>
      <c r="E70" s="2393" t="s">
        <v>378</v>
      </c>
      <c r="F70" s="2523">
        <f ca="1">F42</f>
        <v>0</v>
      </c>
      <c r="O70" s="2580" t="s">
        <v>2462</v>
      </c>
      <c r="P70" s="2589" t="s">
        <v>2477</v>
      </c>
      <c r="Q70" s="2579">
        <f ca="1">C13</f>
        <v>0</v>
      </c>
      <c r="R70" s="2579" t="s">
        <v>2469</v>
      </c>
    </row>
    <row r="71" spans="1:18" s="1453" customFormat="1" ht="15.75" thickBot="1">
      <c r="A71" s="2418" t="s">
        <v>2364</v>
      </c>
      <c r="B71" s="2419" t="s">
        <v>379</v>
      </c>
      <c r="C71" s="721" t="e">
        <f ca="1">ROUND(C68/F71,0)</f>
        <v>#DIV/0!</v>
      </c>
      <c r="D71" s="2420" t="s">
        <v>380</v>
      </c>
      <c r="E71" s="2421" t="s">
        <v>381</v>
      </c>
      <c r="F71" s="724">
        <f ca="1">F43</f>
        <v>0</v>
      </c>
      <c r="I71" s="2388"/>
      <c r="K71" s="2388"/>
      <c r="O71" s="2580" t="s">
        <v>2463</v>
      </c>
      <c r="P71" s="2589" t="s">
        <v>2489</v>
      </c>
      <c r="Q71" s="2581">
        <f ca="1">C76</f>
        <v>0</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0</v>
      </c>
      <c r="D75" s="1453"/>
      <c r="E75" s="1453"/>
      <c r="F75" s="1453"/>
      <c r="K75" s="1454"/>
      <c r="L75" s="1453"/>
      <c r="O75" s="2578" t="s">
        <v>2456</v>
      </c>
      <c r="P75" s="2588" t="s">
        <v>2474</v>
      </c>
      <c r="Q75" s="2579" t="e">
        <f ca="1">Q65+Q66</f>
        <v>#DIV/0!</v>
      </c>
      <c r="R75" s="2579" t="s">
        <v>2457</v>
      </c>
    </row>
    <row r="76" spans="1:18">
      <c r="B76" s="730" t="s">
        <v>974</v>
      </c>
      <c r="C76" s="731">
        <f ca="1">INDIRECT("'数据-取费表'!j"&amp;$G$1)</f>
        <v>0</v>
      </c>
      <c r="I76" s="1453"/>
      <c r="J76" s="1453"/>
      <c r="K76" s="1454"/>
      <c r="L76" s="1453"/>
    </row>
    <row r="77" spans="1:18">
      <c r="B77" s="732" t="s">
        <v>977</v>
      </c>
      <c r="C77" s="733"/>
      <c r="I77" s="1453"/>
      <c r="J77" s="1453"/>
      <c r="K77" s="1454"/>
      <c r="L77" s="1453"/>
    </row>
    <row r="78" spans="1:18">
      <c r="B78" s="645" t="s">
        <v>963</v>
      </c>
      <c r="C78" s="734"/>
    </row>
    <row r="79" spans="1:18">
      <c r="B79" s="2864" t="s">
        <v>2702</v>
      </c>
      <c r="C79" s="649" t="e">
        <f ca="1">1-C80</f>
        <v>#DIV/0!</v>
      </c>
    </row>
    <row r="80" spans="1:18">
      <c r="B80" s="2864" t="s">
        <v>2703</v>
      </c>
      <c r="C80" s="649" t="e">
        <f ca="1">ROUND(C75/C39,3)</f>
        <v>#DIV/0!</v>
      </c>
    </row>
    <row r="81" spans="2:3">
      <c r="B81" s="645" t="s">
        <v>383</v>
      </c>
      <c r="C81" s="646"/>
    </row>
    <row r="82" spans="2:3">
      <c r="B82" s="2863" t="s">
        <v>2700</v>
      </c>
      <c r="C82" s="650" t="e">
        <f ca="1">1-C83</f>
        <v>#DIV/0!</v>
      </c>
    </row>
    <row r="83" spans="2:3">
      <c r="B83" s="2863" t="s">
        <v>2699</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2673</v>
      </c>
      <c r="B1" s="2775"/>
      <c r="C1" s="2775"/>
      <c r="D1" s="2775"/>
      <c r="E1" s="2776"/>
    </row>
    <row r="2" spans="1:6" ht="14.25">
      <c r="A2" s="2777" t="s">
        <v>2674</v>
      </c>
      <c r="B2" s="2771">
        <f ca="1">SUMIF(B6:B13,"&lt;&gt;#ref!",B6:B13)</f>
        <v>205695</v>
      </c>
      <c r="C2" s="2772" t="s">
        <v>2671</v>
      </c>
      <c r="D2" s="2773" t="s">
        <v>2676</v>
      </c>
      <c r="E2" s="2781">
        <f>SUM(E6:E13)</f>
        <v>95896.059999999983</v>
      </c>
    </row>
    <row r="3" spans="1:6" ht="14.25">
      <c r="A3" s="2777" t="s">
        <v>2675</v>
      </c>
      <c r="B3" s="2771">
        <f ca="1">ROUND(B2*10000/E2,0)</f>
        <v>21450</v>
      </c>
      <c r="C3" s="2772" t="s">
        <v>2672</v>
      </c>
      <c r="D3" s="2778"/>
      <c r="E3" s="2782"/>
    </row>
    <row r="4" spans="1:6" ht="14.25">
      <c r="A4" s="2783"/>
      <c r="B4" s="2778"/>
      <c r="C4" s="2778"/>
      <c r="D4" s="2778"/>
      <c r="E4" s="2782"/>
    </row>
    <row r="5" spans="1:6">
      <c r="A5" s="2787" t="s">
        <v>2678</v>
      </c>
      <c r="B5" s="3565" t="s">
        <v>2680</v>
      </c>
      <c r="C5" s="3565"/>
      <c r="D5" s="2786"/>
      <c r="E5" s="3328" t="s">
        <v>2679</v>
      </c>
      <c r="F5" s="3329" t="s">
        <v>3055</v>
      </c>
    </row>
    <row r="6" spans="1:6">
      <c r="A6" s="2784" t="str">
        <f>'数据-取费表'!AN6</f>
        <v>收益法（公寓）</v>
      </c>
      <c r="B6" s="2780">
        <f ca="1">IF(F6="是",'数据-取费表'!AO6,0)</f>
        <v>79822</v>
      </c>
      <c r="C6" s="2772" t="s">
        <v>2671</v>
      </c>
      <c r="D6" s="2778"/>
      <c r="E6" s="1535">
        <f>IF(OR(A6=0,F6="否"),0,'数据-取费表'!K6+'数据-取费表'!S6)</f>
        <v>32150.61</v>
      </c>
      <c r="F6" s="3330" t="s">
        <v>3056</v>
      </c>
    </row>
    <row r="7" spans="1:6">
      <c r="A7" s="2784" t="str">
        <f>'数据-取费表'!AN7</f>
        <v>收益法（商业）</v>
      </c>
      <c r="B7" s="2780">
        <f ca="1">IF(F7="是",'数据-取费表'!AO7,0)</f>
        <v>119522</v>
      </c>
      <c r="C7" s="2772" t="s">
        <v>2671</v>
      </c>
      <c r="D7" s="2778"/>
      <c r="E7" s="1535">
        <f>IF(OR(A7=0,F7="否"),0,'数据-取费表'!K7+'数据-取费表'!S7)</f>
        <v>43073.439999999995</v>
      </c>
      <c r="F7" s="3330" t="s">
        <v>3056</v>
      </c>
    </row>
    <row r="8" spans="1:6">
      <c r="A8" s="2784" t="str">
        <f>'数据-取费表'!AN8</f>
        <v>收益法（地下车库）</v>
      </c>
      <c r="B8" s="2780">
        <f ca="1">IF(F8="是",'数据-取费表'!AO8,0)</f>
        <v>6351</v>
      </c>
      <c r="C8" s="2772" t="s">
        <v>2671</v>
      </c>
      <c r="D8" s="2778"/>
      <c r="E8" s="1535">
        <f>IF(OR(A8=0,F8="否"),0,'数据-取费表'!K8+'数据-取费表'!S8)</f>
        <v>20672.009999999998</v>
      </c>
      <c r="F8" s="3330" t="s">
        <v>3056</v>
      </c>
    </row>
    <row r="9" spans="1:6">
      <c r="A9" s="2784">
        <f>'数据-取费表'!AN9</f>
        <v>0</v>
      </c>
      <c r="B9" s="2780" t="e">
        <f ca="1">IF(F9="是",'数据-取费表'!AO9,0)</f>
        <v>#REF!</v>
      </c>
      <c r="C9" s="2772" t="s">
        <v>2671</v>
      </c>
      <c r="D9" s="2778"/>
      <c r="E9" s="1535">
        <f>IF(OR(A9=0,F9="否"),0,'数据-取费表'!K9+'数据-取费表'!S9)</f>
        <v>0</v>
      </c>
      <c r="F9" s="3330" t="s">
        <v>3056</v>
      </c>
    </row>
    <row r="10" spans="1:6">
      <c r="A10" s="2784">
        <f>'数据-取费表'!AN10</f>
        <v>0</v>
      </c>
      <c r="B10" s="2780" t="e">
        <f ca="1">IF(F10="是",'数据-取费表'!AO10,0)</f>
        <v>#REF!</v>
      </c>
      <c r="C10" s="2772" t="s">
        <v>2671</v>
      </c>
      <c r="D10" s="2778"/>
      <c r="E10" s="1535">
        <f>IF(OR(A10=0,F10="否"),0,'数据-取费表'!K10+'数据-取费表'!S10)</f>
        <v>0</v>
      </c>
      <c r="F10" s="3330" t="s">
        <v>3056</v>
      </c>
    </row>
    <row r="11" spans="1:6">
      <c r="A11" s="2784">
        <f>'数据-取费表'!AN11</f>
        <v>0</v>
      </c>
      <c r="B11" s="2780" t="e">
        <f ca="1">IF(F11="是",'数据-取费表'!AO11,0)</f>
        <v>#REF!</v>
      </c>
      <c r="C11" s="2772" t="s">
        <v>2671</v>
      </c>
      <c r="D11" s="2778"/>
      <c r="E11" s="1535">
        <f>IF(OR(A11=0,F11="否"),0,'数据-取费表'!K11+'数据-取费表'!S11)</f>
        <v>0</v>
      </c>
      <c r="F11" s="3330" t="s">
        <v>3056</v>
      </c>
    </row>
    <row r="12" spans="1:6">
      <c r="A12" s="2784">
        <f>'数据-取费表'!AN12</f>
        <v>0</v>
      </c>
      <c r="B12" s="2780" t="e">
        <f ca="1">IF(F12="是",'数据-取费表'!AO12,0)</f>
        <v>#REF!</v>
      </c>
      <c r="C12" s="2772" t="s">
        <v>2671</v>
      </c>
      <c r="D12" s="2778"/>
      <c r="E12" s="1535">
        <f>IF(OR(A12=0,F12="否"),0,'数据-取费表'!K12+'数据-取费表'!S12)</f>
        <v>0</v>
      </c>
      <c r="F12" s="3330" t="s">
        <v>3056</v>
      </c>
    </row>
    <row r="13" spans="1:6" ht="14.25" thickBot="1">
      <c r="A13" s="2785">
        <f>'数据-取费表'!AN13</f>
        <v>0</v>
      </c>
      <c r="B13" s="2780" t="e">
        <f ca="1">IF(F13="是",'数据-取费表'!AO13,0)</f>
        <v>#REF!</v>
      </c>
      <c r="C13" s="2788" t="s">
        <v>2671</v>
      </c>
      <c r="D13" s="2779"/>
      <c r="E13" s="1535">
        <f>IF(OR(A13=0,F13="否"),0,'数据-取费表'!K13+'数据-取费表'!S13)</f>
        <v>0</v>
      </c>
      <c r="F13" s="3330"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6" t="s">
        <v>2547</v>
      </c>
      <c r="B1" s="3567"/>
      <c r="C1" s="3568"/>
      <c r="D1" s="3569">
        <f>SUM(I10,I15,I20,I21,I23)</f>
        <v>0</v>
      </c>
      <c r="E1" s="3569"/>
      <c r="F1" s="3569"/>
      <c r="G1" s="3569"/>
      <c r="H1" s="3569"/>
      <c r="I1" s="3570"/>
    </row>
    <row r="2" spans="1:9">
      <c r="A2" s="3571" t="s">
        <v>2548</v>
      </c>
      <c r="B2" s="3572" t="s">
        <v>2549</v>
      </c>
      <c r="C2" s="3572"/>
      <c r="D2" s="2629" t="s">
        <v>2550</v>
      </c>
      <c r="E2" s="2629" t="s">
        <v>2551</v>
      </c>
      <c r="F2" s="2629" t="s">
        <v>2552</v>
      </c>
      <c r="G2" s="2629" t="s">
        <v>2553</v>
      </c>
      <c r="H2" s="2629" t="s">
        <v>2554</v>
      </c>
      <c r="I2" s="2630" t="s">
        <v>2555</v>
      </c>
    </row>
    <row r="3" spans="1:9">
      <c r="A3" s="3571"/>
      <c r="B3" s="3572" t="s">
        <v>2556</v>
      </c>
      <c r="C3" s="3572"/>
      <c r="D3" s="2631"/>
      <c r="E3" s="2629"/>
      <c r="F3" s="2632"/>
      <c r="G3" s="2632"/>
      <c r="H3" s="2633"/>
      <c r="I3" s="2634">
        <f>ROUND(D3*E3*F3*G3*H3/10000,0)</f>
        <v>0</v>
      </c>
    </row>
    <row r="4" spans="1:9">
      <c r="A4" s="3571"/>
      <c r="B4" s="3572" t="s">
        <v>2557</v>
      </c>
      <c r="C4" s="3572"/>
      <c r="D4" s="2631"/>
      <c r="E4" s="2629"/>
      <c r="F4" s="2632"/>
      <c r="G4" s="2632"/>
      <c r="H4" s="2633"/>
      <c r="I4" s="2634">
        <f t="shared" ref="I4:I9" si="0">ROUND(D4*E4*F4*G4*H4/10000,0)</f>
        <v>0</v>
      </c>
    </row>
    <row r="5" spans="1:9">
      <c r="A5" s="3571"/>
      <c r="B5" s="3572" t="s">
        <v>2558</v>
      </c>
      <c r="C5" s="3572"/>
      <c r="D5" s="2631"/>
      <c r="E5" s="2629"/>
      <c r="F5" s="2632"/>
      <c r="G5" s="2632"/>
      <c r="H5" s="2633"/>
      <c r="I5" s="2634">
        <f t="shared" si="0"/>
        <v>0</v>
      </c>
    </row>
    <row r="6" spans="1:9">
      <c r="A6" s="3571"/>
      <c r="B6" s="3572" t="s">
        <v>2559</v>
      </c>
      <c r="C6" s="3572"/>
      <c r="D6" s="2631"/>
      <c r="E6" s="2629"/>
      <c r="F6" s="2632"/>
      <c r="G6" s="2632"/>
      <c r="H6" s="2633"/>
      <c r="I6" s="2634">
        <f t="shared" si="0"/>
        <v>0</v>
      </c>
    </row>
    <row r="7" spans="1:9">
      <c r="A7" s="3571"/>
      <c r="B7" s="3572" t="s">
        <v>2560</v>
      </c>
      <c r="C7" s="3572"/>
      <c r="D7" s="2631"/>
      <c r="E7" s="2629"/>
      <c r="F7" s="2632"/>
      <c r="G7" s="2632"/>
      <c r="H7" s="2633"/>
      <c r="I7" s="2634">
        <f t="shared" si="0"/>
        <v>0</v>
      </c>
    </row>
    <row r="8" spans="1:9">
      <c r="A8" s="3571"/>
      <c r="B8" s="3572" t="s">
        <v>2561</v>
      </c>
      <c r="C8" s="3572"/>
      <c r="D8" s="2631"/>
      <c r="E8" s="2629"/>
      <c r="F8" s="2632"/>
      <c r="G8" s="2632"/>
      <c r="H8" s="2633"/>
      <c r="I8" s="2634">
        <f t="shared" si="0"/>
        <v>0</v>
      </c>
    </row>
    <row r="9" spans="1:9">
      <c r="A9" s="3571"/>
      <c r="B9" s="3572" t="s">
        <v>2562</v>
      </c>
      <c r="C9" s="3572"/>
      <c r="D9" s="2631"/>
      <c r="E9" s="2629"/>
      <c r="F9" s="2632"/>
      <c r="G9" s="2632"/>
      <c r="H9" s="2633"/>
      <c r="I9" s="2634">
        <f t="shared" si="0"/>
        <v>0</v>
      </c>
    </row>
    <row r="10" spans="1:9">
      <c r="A10" s="3571"/>
      <c r="B10" s="3573" t="s">
        <v>2563</v>
      </c>
      <c r="C10" s="3573"/>
      <c r="D10" s="2635"/>
      <c r="E10" s="2635" t="e">
        <f>ROUND(D1*10000/D10/H9,0)</f>
        <v>#DIV/0!</v>
      </c>
      <c r="F10" s="2636"/>
      <c r="G10" s="2636"/>
      <c r="H10" s="2637"/>
      <c r="I10" s="2638">
        <f>SUM(I3:I9)</f>
        <v>0</v>
      </c>
    </row>
    <row r="11" spans="1:9" ht="14.25">
      <c r="A11" s="3571" t="s">
        <v>2564</v>
      </c>
      <c r="B11" s="3572" t="s">
        <v>2565</v>
      </c>
      <c r="C11" s="3572"/>
      <c r="D11" s="2631" t="s">
        <v>2566</v>
      </c>
      <c r="E11" s="2631" t="s">
        <v>2567</v>
      </c>
      <c r="F11" s="2632" t="s">
        <v>2568</v>
      </c>
      <c r="G11" s="2632" t="s">
        <v>2554</v>
      </c>
      <c r="H11" s="2639" t="s">
        <v>2569</v>
      </c>
      <c r="I11" s="2630" t="s">
        <v>2555</v>
      </c>
    </row>
    <row r="12" spans="1:9">
      <c r="A12" s="3571"/>
      <c r="B12" s="3572" t="s">
        <v>2570</v>
      </c>
      <c r="C12" s="3572"/>
      <c r="D12" s="2631"/>
      <c r="E12" s="2631"/>
      <c r="F12" s="2632"/>
      <c r="G12" s="2633"/>
      <c r="H12" s="2640"/>
      <c r="I12" s="2630">
        <f>ROUND(D12*E12*F12*G12/10000,0)</f>
        <v>0</v>
      </c>
    </row>
    <row r="13" spans="1:9">
      <c r="A13" s="3571"/>
      <c r="B13" s="3572" t="s">
        <v>2571</v>
      </c>
      <c r="C13" s="3572"/>
      <c r="D13" s="2631"/>
      <c r="E13" s="2631"/>
      <c r="F13" s="2632"/>
      <c r="G13" s="2633"/>
      <c r="H13" s="2640"/>
      <c r="I13" s="2630">
        <f>ROUND(D13*E13*F13*G13/10000,0)</f>
        <v>0</v>
      </c>
    </row>
    <row r="14" spans="1:9">
      <c r="A14" s="3571"/>
      <c r="B14" s="3572" t="s">
        <v>2572</v>
      </c>
      <c r="C14" s="3572"/>
      <c r="D14" s="2631"/>
      <c r="E14" s="2631"/>
      <c r="F14" s="2632"/>
      <c r="G14" s="2633"/>
      <c r="H14" s="2640"/>
      <c r="I14" s="2630">
        <f>ROUND(D14*E14*F14*G14/10000,0)</f>
        <v>0</v>
      </c>
    </row>
    <row r="15" spans="1:9">
      <c r="A15" s="3571"/>
      <c r="B15" s="3573" t="s">
        <v>2563</v>
      </c>
      <c r="C15" s="3573"/>
      <c r="D15" s="2635"/>
      <c r="E15" s="2635">
        <f>SUM(E12:E14)</f>
        <v>0</v>
      </c>
      <c r="F15" s="2636"/>
      <c r="G15" s="2633"/>
      <c r="H15" s="2640"/>
      <c r="I15" s="2641">
        <f>SUM(I12:I14)</f>
        <v>0</v>
      </c>
    </row>
    <row r="16" spans="1:9" ht="24">
      <c r="A16" s="3571" t="s">
        <v>2573</v>
      </c>
      <c r="B16" s="3572" t="s">
        <v>2574</v>
      </c>
      <c r="C16" s="3572"/>
      <c r="D16" s="2631" t="s">
        <v>2550</v>
      </c>
      <c r="E16" s="2642" t="s">
        <v>2575</v>
      </c>
      <c r="F16" s="2632" t="s">
        <v>2576</v>
      </c>
      <c r="G16" s="2633" t="s">
        <v>2554</v>
      </c>
      <c r="H16" s="2639" t="s">
        <v>2569</v>
      </c>
      <c r="I16" s="2630" t="s">
        <v>2555</v>
      </c>
    </row>
    <row r="17" spans="1:9" ht="14.25">
      <c r="A17" s="3571"/>
      <c r="B17" s="3572" t="s">
        <v>2577</v>
      </c>
      <c r="C17" s="3572"/>
      <c r="D17" s="2631"/>
      <c r="E17" s="2631"/>
      <c r="F17" s="2632"/>
      <c r="G17" s="2633"/>
      <c r="H17" s="2643"/>
      <c r="I17" s="2644">
        <f>ROUND(D17*E17*F17*G17/10000,0)</f>
        <v>0</v>
      </c>
    </row>
    <row r="18" spans="1:9" ht="14.25">
      <c r="A18" s="3571"/>
      <c r="B18" s="3572" t="s">
        <v>2578</v>
      </c>
      <c r="C18" s="3572"/>
      <c r="D18" s="2631"/>
      <c r="E18" s="2631"/>
      <c r="F18" s="2632"/>
      <c r="G18" s="2633"/>
      <c r="H18" s="2643"/>
      <c r="I18" s="2644">
        <f>ROUND(D18*E18*F18*G18/10000,0)</f>
        <v>0</v>
      </c>
    </row>
    <row r="19" spans="1:9" ht="14.25">
      <c r="A19" s="3571"/>
      <c r="B19" s="3572" t="s">
        <v>2579</v>
      </c>
      <c r="C19" s="3572"/>
      <c r="D19" s="2631"/>
      <c r="E19" s="2631"/>
      <c r="F19" s="2632"/>
      <c r="G19" s="2633"/>
      <c r="H19" s="2643"/>
      <c r="I19" s="2644">
        <f>ROUND(D19*E19*F19*G19/10000,0)</f>
        <v>0</v>
      </c>
    </row>
    <row r="20" spans="1:9">
      <c r="A20" s="3571"/>
      <c r="B20" s="3573" t="s">
        <v>2563</v>
      </c>
      <c r="C20" s="3573"/>
      <c r="D20" s="2635">
        <f>SUM(D17:D19)</f>
        <v>0</v>
      </c>
      <c r="E20" s="2635"/>
      <c r="F20" s="2636"/>
      <c r="G20" s="2633"/>
      <c r="H20" s="2640"/>
      <c r="I20" s="2641">
        <f>SUM(I17:I19)</f>
        <v>0</v>
      </c>
    </row>
    <row r="21" spans="1:9">
      <c r="A21" s="3571" t="s">
        <v>2580</v>
      </c>
      <c r="B21" s="3575"/>
      <c r="C21" s="3575"/>
      <c r="D21" s="3575"/>
      <c r="E21" s="3575"/>
      <c r="F21" s="3575"/>
      <c r="G21" s="3575"/>
      <c r="H21" s="3289">
        <v>0.1</v>
      </c>
      <c r="I21" s="2638">
        <f>ROUND(I10*H21,0)</f>
        <v>0</v>
      </c>
    </row>
    <row r="22" spans="1:9" ht="14.25">
      <c r="A22" s="3576" t="s">
        <v>2581</v>
      </c>
      <c r="B22" s="3577"/>
      <c r="C22" s="3578"/>
      <c r="D22" s="2645" t="s">
        <v>2582</v>
      </c>
      <c r="E22" s="2645" t="s">
        <v>2583</v>
      </c>
      <c r="F22" s="2646" t="s">
        <v>2584</v>
      </c>
      <c r="G22" s="2646" t="s">
        <v>2585</v>
      </c>
      <c r="H22" s="2639" t="s">
        <v>2586</v>
      </c>
      <c r="I22" s="2630" t="s">
        <v>2587</v>
      </c>
    </row>
    <row r="23" spans="1:9" ht="14.25" thickBot="1">
      <c r="A23" s="3579"/>
      <c r="B23" s="3580"/>
      <c r="C23" s="3581"/>
      <c r="D23" s="2647"/>
      <c r="E23" s="2647"/>
      <c r="F23" s="2647"/>
      <c r="G23" s="2648"/>
      <c r="H23" s="2649"/>
      <c r="I23" s="2650">
        <f>ROUND(E23*D23*F23*(1-G23)/10000,0)</f>
        <v>0</v>
      </c>
    </row>
    <row r="26" spans="1:9">
      <c r="A26" s="2651" t="s">
        <v>2588</v>
      </c>
      <c r="B26" s="2651"/>
      <c r="C26" s="2651"/>
      <c r="D26" s="2651"/>
      <c r="E26" s="3582">
        <f>C27-C30-C31-C32</f>
        <v>0</v>
      </c>
      <c r="F26" s="3582"/>
      <c r="G26" s="3582"/>
      <c r="H26" s="3241" t="s">
        <v>2959</v>
      </c>
    </row>
    <row r="27" spans="1:9">
      <c r="A27" s="2652">
        <v>1</v>
      </c>
      <c r="B27" s="2653" t="s">
        <v>2589</v>
      </c>
      <c r="C27" s="2653">
        <f>C28+C29</f>
        <v>0</v>
      </c>
      <c r="D27" s="2653"/>
      <c r="E27" s="3583"/>
      <c r="F27" s="3583"/>
      <c r="G27" s="3583"/>
    </row>
    <row r="28" spans="1:9">
      <c r="A28" s="2654" t="s">
        <v>2590</v>
      </c>
      <c r="B28" s="2653" t="s">
        <v>2591</v>
      </c>
      <c r="C28" s="2653"/>
      <c r="D28" s="2653"/>
      <c r="E28" s="3583"/>
      <c r="F28" s="3583"/>
      <c r="G28" s="3583"/>
    </row>
    <row r="29" spans="1:9">
      <c r="A29" s="2654" t="s">
        <v>2592</v>
      </c>
      <c r="B29" s="2653" t="s">
        <v>2593</v>
      </c>
      <c r="C29" s="2653"/>
      <c r="D29" s="2653"/>
      <c r="E29" s="2653" t="s">
        <v>2594</v>
      </c>
      <c r="F29" s="2653"/>
      <c r="G29" s="2653"/>
    </row>
    <row r="30" spans="1:9">
      <c r="A30" s="2652">
        <v>2</v>
      </c>
      <c r="B30" s="2653" t="s">
        <v>2595</v>
      </c>
      <c r="C30" s="2653">
        <f>C27*D30</f>
        <v>0</v>
      </c>
      <c r="D30" s="2655">
        <v>0.2</v>
      </c>
      <c r="E30" s="2653" t="s">
        <v>2596</v>
      </c>
      <c r="F30" s="2653"/>
      <c r="G30" s="2653"/>
    </row>
    <row r="31" spans="1:9">
      <c r="A31" s="2652">
        <v>3</v>
      </c>
      <c r="B31" s="2653" t="s">
        <v>2597</v>
      </c>
      <c r="C31" s="2653">
        <f>C25*D31</f>
        <v>0</v>
      </c>
      <c r="D31" s="2655">
        <v>0.15</v>
      </c>
      <c r="E31" s="2653" t="s">
        <v>2598</v>
      </c>
      <c r="F31" s="2653"/>
      <c r="G31" s="2653"/>
    </row>
    <row r="32" spans="1:9">
      <c r="A32" s="2652">
        <v>4</v>
      </c>
      <c r="B32" s="2653" t="s">
        <v>2599</v>
      </c>
      <c r="C32" s="2653">
        <f>C27*D32</f>
        <v>0</v>
      </c>
      <c r="D32" s="2655">
        <v>0.05</v>
      </c>
      <c r="E32" s="3574"/>
      <c r="F32" s="3574"/>
      <c r="G32" s="3574"/>
    </row>
    <row r="33" spans="1:7" hidden="1">
      <c r="A33" s="3584" t="s">
        <v>2600</v>
      </c>
      <c r="B33" s="3585"/>
      <c r="C33" s="3585"/>
      <c r="D33" s="3586"/>
      <c r="E33" s="3582"/>
      <c r="F33" s="3582"/>
      <c r="G33" s="3582"/>
    </row>
    <row r="34" spans="1:7" hidden="1">
      <c r="A34" s="2656">
        <v>1</v>
      </c>
      <c r="B34" s="2653" t="s">
        <v>2601</v>
      </c>
      <c r="C34" s="2653"/>
      <c r="D34" s="2653"/>
      <c r="E34" s="3583"/>
      <c r="F34" s="3583"/>
      <c r="G34" s="3583"/>
    </row>
    <row r="35" spans="1:7" hidden="1">
      <c r="A35" s="2656">
        <v>2</v>
      </c>
      <c r="B35" s="2653" t="s">
        <v>2602</v>
      </c>
      <c r="C35" s="2653"/>
      <c r="D35" s="2653"/>
      <c r="E35" s="3583"/>
      <c r="F35" s="3583"/>
      <c r="G35" s="3583"/>
    </row>
    <row r="36" spans="1:7" hidden="1">
      <c r="A36" s="2656">
        <v>3</v>
      </c>
      <c r="B36" s="2653" t="s">
        <v>2603</v>
      </c>
      <c r="C36" s="2653"/>
      <c r="D36" s="2653"/>
      <c r="E36" s="3583"/>
      <c r="F36" s="3583"/>
      <c r="G36" s="3583"/>
    </row>
    <row r="37" spans="1:7" hidden="1">
      <c r="A37" s="2656">
        <v>4</v>
      </c>
      <c r="B37" s="2653" t="s">
        <v>2604</v>
      </c>
      <c r="C37" s="2653"/>
      <c r="D37" s="2653"/>
      <c r="E37" s="3583"/>
      <c r="F37" s="3583"/>
      <c r="G37" s="3583"/>
    </row>
    <row r="38" spans="1:7" hidden="1">
      <c r="A38" s="3584" t="s">
        <v>2605</v>
      </c>
      <c r="B38" s="3585"/>
      <c r="C38" s="3585"/>
      <c r="D38" s="3586"/>
      <c r="E38" s="3582"/>
      <c r="F38" s="3582"/>
      <c r="G38" s="35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978</v>
      </c>
      <c r="B1" s="3092" t="s">
        <v>979</v>
      </c>
      <c r="C1" s="3093" t="s">
        <v>980</v>
      </c>
      <c r="D1" s="3094"/>
      <c r="E1" s="3095"/>
      <c r="F1" s="3096" t="s">
        <v>2696</v>
      </c>
      <c r="G1" s="3098" t="s">
        <v>981</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982</v>
      </c>
      <c r="B2" s="2835" t="e">
        <f ca="1">IF(C2="——",ROUND(C49*D3/10000,0),ROUND(C49*D3/10000,0)-D2)</f>
        <v>#DIV/0!</v>
      </c>
      <c r="C2" s="3088"/>
      <c r="D2" s="2715" t="e">
        <f ca="1">SUMIF(INDIRECT("'"&amp;F2&amp;"'"&amp;"!A:A"),"承租人权益价值",INDIRECT("'"&amp;F2&amp;"'"&amp;"!c:c"))</f>
        <v>#REF!</v>
      </c>
      <c r="E2" s="3089" t="s">
        <v>867</v>
      </c>
      <c r="F2" s="3090"/>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#DIV/0!</v>
      </c>
      <c r="C3" s="142" t="s">
        <v>984</v>
      </c>
      <c r="D3" s="741">
        <f>IF(D1="",'数据-汇总表'!E3,SUMIF('数据-汇总表'!$C19:$C33,D1,'数据-汇总表'!$E19:$E33))</f>
        <v>95896.06</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05" t="s">
        <v>986</v>
      </c>
      <c r="D4" s="3606"/>
      <c r="E4" s="3607" t="s">
        <v>987</v>
      </c>
      <c r="F4" s="3608"/>
      <c r="G4" s="3605" t="s">
        <v>988</v>
      </c>
      <c r="H4" s="3606"/>
      <c r="I4" s="3605" t="s">
        <v>989</v>
      </c>
      <c r="J4" s="3606"/>
      <c r="K4" s="145" t="s">
        <v>990</v>
      </c>
      <c r="L4" s="2286"/>
      <c r="M4" s="2287"/>
      <c r="N4" s="2287"/>
      <c r="O4" s="2287"/>
      <c r="P4" s="3609" t="s">
        <v>985</v>
      </c>
      <c r="Q4" s="3610"/>
      <c r="R4" s="3592" t="s">
        <v>987</v>
      </c>
      <c r="S4" s="3593"/>
      <c r="T4" s="3592" t="s">
        <v>988</v>
      </c>
      <c r="U4" s="3593"/>
      <c r="V4" s="3617" t="s">
        <v>989</v>
      </c>
      <c r="W4" s="3617"/>
      <c r="X4" s="1338"/>
      <c r="Y4" s="3592" t="s">
        <v>985</v>
      </c>
      <c r="Z4" s="3593"/>
      <c r="AA4" s="3587" t="s">
        <v>987</v>
      </c>
      <c r="AB4" s="3587" t="s">
        <v>988</v>
      </c>
      <c r="AC4" s="3587" t="s">
        <v>989</v>
      </c>
    </row>
    <row r="5" spans="1:29">
      <c r="A5" s="146"/>
      <c r="B5" s="147"/>
      <c r="C5" s="3598" t="s">
        <v>991</v>
      </c>
      <c r="D5" s="3599"/>
      <c r="E5" s="3596" t="s">
        <v>992</v>
      </c>
      <c r="F5" s="3597"/>
      <c r="G5" s="3598" t="s">
        <v>993</v>
      </c>
      <c r="H5" s="3599"/>
      <c r="I5" s="3598" t="s">
        <v>994</v>
      </c>
      <c r="J5" s="3599"/>
      <c r="K5" s="152"/>
      <c r="L5" s="2286"/>
      <c r="M5" s="2287"/>
      <c r="N5" s="2287"/>
      <c r="O5" s="2287"/>
      <c r="P5" s="3611"/>
      <c r="Q5" s="3612"/>
      <c r="R5" s="3594"/>
      <c r="S5" s="3595"/>
      <c r="T5" s="3594"/>
      <c r="U5" s="3595"/>
      <c r="V5" s="3617"/>
      <c r="W5" s="3617"/>
      <c r="X5" s="1338"/>
      <c r="Y5" s="3594"/>
      <c r="Z5" s="3595"/>
      <c r="AA5" s="3588"/>
      <c r="AB5" s="3588"/>
      <c r="AC5" s="3588"/>
    </row>
    <row r="6" spans="1:29" ht="14.25" thickBot="1">
      <c r="A6" s="148"/>
      <c r="B6" s="149"/>
      <c r="C6" s="3600" t="s">
        <v>995</v>
      </c>
      <c r="D6" s="3601"/>
      <c r="E6" s="3602" t="s">
        <v>995</v>
      </c>
      <c r="F6" s="3603"/>
      <c r="G6" s="3600" t="s">
        <v>995</v>
      </c>
      <c r="H6" s="3601"/>
      <c r="I6" s="3600" t="s">
        <v>995</v>
      </c>
      <c r="J6" s="3601"/>
      <c r="K6" s="152" t="s">
        <v>996</v>
      </c>
      <c r="L6" s="2286"/>
      <c r="M6" s="2287"/>
      <c r="N6" s="2287"/>
      <c r="O6" s="2287"/>
      <c r="P6" s="3613"/>
      <c r="Q6" s="3614"/>
      <c r="R6" s="3594"/>
      <c r="S6" s="3595"/>
      <c r="T6" s="3615"/>
      <c r="U6" s="3616"/>
      <c r="V6" s="3617"/>
      <c r="W6" s="3617"/>
      <c r="X6" s="1338"/>
      <c r="Y6" s="3615"/>
      <c r="Z6" s="3616"/>
      <c r="AA6" s="3589"/>
      <c r="AB6" s="3589"/>
      <c r="AC6" s="3589"/>
    </row>
    <row r="7" spans="1:29" s="40" customFormat="1" ht="15" thickBot="1">
      <c r="A7" s="1012" t="s">
        <v>997</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590" t="s">
        <v>997</v>
      </c>
      <c r="Q7" s="3618"/>
      <c r="R7" s="1340" t="s">
        <v>114</v>
      </c>
      <c r="S7" s="1341">
        <f t="shared" ref="S7:S15" si="0">F7</f>
        <v>0</v>
      </c>
      <c r="T7" s="1340" t="s">
        <v>114</v>
      </c>
      <c r="U7" s="1341">
        <f t="shared" ref="U7:U15" si="1">H7</f>
        <v>0</v>
      </c>
      <c r="V7" s="1340" t="s">
        <v>114</v>
      </c>
      <c r="W7" s="1341">
        <f t="shared" ref="W7:W15" si="2">J7</f>
        <v>0</v>
      </c>
      <c r="X7" s="287"/>
      <c r="Y7" s="3590" t="s">
        <v>997</v>
      </c>
      <c r="Z7" s="3591"/>
      <c r="AA7" s="1342" t="e">
        <f>D7/F7</f>
        <v>#DIV/0!</v>
      </c>
      <c r="AB7" s="1342" t="e">
        <f>D7/H7</f>
        <v>#DIV/0!</v>
      </c>
      <c r="AC7" s="1342" t="e">
        <f>D7/J7</f>
        <v>#DIV/0!</v>
      </c>
    </row>
    <row r="8" spans="1:29" s="40" customFormat="1" ht="15" thickBot="1">
      <c r="A8" s="1012" t="s">
        <v>998</v>
      </c>
      <c r="B8" s="1013"/>
      <c r="C8" s="1018" t="s">
        <v>154</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590" t="s">
        <v>998</v>
      </c>
      <c r="Q8" s="3591"/>
      <c r="R8" s="1340" t="s">
        <v>114</v>
      </c>
      <c r="S8" s="1341">
        <f t="shared" si="0"/>
        <v>0</v>
      </c>
      <c r="T8" s="1340" t="s">
        <v>114</v>
      </c>
      <c r="U8" s="1341">
        <f t="shared" si="1"/>
        <v>0</v>
      </c>
      <c r="V8" s="1340" t="s">
        <v>114</v>
      </c>
      <c r="W8" s="1341">
        <f t="shared" si="2"/>
        <v>0</v>
      </c>
      <c r="X8" s="287"/>
      <c r="Y8" s="3590" t="s">
        <v>998</v>
      </c>
      <c r="Z8" s="3591"/>
      <c r="AA8" s="1342" t="e">
        <f t="shared" ref="AA8:AA19" si="3">D8/F8</f>
        <v>#DIV/0!</v>
      </c>
      <c r="AB8" s="1342" t="e">
        <f t="shared" ref="AB8:AB19" si="4">D8/H8</f>
        <v>#DIV/0!</v>
      </c>
      <c r="AC8" s="1342" t="e">
        <f t="shared" ref="AC8:AC19" si="5">D8/J8</f>
        <v>#DIV/0!</v>
      </c>
    </row>
    <row r="9" spans="1:29" s="40" customFormat="1" ht="14.25">
      <c r="A9" s="1019" t="s">
        <v>999</v>
      </c>
      <c r="B9" s="62" t="s">
        <v>1000</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4"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4"/>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4"/>
      <c r="Q11" s="7" t="str">
        <f t="shared" si="6"/>
        <v>容积率</v>
      </c>
      <c r="R11" s="1340" t="s">
        <v>103</v>
      </c>
      <c r="S11" s="1341" t="e">
        <f t="shared" si="0"/>
        <v>#N/A</v>
      </c>
      <c r="T11" s="1340" t="s">
        <v>103</v>
      </c>
      <c r="U11" s="1341" t="e">
        <f t="shared" si="1"/>
        <v>#N/A</v>
      </c>
      <c r="V11" s="1340" t="s">
        <v>103</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4"/>
      <c r="Q12" s="7">
        <f t="shared" si="6"/>
        <v>111</v>
      </c>
      <c r="R12" s="1340" t="s">
        <v>103</v>
      </c>
      <c r="S12" s="1341">
        <f t="shared" si="0"/>
        <v>100</v>
      </c>
      <c r="T12" s="1340" t="s">
        <v>103</v>
      </c>
      <c r="U12" s="1341">
        <f t="shared" si="1"/>
        <v>100</v>
      </c>
      <c r="V12" s="1340" t="s">
        <v>103</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4"/>
      <c r="Q13" s="7">
        <f t="shared" si="6"/>
        <v>111</v>
      </c>
      <c r="R13" s="1340" t="s">
        <v>103</v>
      </c>
      <c r="S13" s="1341">
        <f t="shared" si="0"/>
        <v>100</v>
      </c>
      <c r="T13" s="1340" t="s">
        <v>103</v>
      </c>
      <c r="U13" s="1341">
        <f t="shared" si="1"/>
        <v>100</v>
      </c>
      <c r="V13" s="1340" t="s">
        <v>103</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4"/>
      <c r="Q14" s="7">
        <f t="shared" si="6"/>
        <v>111</v>
      </c>
      <c r="R14" s="1340" t="s">
        <v>103</v>
      </c>
      <c r="S14" s="1341">
        <f t="shared" si="0"/>
        <v>100</v>
      </c>
      <c r="T14" s="1340" t="s">
        <v>103</v>
      </c>
      <c r="U14" s="1341">
        <f t="shared" si="1"/>
        <v>100</v>
      </c>
      <c r="V14" s="1340" t="s">
        <v>103</v>
      </c>
      <c r="W14" s="1341">
        <f t="shared" si="2"/>
        <v>100</v>
      </c>
      <c r="X14" s="287"/>
      <c r="Y14" s="3428"/>
      <c r="Z14" s="288">
        <f t="shared" si="7"/>
        <v>111</v>
      </c>
      <c r="AA14" s="1342">
        <f t="shared" si="3"/>
        <v>1</v>
      </c>
      <c r="AB14" s="1342">
        <f t="shared" si="4"/>
        <v>1</v>
      </c>
      <c r="AC14" s="1342">
        <f t="shared" si="5"/>
        <v>1</v>
      </c>
    </row>
    <row r="15" spans="1:29" ht="94.5">
      <c r="A15" s="155" t="s">
        <v>68</v>
      </c>
      <c r="B15" s="58" t="s">
        <v>51</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31" t="s">
        <v>68</v>
      </c>
      <c r="Q15" s="1349" t="str">
        <f t="shared" si="6"/>
        <v>居住社区成熟度</v>
      </c>
      <c r="R15" s="1350" t="s">
        <v>103</v>
      </c>
      <c r="S15" s="1351">
        <f t="shared" si="0"/>
        <v>100</v>
      </c>
      <c r="T15" s="1350" t="s">
        <v>103</v>
      </c>
      <c r="U15" s="1351">
        <f t="shared" si="1"/>
        <v>100</v>
      </c>
      <c r="V15" s="1350" t="s">
        <v>103</v>
      </c>
      <c r="W15" s="1351">
        <f t="shared" si="2"/>
        <v>100</v>
      </c>
      <c r="X15" s="1338"/>
      <c r="Y15" s="3624" t="s">
        <v>68</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632"/>
      <c r="Q16" s="1349"/>
      <c r="R16" s="1350"/>
      <c r="S16" s="1351"/>
      <c r="T16" s="1350"/>
      <c r="U16" s="1351"/>
      <c r="V16" s="1350"/>
      <c r="W16" s="1351"/>
      <c r="X16" s="1338"/>
      <c r="Y16" s="3625"/>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32"/>
      <c r="Q17" s="1349" t="str">
        <f>B17</f>
        <v>交通便捷度</v>
      </c>
      <c r="R17" s="1350" t="s">
        <v>103</v>
      </c>
      <c r="S17" s="1351">
        <f>F17</f>
        <v>100</v>
      </c>
      <c r="T17" s="1350" t="s">
        <v>103</v>
      </c>
      <c r="U17" s="1351">
        <f>H17</f>
        <v>100</v>
      </c>
      <c r="V17" s="1350" t="s">
        <v>103</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632"/>
      <c r="Q18" s="1349"/>
      <c r="R18" s="1350"/>
      <c r="S18" s="1351"/>
      <c r="T18" s="1350"/>
      <c r="U18" s="1351"/>
      <c r="V18" s="1350"/>
      <c r="W18" s="1351"/>
      <c r="X18" s="1338"/>
      <c r="Y18" s="3625"/>
      <c r="Z18" s="1352"/>
      <c r="AA18" s="1353">
        <v>1</v>
      </c>
      <c r="AB18" s="1353">
        <v>1</v>
      </c>
      <c r="AC18" s="1353">
        <v>1</v>
      </c>
    </row>
    <row r="19" spans="1:29" ht="40.5">
      <c r="A19" s="151"/>
      <c r="B19" s="1354" t="s">
        <v>2632</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32"/>
      <c r="Q19" s="1349" t="str">
        <f>B19</f>
        <v>公共配套设施</v>
      </c>
      <c r="R19" s="1350" t="s">
        <v>103</v>
      </c>
      <c r="S19" s="1351">
        <f>F19</f>
        <v>100</v>
      </c>
      <c r="T19" s="1350" t="s">
        <v>103</v>
      </c>
      <c r="U19" s="1351">
        <f>H19</f>
        <v>100</v>
      </c>
      <c r="V19" s="1350" t="s">
        <v>103</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632"/>
      <c r="Q20" s="1349"/>
      <c r="R20" s="1350"/>
      <c r="S20" s="1351"/>
      <c r="T20" s="1350"/>
      <c r="U20" s="1351"/>
      <c r="V20" s="1350"/>
      <c r="W20" s="1351"/>
      <c r="X20" s="1338"/>
      <c r="Y20" s="3625"/>
      <c r="Z20" s="1352"/>
      <c r="AA20" s="1353">
        <v>1</v>
      </c>
      <c r="AB20" s="1353">
        <v>1</v>
      </c>
      <c r="AC20" s="1353">
        <v>1</v>
      </c>
    </row>
    <row r="21" spans="1:29" ht="27">
      <c r="A21" s="151"/>
      <c r="B21" s="1410" t="s">
        <v>2643</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632"/>
      <c r="Q22" s="2737"/>
      <c r="R22" s="1350"/>
      <c r="S22" s="1351"/>
      <c r="T22" s="1350"/>
      <c r="U22" s="1351"/>
      <c r="V22" s="1350"/>
      <c r="W22" s="1351"/>
      <c r="X22" s="2739"/>
      <c r="Y22" s="3625"/>
      <c r="Z22" s="2738"/>
      <c r="AA22" s="1353">
        <v>1</v>
      </c>
      <c r="AB22" s="1353">
        <v>1</v>
      </c>
      <c r="AC22" s="1353">
        <v>1</v>
      </c>
    </row>
    <row r="23" spans="1:29" ht="54">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32"/>
      <c r="Q23" s="1349" t="str">
        <f>B23</f>
        <v>自然及人文环境</v>
      </c>
      <c r="R23" s="1350" t="s">
        <v>103</v>
      </c>
      <c r="S23" s="1351">
        <f>F23</f>
        <v>100</v>
      </c>
      <c r="T23" s="1350" t="s">
        <v>103</v>
      </c>
      <c r="U23" s="1351">
        <f>H23</f>
        <v>100</v>
      </c>
      <c r="V23" s="1350" t="s">
        <v>103</v>
      </c>
      <c r="W23" s="1351">
        <f>J23</f>
        <v>100</v>
      </c>
      <c r="X23" s="1338"/>
      <c r="Y23" s="3625"/>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632"/>
      <c r="Q24" s="1349"/>
      <c r="R24" s="1350"/>
      <c r="S24" s="1351"/>
      <c r="T24" s="1350"/>
      <c r="U24" s="1351"/>
      <c r="V24" s="1350"/>
      <c r="W24" s="1351"/>
      <c r="X24" s="1338"/>
      <c r="Y24" s="3625"/>
      <c r="Z24" s="1352"/>
      <c r="AA24" s="1353">
        <v>1</v>
      </c>
      <c r="AB24" s="1353">
        <v>1</v>
      </c>
      <c r="AC24" s="1353">
        <v>1</v>
      </c>
    </row>
    <row r="25" spans="1:29" ht="15">
      <c r="A25" s="151"/>
      <c r="B25" s="12" t="s">
        <v>2293</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32"/>
      <c r="Q25" s="1349" t="str">
        <f t="shared" ref="Q25:Q46" si="11">B25</f>
        <v>楼层-1</v>
      </c>
      <c r="R25" s="1350" t="s">
        <v>103</v>
      </c>
      <c r="S25" s="1351">
        <f t="shared" ref="S25:S46" si="12">F25</f>
        <v>100</v>
      </c>
      <c r="T25" s="1350" t="s">
        <v>103</v>
      </c>
      <c r="U25" s="1351">
        <f t="shared" ref="U25:U46" si="13">H25</f>
        <v>100</v>
      </c>
      <c r="V25" s="1350" t="s">
        <v>103</v>
      </c>
      <c r="W25" s="1351">
        <f t="shared" ref="W25:W46" si="14">J25</f>
        <v>100</v>
      </c>
      <c r="X25" s="1338"/>
      <c r="Y25" s="3625"/>
      <c r="Z25" s="1352" t="str">
        <f>Q25</f>
        <v>楼层-1</v>
      </c>
      <c r="AA25" s="1353">
        <f t="shared" ref="AA25:AA46" si="15">D25/F25</f>
        <v>1</v>
      </c>
      <c r="AB25" s="1353">
        <f t="shared" ref="AB25:AB46" si="16">D25/H25</f>
        <v>1</v>
      </c>
      <c r="AC25" s="1353">
        <f t="shared" ref="AC25:AC46" si="17">D25/J25</f>
        <v>1</v>
      </c>
    </row>
    <row r="26" spans="1:29" ht="15">
      <c r="A26" s="151"/>
      <c r="B26" s="12"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32"/>
      <c r="Q26" s="1349" t="str">
        <f t="shared" si="11"/>
        <v>朝向</v>
      </c>
      <c r="R26" s="1350" t="s">
        <v>103</v>
      </c>
      <c r="S26" s="1351">
        <f t="shared" si="12"/>
        <v>100</v>
      </c>
      <c r="T26" s="1350" t="s">
        <v>103</v>
      </c>
      <c r="U26" s="1351">
        <f t="shared" si="13"/>
        <v>100</v>
      </c>
      <c r="V26" s="1350" t="s">
        <v>103</v>
      </c>
      <c r="W26" s="1351">
        <f t="shared" si="14"/>
        <v>100</v>
      </c>
      <c r="X26" s="1338"/>
      <c r="Y26" s="3625"/>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632"/>
      <c r="Q27" s="7">
        <f t="shared" si="11"/>
        <v>111</v>
      </c>
      <c r="R27" s="1340" t="s">
        <v>103</v>
      </c>
      <c r="S27" s="1341">
        <f t="shared" si="12"/>
        <v>100</v>
      </c>
      <c r="T27" s="1340" t="s">
        <v>103</v>
      </c>
      <c r="U27" s="1341">
        <f t="shared" si="13"/>
        <v>100</v>
      </c>
      <c r="V27" s="1340" t="s">
        <v>103</v>
      </c>
      <c r="W27" s="1341">
        <f t="shared" si="14"/>
        <v>100</v>
      </c>
      <c r="X27" s="287"/>
      <c r="Y27" s="3625"/>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32"/>
      <c r="Q28" s="1349">
        <f t="shared" si="11"/>
        <v>111</v>
      </c>
      <c r="R28" s="1350" t="s">
        <v>103</v>
      </c>
      <c r="S28" s="1351">
        <f t="shared" si="12"/>
        <v>100</v>
      </c>
      <c r="T28" s="1350" t="s">
        <v>103</v>
      </c>
      <c r="U28" s="1351">
        <f t="shared" si="13"/>
        <v>100</v>
      </c>
      <c r="V28" s="1350" t="s">
        <v>103</v>
      </c>
      <c r="W28" s="1351">
        <f t="shared" si="14"/>
        <v>100</v>
      </c>
      <c r="X28" s="1338"/>
      <c r="Y28" s="3625"/>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32"/>
      <c r="Q29" s="1349">
        <f t="shared" si="11"/>
        <v>111</v>
      </c>
      <c r="R29" s="1350" t="s">
        <v>103</v>
      </c>
      <c r="S29" s="1351">
        <f t="shared" si="12"/>
        <v>100</v>
      </c>
      <c r="T29" s="1350" t="s">
        <v>103</v>
      </c>
      <c r="U29" s="1351">
        <f t="shared" si="13"/>
        <v>100</v>
      </c>
      <c r="V29" s="1350" t="s">
        <v>103</v>
      </c>
      <c r="W29" s="1351">
        <f t="shared" si="14"/>
        <v>100</v>
      </c>
      <c r="X29" s="1338"/>
      <c r="Y29" s="3625"/>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32"/>
      <c r="Q30" s="1349">
        <f t="shared" si="11"/>
        <v>111</v>
      </c>
      <c r="R30" s="1350" t="s">
        <v>103</v>
      </c>
      <c r="S30" s="1351">
        <f t="shared" si="12"/>
        <v>100</v>
      </c>
      <c r="T30" s="1350" t="s">
        <v>103</v>
      </c>
      <c r="U30" s="1351">
        <f t="shared" si="13"/>
        <v>100</v>
      </c>
      <c r="V30" s="1350" t="s">
        <v>103</v>
      </c>
      <c r="W30" s="1351">
        <f t="shared" si="14"/>
        <v>100</v>
      </c>
      <c r="X30" s="1338"/>
      <c r="Y30" s="3625"/>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32"/>
      <c r="Q31" s="1349">
        <f t="shared" si="11"/>
        <v>111</v>
      </c>
      <c r="R31" s="1350" t="s">
        <v>103</v>
      </c>
      <c r="S31" s="1351">
        <f t="shared" si="12"/>
        <v>100</v>
      </c>
      <c r="T31" s="1350" t="s">
        <v>103</v>
      </c>
      <c r="U31" s="1351">
        <f t="shared" si="13"/>
        <v>100</v>
      </c>
      <c r="V31" s="1350" t="s">
        <v>103</v>
      </c>
      <c r="W31" s="1351">
        <f t="shared" si="14"/>
        <v>100</v>
      </c>
      <c r="X31" s="1338"/>
      <c r="Y31" s="3625"/>
      <c r="Z31" s="1352">
        <f t="shared" si="18"/>
        <v>111</v>
      </c>
      <c r="AA31" s="1353">
        <f t="shared" si="15"/>
        <v>1</v>
      </c>
      <c r="AB31" s="1353">
        <f t="shared" si="16"/>
        <v>1</v>
      </c>
      <c r="AC31" s="1353">
        <f t="shared" si="17"/>
        <v>1</v>
      </c>
    </row>
    <row r="32" spans="1:29" ht="15">
      <c r="A32" s="155" t="s">
        <v>1001</v>
      </c>
      <c r="B32" s="62" t="s">
        <v>74</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626" t="s">
        <v>69</v>
      </c>
      <c r="Q32" s="1349" t="str">
        <f t="shared" si="11"/>
        <v>建筑类型</v>
      </c>
      <c r="R32" s="1350" t="s">
        <v>103</v>
      </c>
      <c r="S32" s="1351">
        <f t="shared" si="12"/>
        <v>100</v>
      </c>
      <c r="T32" s="1350" t="s">
        <v>103</v>
      </c>
      <c r="U32" s="1351">
        <f t="shared" si="13"/>
        <v>100</v>
      </c>
      <c r="V32" s="1350" t="s">
        <v>103</v>
      </c>
      <c r="W32" s="1351">
        <f t="shared" si="14"/>
        <v>100</v>
      </c>
      <c r="X32" s="1338"/>
      <c r="Y32" s="3629" t="s">
        <v>69</v>
      </c>
      <c r="Z32" s="1352" t="str">
        <f t="shared" si="18"/>
        <v>建筑类型</v>
      </c>
      <c r="AA32" s="1353">
        <f t="shared" si="15"/>
        <v>1</v>
      </c>
      <c r="AB32" s="1353">
        <f t="shared" si="16"/>
        <v>1</v>
      </c>
      <c r="AC32" s="1353">
        <f t="shared" si="17"/>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627"/>
      <c r="Q33" s="1357" t="str">
        <f t="shared" si="11"/>
        <v>项目建筑规模</v>
      </c>
      <c r="R33" s="1358" t="s">
        <v>103</v>
      </c>
      <c r="S33" s="1359" t="e">
        <f t="shared" si="12"/>
        <v>#N/A</v>
      </c>
      <c r="T33" s="1358" t="s">
        <v>103</v>
      </c>
      <c r="U33" s="1359" t="e">
        <f t="shared" si="13"/>
        <v>#N/A</v>
      </c>
      <c r="V33" s="1358" t="s">
        <v>103</v>
      </c>
      <c r="W33" s="1359" t="e">
        <f t="shared" si="14"/>
        <v>#N/A</v>
      </c>
      <c r="X33" s="1360"/>
      <c r="Y33" s="3629"/>
      <c r="Z33" s="1361" t="str">
        <f t="shared" si="18"/>
        <v>项目建筑规模</v>
      </c>
      <c r="AA33" s="1353" t="e">
        <f t="shared" si="15"/>
        <v>#N/A</v>
      </c>
      <c r="AB33" s="1353" t="e">
        <f t="shared" si="16"/>
        <v>#N/A</v>
      </c>
      <c r="AC33" s="1353" t="e">
        <f t="shared" si="17"/>
        <v>#N/A</v>
      </c>
    </row>
    <row r="34" spans="1:29" ht="15">
      <c r="A34" s="161"/>
      <c r="B34" s="12" t="s">
        <v>76</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627"/>
      <c r="Q34" s="1349" t="str">
        <f t="shared" si="11"/>
        <v>建筑结构</v>
      </c>
      <c r="R34" s="1350" t="s">
        <v>103</v>
      </c>
      <c r="S34" s="1351">
        <f t="shared" si="12"/>
        <v>100</v>
      </c>
      <c r="T34" s="1350" t="s">
        <v>103</v>
      </c>
      <c r="U34" s="1351">
        <f t="shared" si="13"/>
        <v>100</v>
      </c>
      <c r="V34" s="1350" t="s">
        <v>103</v>
      </c>
      <c r="W34" s="1351">
        <f t="shared" si="14"/>
        <v>100</v>
      </c>
      <c r="X34" s="1338"/>
      <c r="Y34" s="3629"/>
      <c r="Z34" s="1352" t="str">
        <f t="shared" si="18"/>
        <v>建筑结构</v>
      </c>
      <c r="AA34" s="1353">
        <f t="shared" si="15"/>
        <v>1</v>
      </c>
      <c r="AB34" s="1353">
        <f t="shared" si="16"/>
        <v>1</v>
      </c>
      <c r="AC34" s="1353">
        <f t="shared" si="17"/>
        <v>1</v>
      </c>
    </row>
    <row r="35" spans="1:29" ht="15">
      <c r="A35" s="161"/>
      <c r="B35" s="12" t="s">
        <v>77</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627"/>
      <c r="Q35" s="1349" t="str">
        <f t="shared" si="11"/>
        <v>建筑品质</v>
      </c>
      <c r="R35" s="1350" t="s">
        <v>103</v>
      </c>
      <c r="S35" s="1351">
        <f t="shared" si="12"/>
        <v>100</v>
      </c>
      <c r="T35" s="1350" t="s">
        <v>103</v>
      </c>
      <c r="U35" s="1351">
        <f t="shared" si="13"/>
        <v>100</v>
      </c>
      <c r="V35" s="1350" t="s">
        <v>103</v>
      </c>
      <c r="W35" s="1351">
        <f t="shared" si="14"/>
        <v>100</v>
      </c>
      <c r="X35" s="1338"/>
      <c r="Y35" s="3629"/>
      <c r="Z35" s="1352" t="str">
        <f t="shared" si="18"/>
        <v>建筑品质</v>
      </c>
      <c r="AA35" s="1353">
        <f t="shared" si="15"/>
        <v>1</v>
      </c>
      <c r="AB35" s="1353">
        <f t="shared" si="16"/>
        <v>1</v>
      </c>
      <c r="AC35" s="1353">
        <f t="shared" si="17"/>
        <v>1</v>
      </c>
    </row>
    <row r="36" spans="1:29" ht="15">
      <c r="A36" s="161"/>
      <c r="B36" s="12" t="s">
        <v>78</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627"/>
      <c r="Q36" s="1349" t="str">
        <f t="shared" si="11"/>
        <v>公共部分装修</v>
      </c>
      <c r="R36" s="1350" t="s">
        <v>103</v>
      </c>
      <c r="S36" s="1351">
        <f t="shared" si="12"/>
        <v>100</v>
      </c>
      <c r="T36" s="1350" t="s">
        <v>103</v>
      </c>
      <c r="U36" s="1351">
        <f t="shared" si="13"/>
        <v>100</v>
      </c>
      <c r="V36" s="1350" t="s">
        <v>103</v>
      </c>
      <c r="W36" s="1351">
        <f t="shared" si="14"/>
        <v>100</v>
      </c>
      <c r="X36" s="1338"/>
      <c r="Y36" s="3629"/>
      <c r="Z36" s="1352" t="str">
        <f t="shared" si="18"/>
        <v>公共部分装修</v>
      </c>
      <c r="AA36" s="1353">
        <f t="shared" si="15"/>
        <v>1</v>
      </c>
      <c r="AB36" s="1353">
        <f t="shared" si="16"/>
        <v>1</v>
      </c>
      <c r="AC36" s="1353">
        <f t="shared" si="17"/>
        <v>1</v>
      </c>
    </row>
    <row r="37" spans="1:29" s="40" customFormat="1" ht="15">
      <c r="A37" s="1039"/>
      <c r="B37" s="12" t="s">
        <v>79</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627"/>
      <c r="Q37" s="7" t="str">
        <f t="shared" si="11"/>
        <v>成新度</v>
      </c>
      <c r="R37" s="1340" t="s">
        <v>103</v>
      </c>
      <c r="S37" s="1341" t="e">
        <f t="shared" si="12"/>
        <v>#N/A</v>
      </c>
      <c r="T37" s="1340" t="s">
        <v>103</v>
      </c>
      <c r="U37" s="1341" t="e">
        <f t="shared" si="13"/>
        <v>#N/A</v>
      </c>
      <c r="V37" s="1340" t="s">
        <v>103</v>
      </c>
      <c r="W37" s="1341" t="e">
        <f t="shared" si="14"/>
        <v>#N/A</v>
      </c>
      <c r="X37" s="287"/>
      <c r="Y37" s="3629"/>
      <c r="Z37" s="288" t="str">
        <f t="shared" si="18"/>
        <v>成新度</v>
      </c>
      <c r="AA37" s="1342" t="e">
        <f t="shared" si="15"/>
        <v>#N/A</v>
      </c>
      <c r="AB37" s="1342" t="e">
        <f t="shared" si="16"/>
        <v>#N/A</v>
      </c>
      <c r="AC37" s="1342" t="e">
        <f t="shared" si="17"/>
        <v>#N/A</v>
      </c>
    </row>
    <row r="38" spans="1:29" ht="15">
      <c r="A38" s="161"/>
      <c r="B38" s="12" t="s">
        <v>80</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627" t="s">
        <v>69</v>
      </c>
      <c r="Q38" s="1349" t="str">
        <f t="shared" si="11"/>
        <v>物业管理</v>
      </c>
      <c r="R38" s="1350" t="s">
        <v>103</v>
      </c>
      <c r="S38" s="1351">
        <f t="shared" si="12"/>
        <v>100</v>
      </c>
      <c r="T38" s="1350" t="s">
        <v>103</v>
      </c>
      <c r="U38" s="1351">
        <f t="shared" si="13"/>
        <v>100</v>
      </c>
      <c r="V38" s="1350" t="s">
        <v>103</v>
      </c>
      <c r="W38" s="1351">
        <f t="shared" si="14"/>
        <v>100</v>
      </c>
      <c r="X38" s="1338"/>
      <c r="Y38" s="3629" t="s">
        <v>69</v>
      </c>
      <c r="Z38" s="1352" t="str">
        <f t="shared" si="18"/>
        <v>物业管理</v>
      </c>
      <c r="AA38" s="1353">
        <f t="shared" si="15"/>
        <v>1</v>
      </c>
      <c r="AB38" s="1353">
        <f t="shared" si="16"/>
        <v>1</v>
      </c>
      <c r="AC38" s="1353">
        <f t="shared" si="17"/>
        <v>1</v>
      </c>
    </row>
    <row r="39" spans="1:29" ht="15">
      <c r="A39" s="161"/>
      <c r="B39" s="12" t="s">
        <v>2644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27"/>
      <c r="Q39" s="1349" t="str">
        <f t="shared" si="11"/>
        <v>市政基础设施</v>
      </c>
      <c r="R39" s="1350" t="s">
        <v>103</v>
      </c>
      <c r="S39" s="1351">
        <f t="shared" si="12"/>
        <v>100</v>
      </c>
      <c r="T39" s="1350" t="s">
        <v>103</v>
      </c>
      <c r="U39" s="1351">
        <f t="shared" si="13"/>
        <v>100</v>
      </c>
      <c r="V39" s="1350" t="s">
        <v>103</v>
      </c>
      <c r="W39" s="1351">
        <f t="shared" si="14"/>
        <v>100</v>
      </c>
      <c r="X39" s="1338"/>
      <c r="Y39" s="3629"/>
      <c r="Z39" s="1352" t="str">
        <f t="shared" si="18"/>
        <v>市政基础设施</v>
      </c>
      <c r="AA39" s="1353">
        <f t="shared" si="15"/>
        <v>1</v>
      </c>
      <c r="AB39" s="1353">
        <f t="shared" si="16"/>
        <v>1</v>
      </c>
      <c r="AC39" s="1353">
        <f t="shared" si="17"/>
        <v>1</v>
      </c>
    </row>
    <row r="40" spans="1:29" ht="15">
      <c r="A40" s="161"/>
      <c r="B40" s="12"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27"/>
      <c r="Q40" s="1349" t="str">
        <f t="shared" si="11"/>
        <v>房型</v>
      </c>
      <c r="R40" s="1350" t="s">
        <v>103</v>
      </c>
      <c r="S40" s="1351">
        <f t="shared" si="12"/>
        <v>100</v>
      </c>
      <c r="T40" s="1350" t="s">
        <v>103</v>
      </c>
      <c r="U40" s="1351">
        <f t="shared" si="13"/>
        <v>100</v>
      </c>
      <c r="V40" s="1350" t="s">
        <v>103</v>
      </c>
      <c r="W40" s="1351">
        <f t="shared" si="14"/>
        <v>100</v>
      </c>
      <c r="X40" s="1338"/>
      <c r="Y40" s="3629"/>
      <c r="Z40" s="1352" t="str">
        <f t="shared" si="18"/>
        <v>房型</v>
      </c>
      <c r="AA40" s="1353">
        <f t="shared" si="15"/>
        <v>1</v>
      </c>
      <c r="AB40" s="1353">
        <f t="shared" si="16"/>
        <v>1</v>
      </c>
      <c r="AC40" s="1353">
        <f t="shared" si="17"/>
        <v>1</v>
      </c>
    </row>
    <row r="41" spans="1:29" s="1037" customFormat="1" ht="27">
      <c r="A41" s="1041"/>
      <c r="B41" s="12" t="s">
        <v>104</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627"/>
      <c r="Q41" s="1357" t="str">
        <f t="shared" si="11"/>
        <v>单套/主力户型建筑面积</v>
      </c>
      <c r="R41" s="1358" t="s">
        <v>103</v>
      </c>
      <c r="S41" s="1359">
        <f t="shared" si="12"/>
        <v>100</v>
      </c>
      <c r="T41" s="1358" t="s">
        <v>103</v>
      </c>
      <c r="U41" s="1359">
        <f t="shared" si="13"/>
        <v>100</v>
      </c>
      <c r="V41" s="1358" t="s">
        <v>103</v>
      </c>
      <c r="W41" s="1359">
        <f t="shared" si="14"/>
        <v>100</v>
      </c>
      <c r="X41" s="1360"/>
      <c r="Y41" s="3629"/>
      <c r="Z41" s="1361" t="str">
        <f t="shared" si="18"/>
        <v>单套/主力户型建筑面积</v>
      </c>
      <c r="AA41" s="1353">
        <f t="shared" si="15"/>
        <v>1</v>
      </c>
      <c r="AB41" s="1353">
        <f t="shared" si="16"/>
        <v>1</v>
      </c>
      <c r="AC41" s="1353">
        <f t="shared" si="17"/>
        <v>1</v>
      </c>
    </row>
    <row r="42" spans="1:29" ht="15">
      <c r="A42" s="161"/>
      <c r="B42" s="12" t="s">
        <v>82</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627"/>
      <c r="Q42" s="1349" t="str">
        <f t="shared" si="11"/>
        <v>内部装修</v>
      </c>
      <c r="R42" s="1350" t="s">
        <v>103</v>
      </c>
      <c r="S42" s="1351">
        <f t="shared" si="12"/>
        <v>100</v>
      </c>
      <c r="T42" s="1350" t="s">
        <v>103</v>
      </c>
      <c r="U42" s="1351">
        <f t="shared" si="13"/>
        <v>100</v>
      </c>
      <c r="V42" s="1350" t="s">
        <v>103</v>
      </c>
      <c r="W42" s="1351">
        <f t="shared" si="14"/>
        <v>100</v>
      </c>
      <c r="X42" s="1338"/>
      <c r="Y42" s="3629"/>
      <c r="Z42" s="1352" t="str">
        <f t="shared" si="18"/>
        <v>内部装修</v>
      </c>
      <c r="AA42" s="1353">
        <f t="shared" si="15"/>
        <v>1</v>
      </c>
      <c r="AB42" s="1353">
        <f t="shared" si="16"/>
        <v>1</v>
      </c>
      <c r="AC42" s="1353">
        <f t="shared" si="17"/>
        <v>1</v>
      </c>
    </row>
    <row r="43" spans="1:29" ht="27">
      <c r="A43" s="161"/>
      <c r="B43" s="12"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27"/>
      <c r="Q43" s="1349" t="str">
        <f t="shared" si="11"/>
        <v>内部装修维护情况</v>
      </c>
      <c r="R43" s="1350" t="s">
        <v>103</v>
      </c>
      <c r="S43" s="1351">
        <f t="shared" si="12"/>
        <v>100</v>
      </c>
      <c r="T43" s="1350" t="s">
        <v>103</v>
      </c>
      <c r="U43" s="1351">
        <f t="shared" si="13"/>
        <v>100</v>
      </c>
      <c r="V43" s="1350" t="s">
        <v>103</v>
      </c>
      <c r="W43" s="1351">
        <f t="shared" si="14"/>
        <v>100</v>
      </c>
      <c r="X43" s="1338"/>
      <c r="Y43" s="3629"/>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27"/>
      <c r="Q44" s="7">
        <f t="shared" si="11"/>
        <v>111</v>
      </c>
      <c r="R44" s="1340" t="s">
        <v>103</v>
      </c>
      <c r="S44" s="1341">
        <f t="shared" si="12"/>
        <v>100</v>
      </c>
      <c r="T44" s="1340" t="s">
        <v>103</v>
      </c>
      <c r="U44" s="1341">
        <f t="shared" si="13"/>
        <v>100</v>
      </c>
      <c r="V44" s="1340" t="s">
        <v>103</v>
      </c>
      <c r="W44" s="1341">
        <f t="shared" si="14"/>
        <v>100</v>
      </c>
      <c r="X44" s="287"/>
      <c r="Y44" s="3629"/>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27"/>
      <c r="Q45" s="1349">
        <f t="shared" si="11"/>
        <v>111</v>
      </c>
      <c r="R45" s="1350" t="s">
        <v>103</v>
      </c>
      <c r="S45" s="1351">
        <f t="shared" si="12"/>
        <v>100</v>
      </c>
      <c r="T45" s="1350" t="s">
        <v>103</v>
      </c>
      <c r="U45" s="1351">
        <f t="shared" si="13"/>
        <v>100</v>
      </c>
      <c r="V45" s="1350" t="s">
        <v>103</v>
      </c>
      <c r="W45" s="1351">
        <f t="shared" si="14"/>
        <v>100</v>
      </c>
      <c r="X45" s="1338"/>
      <c r="Y45" s="3629"/>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28"/>
      <c r="Q46" s="1349">
        <f t="shared" si="11"/>
        <v>111</v>
      </c>
      <c r="R46" s="1350" t="s">
        <v>102</v>
      </c>
      <c r="S46" s="1351">
        <f t="shared" si="12"/>
        <v>100</v>
      </c>
      <c r="T46" s="1350" t="s">
        <v>102</v>
      </c>
      <c r="U46" s="1351">
        <f t="shared" si="13"/>
        <v>100</v>
      </c>
      <c r="V46" s="1350" t="s">
        <v>102</v>
      </c>
      <c r="W46" s="1351">
        <f t="shared" si="14"/>
        <v>100</v>
      </c>
      <c r="X46" s="1338"/>
      <c r="Y46" s="3630"/>
      <c r="Z46" s="1352">
        <f t="shared" si="18"/>
        <v>111</v>
      </c>
      <c r="AA46" s="1353">
        <f t="shared" si="15"/>
        <v>1</v>
      </c>
      <c r="AB46" s="1353">
        <f t="shared" si="16"/>
        <v>1</v>
      </c>
      <c r="AC46" s="1353">
        <f t="shared" si="17"/>
        <v>1</v>
      </c>
    </row>
    <row r="47" spans="1:29" ht="15">
      <c r="A47" s="163" t="s">
        <v>101</v>
      </c>
      <c r="B47" s="164"/>
      <c r="C47" s="2824" t="s">
        <v>100</v>
      </c>
      <c r="D47" s="2825"/>
      <c r="E47" s="2826"/>
      <c r="F47" s="2827"/>
      <c r="G47" s="2828"/>
      <c r="H47" s="2829"/>
      <c r="I47" s="2826"/>
      <c r="J47" s="2829"/>
      <c r="K47" s="1362"/>
      <c r="L47" s="2294"/>
      <c r="M47" s="2295"/>
      <c r="N47" s="2287"/>
      <c r="O47" s="2295"/>
      <c r="P47" s="3622" t="str">
        <f>A47</f>
        <v>成交单价（元/平方米）</v>
      </c>
      <c r="Q47" s="3622"/>
      <c r="R47" s="3623">
        <f>E47</f>
        <v>0</v>
      </c>
      <c r="S47" s="3623"/>
      <c r="T47" s="3623">
        <f>G47</f>
        <v>0</v>
      </c>
      <c r="U47" s="3623"/>
      <c r="V47" s="3623">
        <f>I47</f>
        <v>0</v>
      </c>
      <c r="W47" s="3623"/>
      <c r="X47" s="1363"/>
      <c r="Y47" s="1364"/>
      <c r="Z47" s="1363"/>
      <c r="AA47" s="1363"/>
      <c r="AB47" s="1363"/>
      <c r="AC47" s="1363"/>
    </row>
    <row r="48" spans="1:29" ht="15.75" thickBot="1">
      <c r="A48" s="165" t="s">
        <v>99</v>
      </c>
      <c r="B48" s="166"/>
      <c r="C48" s="2830" t="e">
        <f>R49</f>
        <v>#DIV/0!</v>
      </c>
      <c r="D48" s="2831"/>
      <c r="E48" s="2832" t="e">
        <f>R48</f>
        <v>#DIV/0!</v>
      </c>
      <c r="F48" s="2832"/>
      <c r="G48" s="2830" t="e">
        <f>T48</f>
        <v>#DIV/0!</v>
      </c>
      <c r="H48" s="2831"/>
      <c r="I48" s="2832" t="e">
        <f>V48</f>
        <v>#DIV/0!</v>
      </c>
      <c r="J48" s="2831"/>
      <c r="K48" s="1365"/>
      <c r="L48" s="2294"/>
      <c r="M48" s="2295"/>
      <c r="N48" s="2295"/>
      <c r="O48" s="2295"/>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3"/>
      <c r="Y48" s="1363"/>
      <c r="Z48" s="1363"/>
      <c r="AA48" s="1363"/>
      <c r="AB48" s="1363"/>
      <c r="AC48" s="1363"/>
    </row>
    <row r="49" spans="1:29" ht="15.75" thickBot="1">
      <c r="A49" s="115" t="s">
        <v>3017</v>
      </c>
      <c r="B49" s="116"/>
      <c r="C49" s="2833" t="e">
        <f>R49</f>
        <v>#DIV/0!</v>
      </c>
      <c r="D49" s="2834"/>
      <c r="E49" s="2834"/>
      <c r="F49" s="2834"/>
      <c r="G49" s="2834"/>
      <c r="H49" s="2834"/>
      <c r="I49" s="2834"/>
      <c r="J49" s="2834"/>
      <c r="K49" s="1366"/>
      <c r="L49" s="2294"/>
      <c r="M49" s="2295"/>
      <c r="N49" s="2295"/>
      <c r="O49" s="2295"/>
      <c r="P49" s="3619" t="str">
        <f>A49</f>
        <v>估价对象XX用房的比较价值（楼面单价，元/平方米）</v>
      </c>
      <c r="Q49" s="3620"/>
      <c r="R49" s="3621" t="e">
        <f>IF(F1="售价",ROUND(AVERAGE(R48:V48),0),ROUND(AVERAGE(R48:V48),1))</f>
        <v>#DIV/0!</v>
      </c>
      <c r="S49" s="3621"/>
      <c r="T49" s="3621"/>
      <c r="U49" s="3621"/>
      <c r="V49" s="3621"/>
      <c r="W49" s="3621"/>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49" customFormat="1" ht="15">
      <c r="A58" s="846" t="s">
        <v>2796</v>
      </c>
      <c r="B58" s="847"/>
      <c r="C58" s="3034" t="str">
        <f>YEAR(C7)&amp;"-"&amp;MONTH(C7)</f>
        <v>2017-9</v>
      </c>
      <c r="D58" s="3033">
        <f>EDATE(C58,-1)</f>
        <v>42948</v>
      </c>
      <c r="E58" s="3033">
        <f>EDATE(D58,-1)</f>
        <v>42917</v>
      </c>
      <c r="F58" s="3033">
        <f t="shared" ref="F58:O58" si="19">EDATE(E58,-1)</f>
        <v>42887</v>
      </c>
      <c r="G58" s="3033">
        <f t="shared" si="19"/>
        <v>42856</v>
      </c>
      <c r="H58" s="3033">
        <f t="shared" si="19"/>
        <v>42826</v>
      </c>
      <c r="I58" s="3033">
        <f t="shared" si="19"/>
        <v>42795</v>
      </c>
      <c r="J58" s="3033">
        <f t="shared" si="19"/>
        <v>42767</v>
      </c>
      <c r="K58" s="3033">
        <f t="shared" si="19"/>
        <v>42736</v>
      </c>
      <c r="L58" s="3033">
        <f t="shared" si="19"/>
        <v>42705</v>
      </c>
      <c r="M58" s="3033">
        <f t="shared" si="19"/>
        <v>42675</v>
      </c>
      <c r="N58" s="3033">
        <f t="shared" si="19"/>
        <v>42644</v>
      </c>
      <c r="O58" s="3033">
        <f t="shared" si="19"/>
        <v>42614</v>
      </c>
      <c r="P58" s="3026"/>
    </row>
    <row r="59" spans="1:29" s="40" customFormat="1" ht="14.25">
      <c r="A59" s="1043"/>
      <c r="B59" s="3029"/>
      <c r="C59" s="3030">
        <v>100</v>
      </c>
      <c r="D59" s="852"/>
      <c r="E59" s="853"/>
      <c r="F59" s="853"/>
      <c r="G59" s="853"/>
      <c r="H59" s="853"/>
      <c r="I59" s="853"/>
      <c r="J59" s="853"/>
      <c r="K59" s="853"/>
      <c r="L59" s="853"/>
      <c r="M59" s="854"/>
      <c r="N59" s="853"/>
      <c r="O59" s="854"/>
      <c r="P59" s="1375"/>
    </row>
    <row r="60" spans="1:29" s="40" customFormat="1" ht="15" thickBot="1">
      <c r="A60" s="1045" t="s">
        <v>117</v>
      </c>
      <c r="B60" s="1046"/>
      <c r="C60" s="858"/>
      <c r="D60" s="859"/>
      <c r="E60" s="859"/>
      <c r="F60" s="859"/>
      <c r="G60" s="859"/>
      <c r="H60" s="859"/>
      <c r="I60" s="859"/>
      <c r="J60" s="859"/>
      <c r="K60" s="859"/>
      <c r="L60" s="859"/>
      <c r="M60" s="860"/>
      <c r="N60" s="859"/>
      <c r="O60" s="860"/>
      <c r="P60" s="1375"/>
      <c r="Q60" s="121"/>
    </row>
    <row r="61" spans="1:29" s="40" customFormat="1">
      <c r="A61" s="1047" t="s">
        <v>65</v>
      </c>
      <c r="B61" s="1044"/>
      <c r="C61" s="1048" t="s">
        <v>115</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66</v>
      </c>
      <c r="B63" s="286" t="s">
        <v>67</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105</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92</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68</v>
      </c>
      <c r="B76" s="286" t="s">
        <v>109</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91</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1015</v>
      </c>
      <c r="D80" s="919" t="s">
        <v>1016</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2646</v>
      </c>
      <c r="C82" s="177" t="s">
        <v>2647</v>
      </c>
      <c r="D82" s="177" t="s">
        <v>2651</v>
      </c>
      <c r="E82" s="177" t="s">
        <v>2648</v>
      </c>
      <c r="F82" s="177" t="s">
        <v>2649</v>
      </c>
      <c r="G82" s="177" t="s">
        <v>2650</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97</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96</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69</v>
      </c>
      <c r="B100" s="286" t="s">
        <v>122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95</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110</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123</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111</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124</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112</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104</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93</v>
      </c>
      <c r="C124" s="919" t="s">
        <v>421</v>
      </c>
      <c r="D124" s="919" t="s">
        <v>422</v>
      </c>
      <c r="E124" s="919" t="s">
        <v>423</v>
      </c>
      <c r="F124" s="919" t="s">
        <v>424</v>
      </c>
      <c r="G124" s="919" t="s">
        <v>425</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2295</v>
      </c>
    </row>
    <row r="137" spans="1:17" ht="14.25">
      <c r="B137" s="2135" t="s">
        <v>2296</v>
      </c>
      <c r="C137" s="2136"/>
      <c r="D137" s="2136"/>
      <c r="E137" s="2136"/>
      <c r="F137" s="2136"/>
      <c r="G137" s="2137"/>
      <c r="H137" s="2138"/>
      <c r="I137" s="2139" t="s">
        <v>2297</v>
      </c>
      <c r="J137" s="2136"/>
      <c r="K137" s="2140"/>
    </row>
    <row r="138" spans="1:17" ht="14.25">
      <c r="B138" s="2141"/>
      <c r="C138" s="1770" t="s">
        <v>2298</v>
      </c>
      <c r="D138" s="1770" t="s">
        <v>2299</v>
      </c>
      <c r="E138" s="2142" t="s">
        <v>2300</v>
      </c>
      <c r="F138" s="2143" t="s">
        <v>2301</v>
      </c>
      <c r="G138" s="1770" t="s">
        <v>2299</v>
      </c>
      <c r="H138" s="2144" t="s">
        <v>2300</v>
      </c>
      <c r="I138" s="2145"/>
      <c r="J138" s="1770" t="s">
        <v>2302</v>
      </c>
      <c r="K138" s="2144" t="s">
        <v>2303</v>
      </c>
    </row>
    <row r="139" spans="1:17" ht="15">
      <c r="B139" s="2146">
        <v>6</v>
      </c>
      <c r="C139" s="2147">
        <v>96</v>
      </c>
      <c r="D139" s="2148" t="s">
        <v>2304</v>
      </c>
      <c r="E139" s="2149">
        <v>100</v>
      </c>
      <c r="F139" s="2150">
        <v>102.5</v>
      </c>
      <c r="G139" s="2148" t="s">
        <v>2304</v>
      </c>
      <c r="H139" s="2151">
        <v>105</v>
      </c>
      <c r="I139" s="2152" t="s">
        <v>2305</v>
      </c>
      <c r="J139" s="2147">
        <v>20</v>
      </c>
      <c r="K139" s="2153">
        <f>C145/(J139-2)</f>
        <v>4.0555555555555553E-3</v>
      </c>
    </row>
    <row r="140" spans="1:17" ht="15">
      <c r="B140" s="2154">
        <v>5</v>
      </c>
      <c r="C140" s="2155">
        <v>100</v>
      </c>
      <c r="D140" s="2156"/>
      <c r="E140" s="2157"/>
      <c r="F140" s="2158">
        <v>102</v>
      </c>
      <c r="G140" s="2156"/>
      <c r="H140" s="2159"/>
      <c r="I140" s="2160" t="s">
        <v>2306</v>
      </c>
      <c r="J140" s="646">
        <f>ROUNDUP((J139-1)/2,0)</f>
        <v>10</v>
      </c>
      <c r="K140" s="2161">
        <v>100</v>
      </c>
    </row>
    <row r="141" spans="1:17" ht="15">
      <c r="B141" s="2154">
        <v>4</v>
      </c>
      <c r="C141" s="2155">
        <v>102</v>
      </c>
      <c r="D141" s="2156"/>
      <c r="E141" s="2157"/>
      <c r="F141" s="2158">
        <v>101.5</v>
      </c>
      <c r="G141" s="2156"/>
      <c r="H141" s="2159"/>
      <c r="I141" s="2160" t="s">
        <v>2307</v>
      </c>
      <c r="J141" s="646">
        <v>1</v>
      </c>
      <c r="K141" s="2162">
        <f>ROUND(100+(J141-J140)*K139*100,1)</f>
        <v>96.4</v>
      </c>
    </row>
    <row r="142" spans="1:17" ht="15">
      <c r="B142" s="2154">
        <v>3</v>
      </c>
      <c r="C142" s="2155">
        <v>103</v>
      </c>
      <c r="D142" s="2156"/>
      <c r="E142" s="2157"/>
      <c r="F142" s="2158">
        <v>101</v>
      </c>
      <c r="G142" s="2156"/>
      <c r="H142" s="2159"/>
      <c r="I142" s="2160" t="s">
        <v>2308</v>
      </c>
      <c r="J142" s="646">
        <f>J139</f>
        <v>20</v>
      </c>
      <c r="K142" s="2163">
        <v>95</v>
      </c>
    </row>
    <row r="143" spans="1:17" ht="15">
      <c r="B143" s="2154">
        <v>2</v>
      </c>
      <c r="C143" s="2155">
        <v>100</v>
      </c>
      <c r="D143" s="2156"/>
      <c r="E143" s="2157"/>
      <c r="F143" s="2158">
        <v>100.5</v>
      </c>
      <c r="G143" s="2156"/>
      <c r="H143" s="2159"/>
      <c r="I143" s="2160" t="s">
        <v>2309</v>
      </c>
      <c r="J143" s="2155">
        <v>15</v>
      </c>
      <c r="K143" s="2162">
        <f>ROUND(100+(J143-J140)*K139*100,1)</f>
        <v>102</v>
      </c>
    </row>
    <row r="144" spans="1:17" ht="15">
      <c r="B144" s="2154">
        <v>1</v>
      </c>
      <c r="C144" s="2155">
        <v>98</v>
      </c>
      <c r="D144" s="1158" t="s">
        <v>2310</v>
      </c>
      <c r="E144" s="2157">
        <v>102</v>
      </c>
      <c r="F144" s="2164">
        <v>100</v>
      </c>
      <c r="G144" s="1158" t="s">
        <v>2310</v>
      </c>
      <c r="H144" s="2159">
        <v>105</v>
      </c>
      <c r="I144" s="2160" t="s">
        <v>2309</v>
      </c>
      <c r="J144" s="2155">
        <v>18</v>
      </c>
      <c r="K144" s="2162">
        <f>ROUND(100+(J144-J140)*K139*100,1)</f>
        <v>103.2</v>
      </c>
    </row>
    <row r="145" spans="2:11" ht="15.75" thickBot="1">
      <c r="B145" s="2165" t="s">
        <v>2311</v>
      </c>
      <c r="C145" s="2166">
        <f>ROUND(MAX(C139:C144)/MIN(C139:C144)-1,3)</f>
        <v>7.2999999999999995E-2</v>
      </c>
      <c r="D145" s="2167"/>
      <c r="E145" s="2168"/>
      <c r="F145" s="2169" t="s">
        <v>2312</v>
      </c>
      <c r="G145" s="2170"/>
      <c r="H145" s="2171"/>
      <c r="I145" s="2172" t="s">
        <v>2313</v>
      </c>
      <c r="J145" s="2173">
        <v>8</v>
      </c>
      <c r="K145" s="2174">
        <f>ROUND(100+(J145-J140)*K139*100,1)</f>
        <v>99.2</v>
      </c>
    </row>
    <row r="147" spans="2:11">
      <c r="B147" s="2134" t="s">
        <v>2321</v>
      </c>
    </row>
    <row r="148" spans="2:11">
      <c r="B148" s="2134"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107</v>
      </c>
      <c r="B1" s="3092" t="s">
        <v>1</v>
      </c>
      <c r="C1" s="3093" t="s">
        <v>127</v>
      </c>
      <c r="D1" s="3094"/>
      <c r="E1" s="3097"/>
      <c r="F1" s="3096"/>
      <c r="G1" s="3098" t="s">
        <v>128</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171</v>
      </c>
      <c r="B2" s="2835" t="e">
        <f ca="1">IF(C2="——",ROUND(C49*D3/10000,0),ROUND(C49*D3/10000,0)-D2)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172</v>
      </c>
      <c r="B3" s="950" t="e">
        <f ca="1">IF(C2="——",C49,ROUND(B2*10000/D3,0))</f>
        <v>#DIV/0!</v>
      </c>
      <c r="C3" s="142" t="s">
        <v>166</v>
      </c>
      <c r="D3" s="741">
        <f>IF(D1="",'数据-汇总表'!E3,SUMIF('数据-汇总表'!$C19:$C33,D1,'数据-汇总表'!$E19:$E33))</f>
        <v>95896.06</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52</v>
      </c>
      <c r="B4" s="144"/>
      <c r="C4" s="3605" t="s">
        <v>53</v>
      </c>
      <c r="D4" s="3606"/>
      <c r="E4" s="3607" t="s">
        <v>54</v>
      </c>
      <c r="F4" s="3608"/>
      <c r="G4" s="3605" t="s">
        <v>55</v>
      </c>
      <c r="H4" s="3606"/>
      <c r="I4" s="3605" t="s">
        <v>56</v>
      </c>
      <c r="J4" s="3606"/>
      <c r="K4" s="187" t="s">
        <v>57</v>
      </c>
      <c r="L4" s="2286"/>
      <c r="M4" s="2287"/>
      <c r="N4" s="2287"/>
      <c r="O4" s="2287"/>
      <c r="P4" s="3609" t="s">
        <v>52</v>
      </c>
      <c r="Q4" s="3610"/>
      <c r="R4" s="3592" t="s">
        <v>54</v>
      </c>
      <c r="S4" s="3593"/>
      <c r="T4" s="3592" t="s">
        <v>55</v>
      </c>
      <c r="U4" s="3593"/>
      <c r="V4" s="3617" t="s">
        <v>56</v>
      </c>
      <c r="W4" s="3617"/>
      <c r="X4" s="1338"/>
      <c r="Y4" s="3592" t="s">
        <v>52</v>
      </c>
      <c r="Z4" s="3593"/>
      <c r="AA4" s="3587" t="s">
        <v>54</v>
      </c>
      <c r="AB4" s="3617" t="s">
        <v>55</v>
      </c>
      <c r="AC4" s="3587" t="s">
        <v>56</v>
      </c>
    </row>
    <row r="5" spans="1:29">
      <c r="A5" s="146"/>
      <c r="B5" s="147"/>
      <c r="C5" s="3598" t="s">
        <v>58</v>
      </c>
      <c r="D5" s="3599"/>
      <c r="E5" s="3596" t="s">
        <v>59</v>
      </c>
      <c r="F5" s="3597"/>
      <c r="G5" s="3598" t="s">
        <v>60</v>
      </c>
      <c r="H5" s="3599"/>
      <c r="I5" s="3598" t="s">
        <v>61</v>
      </c>
      <c r="J5" s="3599"/>
      <c r="K5" s="187"/>
      <c r="L5" s="2286"/>
      <c r="M5" s="2287"/>
      <c r="N5" s="2287"/>
      <c r="O5" s="2287"/>
      <c r="P5" s="3611"/>
      <c r="Q5" s="3612"/>
      <c r="R5" s="3594"/>
      <c r="S5" s="3595"/>
      <c r="T5" s="3594"/>
      <c r="U5" s="3595"/>
      <c r="V5" s="3617"/>
      <c r="W5" s="3617"/>
      <c r="X5" s="1338"/>
      <c r="Y5" s="3594"/>
      <c r="Z5" s="3595"/>
      <c r="AA5" s="3588"/>
      <c r="AB5" s="3617"/>
      <c r="AC5" s="3588"/>
    </row>
    <row r="6" spans="1:29" ht="14.25" thickBot="1">
      <c r="A6" s="148"/>
      <c r="B6" s="149"/>
      <c r="C6" s="3600" t="s">
        <v>62</v>
      </c>
      <c r="D6" s="3601"/>
      <c r="E6" s="3602" t="s">
        <v>62</v>
      </c>
      <c r="F6" s="3603"/>
      <c r="G6" s="3600" t="s">
        <v>62</v>
      </c>
      <c r="H6" s="3601"/>
      <c r="I6" s="3600" t="s">
        <v>62</v>
      </c>
      <c r="J6" s="3601"/>
      <c r="K6" s="187" t="s">
        <v>116</v>
      </c>
      <c r="L6" s="2286"/>
      <c r="M6" s="2287"/>
      <c r="N6" s="2287"/>
      <c r="O6" s="2287"/>
      <c r="P6" s="3613"/>
      <c r="Q6" s="3614"/>
      <c r="R6" s="3594"/>
      <c r="S6" s="3595"/>
      <c r="T6" s="3615"/>
      <c r="U6" s="3616"/>
      <c r="V6" s="3617"/>
      <c r="W6" s="3617"/>
      <c r="X6" s="1338"/>
      <c r="Y6" s="3615"/>
      <c r="Z6" s="3616"/>
      <c r="AA6" s="3589"/>
      <c r="AB6" s="3617"/>
      <c r="AC6" s="3589"/>
    </row>
    <row r="7" spans="1:29" s="40" customFormat="1" ht="15" thickBot="1">
      <c r="A7" s="1012" t="s">
        <v>63</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590" t="s">
        <v>63</v>
      </c>
      <c r="Q7" s="3618"/>
      <c r="R7" s="1340" t="s">
        <v>64</v>
      </c>
      <c r="S7" s="1341">
        <f t="shared" ref="S7:S15" si="0">F7</f>
        <v>0</v>
      </c>
      <c r="T7" s="1340" t="s">
        <v>64</v>
      </c>
      <c r="U7" s="1341">
        <f t="shared" ref="U7:U15" si="1">H7</f>
        <v>0</v>
      </c>
      <c r="V7" s="1340" t="s">
        <v>64</v>
      </c>
      <c r="W7" s="1341">
        <f t="shared" ref="W7:W15" si="2">J7</f>
        <v>0</v>
      </c>
      <c r="X7" s="287"/>
      <c r="Y7" s="3590" t="s">
        <v>63</v>
      </c>
      <c r="Z7" s="3591"/>
      <c r="AA7" s="1342" t="e">
        <f>D7/F7</f>
        <v>#DIV/0!</v>
      </c>
      <c r="AB7" s="1342" t="e">
        <f>D7/H7</f>
        <v>#DIV/0!</v>
      </c>
      <c r="AC7" s="1342" t="e">
        <f>D7/J7</f>
        <v>#DIV/0!</v>
      </c>
    </row>
    <row r="8" spans="1:29" s="40" customFormat="1" ht="15" thickBot="1">
      <c r="A8" s="1012" t="s">
        <v>65</v>
      </c>
      <c r="B8" s="1013"/>
      <c r="C8" s="1018" t="s">
        <v>115</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590" t="s">
        <v>1020</v>
      </c>
      <c r="Q8" s="3591"/>
      <c r="R8" s="1340" t="s">
        <v>64</v>
      </c>
      <c r="S8" s="1341">
        <f t="shared" si="0"/>
        <v>0</v>
      </c>
      <c r="T8" s="1340" t="s">
        <v>64</v>
      </c>
      <c r="U8" s="1341">
        <f t="shared" si="1"/>
        <v>0</v>
      </c>
      <c r="V8" s="1340" t="s">
        <v>64</v>
      </c>
      <c r="W8" s="1341">
        <f t="shared" si="2"/>
        <v>0</v>
      </c>
      <c r="X8" s="287"/>
      <c r="Y8" s="3590" t="s">
        <v>1020</v>
      </c>
      <c r="Z8" s="3591"/>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4"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4"/>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4"/>
      <c r="Q11" s="7" t="str">
        <f t="shared" si="6"/>
        <v>容积率</v>
      </c>
      <c r="R11" s="1340" t="s">
        <v>64</v>
      </c>
      <c r="S11" s="1341" t="e">
        <f t="shared" si="0"/>
        <v>#N/A</v>
      </c>
      <c r="T11" s="1340" t="s">
        <v>64</v>
      </c>
      <c r="U11" s="1341" t="e">
        <f t="shared" si="1"/>
        <v>#N/A</v>
      </c>
      <c r="V11" s="1340" t="s">
        <v>64</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4"/>
      <c r="Q12" s="7">
        <f t="shared" si="6"/>
        <v>111</v>
      </c>
      <c r="R12" s="1340" t="s">
        <v>64</v>
      </c>
      <c r="S12" s="1341">
        <f t="shared" si="0"/>
        <v>100</v>
      </c>
      <c r="T12" s="1340" t="s">
        <v>64</v>
      </c>
      <c r="U12" s="1341">
        <f t="shared" si="1"/>
        <v>100</v>
      </c>
      <c r="V12" s="1340" t="s">
        <v>64</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4"/>
      <c r="Q13" s="7">
        <f t="shared" si="6"/>
        <v>111</v>
      </c>
      <c r="R13" s="1340" t="s">
        <v>64</v>
      </c>
      <c r="S13" s="1341">
        <f t="shared" si="0"/>
        <v>100</v>
      </c>
      <c r="T13" s="1340" t="s">
        <v>64</v>
      </c>
      <c r="U13" s="1341">
        <f t="shared" si="1"/>
        <v>100</v>
      </c>
      <c r="V13" s="1340" t="s">
        <v>64</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4"/>
      <c r="Q14" s="7">
        <f t="shared" si="6"/>
        <v>111</v>
      </c>
      <c r="R14" s="1340" t="s">
        <v>64</v>
      </c>
      <c r="S14" s="1341">
        <f t="shared" si="0"/>
        <v>100</v>
      </c>
      <c r="T14" s="1340" t="s">
        <v>64</v>
      </c>
      <c r="U14" s="1341">
        <f t="shared" si="1"/>
        <v>100</v>
      </c>
      <c r="V14" s="1340" t="s">
        <v>64</v>
      </c>
      <c r="W14" s="1341">
        <f t="shared" si="2"/>
        <v>100</v>
      </c>
      <c r="X14" s="287"/>
      <c r="Y14" s="3428"/>
      <c r="Z14" s="288">
        <f t="shared" si="7"/>
        <v>111</v>
      </c>
      <c r="AA14" s="1342">
        <f t="shared" si="3"/>
        <v>1</v>
      </c>
      <c r="AB14" s="1342">
        <f t="shared" si="4"/>
        <v>1</v>
      </c>
      <c r="AC14" s="1342">
        <f t="shared" si="5"/>
        <v>1</v>
      </c>
    </row>
    <row r="15" spans="1:29" ht="67.5">
      <c r="A15" s="155" t="s">
        <v>68</v>
      </c>
      <c r="B15" s="58" t="s">
        <v>129</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631" t="s">
        <v>68</v>
      </c>
      <c r="Q15" s="1349" t="str">
        <f t="shared" si="6"/>
        <v>商业繁华度</v>
      </c>
      <c r="R15" s="1350" t="s">
        <v>64</v>
      </c>
      <c r="S15" s="1351">
        <f t="shared" si="0"/>
        <v>100</v>
      </c>
      <c r="T15" s="1350" t="s">
        <v>64</v>
      </c>
      <c r="U15" s="1351">
        <f t="shared" si="1"/>
        <v>100</v>
      </c>
      <c r="V15" s="1350" t="s">
        <v>64</v>
      </c>
      <c r="W15" s="1351">
        <f t="shared" si="2"/>
        <v>100</v>
      </c>
      <c r="X15" s="1338"/>
      <c r="Y15" s="3624" t="s">
        <v>68</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32"/>
      <c r="Q16" s="1349"/>
      <c r="R16" s="1350"/>
      <c r="S16" s="1351"/>
      <c r="T16" s="1350"/>
      <c r="U16" s="1351"/>
      <c r="V16" s="1350"/>
      <c r="W16" s="1351"/>
      <c r="X16" s="1338"/>
      <c r="Y16" s="3625"/>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632"/>
      <c r="Q17" s="1349" t="str">
        <f>B17</f>
        <v>交通便捷度</v>
      </c>
      <c r="R17" s="1350" t="s">
        <v>64</v>
      </c>
      <c r="S17" s="1351">
        <f>F17</f>
        <v>100</v>
      </c>
      <c r="T17" s="1350" t="s">
        <v>64</v>
      </c>
      <c r="U17" s="1351">
        <f>H17</f>
        <v>100</v>
      </c>
      <c r="V17" s="1350" t="s">
        <v>64</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632"/>
      <c r="Q18" s="1349"/>
      <c r="R18" s="1350"/>
      <c r="S18" s="1351"/>
      <c r="T18" s="1350"/>
      <c r="U18" s="1351"/>
      <c r="V18" s="1350"/>
      <c r="W18" s="1351"/>
      <c r="X18" s="1338"/>
      <c r="Y18" s="3625"/>
      <c r="Z18" s="1352"/>
      <c r="AA18" s="1353">
        <v>1</v>
      </c>
      <c r="AB18" s="1353">
        <v>1</v>
      </c>
      <c r="AC18" s="1353">
        <v>1</v>
      </c>
    </row>
    <row r="19" spans="1:29" ht="40.5">
      <c r="A19" s="151"/>
      <c r="B19" s="1354" t="s">
        <v>2652</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632"/>
      <c r="Q19" s="1349" t="str">
        <f>B19</f>
        <v>公共配套设施</v>
      </c>
      <c r="R19" s="1350" t="s">
        <v>64</v>
      </c>
      <c r="S19" s="1351">
        <f>F19</f>
        <v>100</v>
      </c>
      <c r="T19" s="1350" t="s">
        <v>64</v>
      </c>
      <c r="U19" s="1351">
        <f>H19</f>
        <v>100</v>
      </c>
      <c r="V19" s="1350" t="s">
        <v>64</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632"/>
      <c r="Q20" s="1349"/>
      <c r="R20" s="1350"/>
      <c r="S20" s="1351"/>
      <c r="T20" s="1350"/>
      <c r="U20" s="1351"/>
      <c r="V20" s="1350"/>
      <c r="W20" s="1351"/>
      <c r="X20" s="1338"/>
      <c r="Y20" s="3625"/>
      <c r="Z20" s="1352"/>
      <c r="AA20" s="1353">
        <v>1</v>
      </c>
      <c r="AB20" s="1353">
        <v>1</v>
      </c>
      <c r="AC20" s="1353">
        <v>1</v>
      </c>
    </row>
    <row r="21" spans="1:29" ht="27">
      <c r="A21" s="151"/>
      <c r="B21" s="1410" t="s">
        <v>2653</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632"/>
      <c r="Q22" s="2737"/>
      <c r="R22" s="1350"/>
      <c r="S22" s="1351"/>
      <c r="T22" s="1350"/>
      <c r="U22" s="1351"/>
      <c r="V22" s="1350"/>
      <c r="W22" s="1351"/>
      <c r="X22" s="2739"/>
      <c r="Y22" s="3625"/>
      <c r="Z22" s="2738"/>
      <c r="AA22" s="1353">
        <v>1</v>
      </c>
      <c r="AB22" s="1353">
        <v>1</v>
      </c>
      <c r="AC22" s="1353">
        <v>1</v>
      </c>
    </row>
    <row r="23" spans="1:29" ht="54">
      <c r="A23" s="151"/>
      <c r="B23" s="1354" t="s">
        <v>72</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632"/>
      <c r="Q23" s="1349" t="str">
        <f>B23</f>
        <v>自然及人文环境</v>
      </c>
      <c r="R23" s="1350" t="s">
        <v>64</v>
      </c>
      <c r="S23" s="1351">
        <f>F23</f>
        <v>100</v>
      </c>
      <c r="T23" s="1350" t="s">
        <v>64</v>
      </c>
      <c r="U23" s="1351">
        <f>H23</f>
        <v>100</v>
      </c>
      <c r="V23" s="1350" t="s">
        <v>64</v>
      </c>
      <c r="W23" s="1351">
        <f>J23</f>
        <v>100</v>
      </c>
      <c r="X23" s="1338"/>
      <c r="Y23" s="3625"/>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632"/>
      <c r="Q24" s="1349"/>
      <c r="R24" s="1350"/>
      <c r="S24" s="1351"/>
      <c r="T24" s="1350"/>
      <c r="U24" s="1351"/>
      <c r="V24" s="1350"/>
      <c r="W24" s="1351"/>
      <c r="X24" s="1338"/>
      <c r="Y24" s="3625"/>
      <c r="Z24" s="1352"/>
      <c r="AA24" s="1353">
        <v>1</v>
      </c>
      <c r="AB24" s="1353">
        <v>1</v>
      </c>
      <c r="AC24" s="1353">
        <v>1</v>
      </c>
    </row>
    <row r="25" spans="1:29" ht="15">
      <c r="A25" s="151"/>
      <c r="B25" s="12" t="s">
        <v>130</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632"/>
      <c r="Q25" s="1349" t="str">
        <f t="shared" ref="Q25:Q46" si="11">B25</f>
        <v>临街状况</v>
      </c>
      <c r="R25" s="1350" t="s">
        <v>64</v>
      </c>
      <c r="S25" s="1351">
        <f>F25</f>
        <v>100</v>
      </c>
      <c r="T25" s="1350" t="s">
        <v>64</v>
      </c>
      <c r="U25" s="1351">
        <f>H25</f>
        <v>100</v>
      </c>
      <c r="V25" s="1350" t="s">
        <v>64</v>
      </c>
      <c r="W25" s="1351">
        <f>J25</f>
        <v>100</v>
      </c>
      <c r="X25" s="1338"/>
      <c r="Y25" s="3625"/>
      <c r="Z25" s="1352" t="str">
        <f>Q25</f>
        <v>临街状况</v>
      </c>
      <c r="AA25" s="1353">
        <f t="shared" si="3"/>
        <v>1</v>
      </c>
      <c r="AB25" s="1353">
        <f t="shared" si="4"/>
        <v>1</v>
      </c>
      <c r="AC25" s="1353">
        <f t="shared" si="5"/>
        <v>1</v>
      </c>
    </row>
    <row r="26" spans="1:29" ht="14.25">
      <c r="A26" s="151"/>
      <c r="B26" s="1355" t="s">
        <v>1023</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32"/>
      <c r="Q26" s="1349" t="str">
        <f t="shared" si="11"/>
        <v>平面位置/可视性</v>
      </c>
      <c r="R26" s="1350" t="s">
        <v>64</v>
      </c>
      <c r="S26" s="1351">
        <f>F26</f>
        <v>100</v>
      </c>
      <c r="T26" s="1350" t="s">
        <v>64</v>
      </c>
      <c r="U26" s="1351">
        <f>H26</f>
        <v>100</v>
      </c>
      <c r="V26" s="1350" t="s">
        <v>64</v>
      </c>
      <c r="W26" s="1351">
        <f>J26</f>
        <v>100</v>
      </c>
      <c r="X26" s="1338"/>
      <c r="Y26" s="3625"/>
      <c r="Z26" s="1352" t="str">
        <f>Q26</f>
        <v>平面位置/可视性</v>
      </c>
      <c r="AA26" s="1353">
        <f t="shared" si="3"/>
        <v>1</v>
      </c>
      <c r="AB26" s="1353">
        <f t="shared" si="4"/>
        <v>1</v>
      </c>
      <c r="AC26" s="1353">
        <f t="shared" si="5"/>
        <v>1</v>
      </c>
    </row>
    <row r="27" spans="1:29" s="40" customFormat="1" ht="15">
      <c r="A27" s="1028"/>
      <c r="B27" s="1354" t="s">
        <v>1024</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632"/>
      <c r="Q27" s="7" t="str">
        <f t="shared" si="11"/>
        <v>人流量</v>
      </c>
      <c r="R27" s="1340" t="s">
        <v>64</v>
      </c>
      <c r="S27" s="1341">
        <f>F27</f>
        <v>100</v>
      </c>
      <c r="T27" s="1340" t="s">
        <v>64</v>
      </c>
      <c r="U27" s="1341">
        <f>H27</f>
        <v>100</v>
      </c>
      <c r="V27" s="1340" t="s">
        <v>64</v>
      </c>
      <c r="W27" s="1341">
        <f>J27</f>
        <v>100</v>
      </c>
      <c r="X27" s="287"/>
      <c r="Y27" s="3625"/>
      <c r="Z27" s="288" t="str">
        <f>Q27</f>
        <v>人流量</v>
      </c>
      <c r="AA27" s="1353">
        <f>D27/F27</f>
        <v>1</v>
      </c>
      <c r="AB27" s="1353">
        <f>D27/H27</f>
        <v>1</v>
      </c>
      <c r="AC27" s="1353">
        <f>D27/J27</f>
        <v>1</v>
      </c>
    </row>
    <row r="28" spans="1:29" ht="14.25">
      <c r="A28" s="151"/>
      <c r="B28" s="12" t="s">
        <v>131</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32"/>
      <c r="Q28" s="1349" t="str">
        <f t="shared" si="11"/>
        <v>楼层</v>
      </c>
      <c r="R28" s="1350" t="s">
        <v>64</v>
      </c>
      <c r="S28" s="1351">
        <f t="shared" ref="S28:S46" si="12">F28</f>
        <v>100</v>
      </c>
      <c r="T28" s="1350" t="s">
        <v>64</v>
      </c>
      <c r="U28" s="1351">
        <f t="shared" ref="U28:U46" si="13">H28</f>
        <v>100</v>
      </c>
      <c r="V28" s="1350" t="s">
        <v>64</v>
      </c>
      <c r="W28" s="1351">
        <f t="shared" ref="W28:W46" si="14">J28</f>
        <v>100</v>
      </c>
      <c r="X28" s="1338"/>
      <c r="Y28" s="3625"/>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32"/>
      <c r="Q29" s="1349">
        <f t="shared" si="11"/>
        <v>111</v>
      </c>
      <c r="R29" s="1350" t="s">
        <v>64</v>
      </c>
      <c r="S29" s="1351">
        <f t="shared" si="12"/>
        <v>100</v>
      </c>
      <c r="T29" s="1350" t="s">
        <v>64</v>
      </c>
      <c r="U29" s="1351">
        <f t="shared" si="13"/>
        <v>100</v>
      </c>
      <c r="V29" s="1350" t="s">
        <v>64</v>
      </c>
      <c r="W29" s="1351">
        <f t="shared" si="14"/>
        <v>100</v>
      </c>
      <c r="X29" s="1338"/>
      <c r="Y29" s="3625"/>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32"/>
      <c r="Q30" s="1349">
        <f t="shared" si="11"/>
        <v>111</v>
      </c>
      <c r="R30" s="1350" t="s">
        <v>64</v>
      </c>
      <c r="S30" s="1351">
        <f t="shared" si="12"/>
        <v>100</v>
      </c>
      <c r="T30" s="1350" t="s">
        <v>64</v>
      </c>
      <c r="U30" s="1351">
        <f t="shared" si="13"/>
        <v>100</v>
      </c>
      <c r="V30" s="1350" t="s">
        <v>64</v>
      </c>
      <c r="W30" s="1351">
        <f t="shared" si="14"/>
        <v>100</v>
      </c>
      <c r="X30" s="1338"/>
      <c r="Y30" s="3625"/>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32"/>
      <c r="Q31" s="1349">
        <f t="shared" si="11"/>
        <v>111</v>
      </c>
      <c r="R31" s="1350" t="s">
        <v>64</v>
      </c>
      <c r="S31" s="1351">
        <f t="shared" si="12"/>
        <v>100</v>
      </c>
      <c r="T31" s="1350" t="s">
        <v>64</v>
      </c>
      <c r="U31" s="1351">
        <f t="shared" si="13"/>
        <v>100</v>
      </c>
      <c r="V31" s="1350" t="s">
        <v>64</v>
      </c>
      <c r="W31" s="1351">
        <f t="shared" si="14"/>
        <v>100</v>
      </c>
      <c r="X31" s="1338"/>
      <c r="Y31" s="3625"/>
      <c r="Z31" s="1352">
        <f t="shared" si="15"/>
        <v>111</v>
      </c>
      <c r="AA31" s="1353">
        <f t="shared" si="3"/>
        <v>1</v>
      </c>
      <c r="AB31" s="1353">
        <f t="shared" si="4"/>
        <v>1</v>
      </c>
      <c r="AC31" s="1353">
        <f t="shared" si="5"/>
        <v>1</v>
      </c>
    </row>
    <row r="32" spans="1:29" ht="15">
      <c r="A32" s="155" t="s">
        <v>1025</v>
      </c>
      <c r="B32" s="62" t="s">
        <v>1026</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626" t="s">
        <v>1027</v>
      </c>
      <c r="Q32" s="1349" t="str">
        <f t="shared" si="11"/>
        <v>商业类型</v>
      </c>
      <c r="R32" s="1350" t="s">
        <v>64</v>
      </c>
      <c r="S32" s="1351">
        <f t="shared" si="12"/>
        <v>100</v>
      </c>
      <c r="T32" s="1350" t="s">
        <v>64</v>
      </c>
      <c r="U32" s="1351">
        <f t="shared" si="13"/>
        <v>100</v>
      </c>
      <c r="V32" s="1350" t="s">
        <v>64</v>
      </c>
      <c r="W32" s="1351">
        <f t="shared" si="14"/>
        <v>100</v>
      </c>
      <c r="X32" s="1338"/>
      <c r="Y32" s="3629" t="s">
        <v>1027</v>
      </c>
      <c r="Z32" s="1352" t="str">
        <f t="shared" si="15"/>
        <v>商业类型</v>
      </c>
      <c r="AA32" s="1353">
        <f t="shared" si="3"/>
        <v>1</v>
      </c>
      <c r="AB32" s="1353">
        <f t="shared" si="4"/>
        <v>1</v>
      </c>
      <c r="AC32" s="1353">
        <f t="shared" si="5"/>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627"/>
      <c r="Q33" s="1357" t="str">
        <f t="shared" si="11"/>
        <v>项目建筑规模</v>
      </c>
      <c r="R33" s="1358" t="s">
        <v>64</v>
      </c>
      <c r="S33" s="1359" t="e">
        <f t="shared" si="12"/>
        <v>#N/A</v>
      </c>
      <c r="T33" s="1358" t="s">
        <v>64</v>
      </c>
      <c r="U33" s="1359" t="e">
        <f t="shared" si="13"/>
        <v>#N/A</v>
      </c>
      <c r="V33" s="1358" t="s">
        <v>64</v>
      </c>
      <c r="W33" s="1359" t="e">
        <f t="shared" si="14"/>
        <v>#N/A</v>
      </c>
      <c r="X33" s="1360"/>
      <c r="Y33" s="3629"/>
      <c r="Z33" s="1361" t="str">
        <f t="shared" si="15"/>
        <v>项目建筑规模</v>
      </c>
      <c r="AA33" s="1353" t="e">
        <f t="shared" si="3"/>
        <v>#N/A</v>
      </c>
      <c r="AB33" s="1353" t="e">
        <f t="shared" si="4"/>
        <v>#N/A</v>
      </c>
      <c r="AC33" s="1353" t="e">
        <f t="shared" si="5"/>
        <v>#N/A</v>
      </c>
    </row>
    <row r="34" spans="1:29" ht="15">
      <c r="A34" s="161"/>
      <c r="B34" s="12" t="s">
        <v>76</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627"/>
      <c r="Q34" s="1349" t="str">
        <f t="shared" si="11"/>
        <v>建筑结构</v>
      </c>
      <c r="R34" s="1350" t="s">
        <v>64</v>
      </c>
      <c r="S34" s="1351">
        <f t="shared" si="12"/>
        <v>100</v>
      </c>
      <c r="T34" s="1350" t="s">
        <v>64</v>
      </c>
      <c r="U34" s="1351">
        <f t="shared" si="13"/>
        <v>100</v>
      </c>
      <c r="V34" s="1350" t="s">
        <v>64</v>
      </c>
      <c r="W34" s="1351">
        <f t="shared" si="14"/>
        <v>100</v>
      </c>
      <c r="X34" s="1338"/>
      <c r="Y34" s="3629"/>
      <c r="Z34" s="1352" t="str">
        <f t="shared" si="15"/>
        <v>建筑结构</v>
      </c>
      <c r="AA34" s="1353">
        <f t="shared" si="3"/>
        <v>1</v>
      </c>
      <c r="AB34" s="1353">
        <f t="shared" si="4"/>
        <v>1</v>
      </c>
      <c r="AC34" s="1353">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627"/>
      <c r="Q35" s="1349" t="str">
        <f t="shared" si="11"/>
        <v>公共部分装修</v>
      </c>
      <c r="R35" s="1350" t="s">
        <v>64</v>
      </c>
      <c r="S35" s="1351">
        <f t="shared" si="12"/>
        <v>100</v>
      </c>
      <c r="T35" s="1350" t="s">
        <v>64</v>
      </c>
      <c r="U35" s="1351">
        <f t="shared" si="13"/>
        <v>100</v>
      </c>
      <c r="V35" s="1350" t="s">
        <v>64</v>
      </c>
      <c r="W35" s="1351">
        <f t="shared" si="14"/>
        <v>100</v>
      </c>
      <c r="X35" s="1338"/>
      <c r="Y35" s="3629"/>
      <c r="Z35" s="1352" t="str">
        <f t="shared" si="15"/>
        <v>公共部分装修</v>
      </c>
      <c r="AA35" s="1353">
        <f t="shared" si="3"/>
        <v>1</v>
      </c>
      <c r="AB35" s="1353">
        <f t="shared" si="4"/>
        <v>1</v>
      </c>
      <c r="AC35" s="1353">
        <f t="shared" si="5"/>
        <v>1</v>
      </c>
    </row>
    <row r="36" spans="1:29" ht="15">
      <c r="A36" s="161"/>
      <c r="B36" s="12" t="s">
        <v>1029</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627"/>
      <c r="Q36" s="1349" t="str">
        <f t="shared" si="11"/>
        <v>成新度</v>
      </c>
      <c r="R36" s="1350" t="s">
        <v>64</v>
      </c>
      <c r="S36" s="1351" t="e">
        <f t="shared" si="12"/>
        <v>#N/A</v>
      </c>
      <c r="T36" s="1350" t="s">
        <v>64</v>
      </c>
      <c r="U36" s="1351" t="e">
        <f t="shared" si="13"/>
        <v>#N/A</v>
      </c>
      <c r="V36" s="1350" t="s">
        <v>64</v>
      </c>
      <c r="W36" s="1351" t="e">
        <f t="shared" si="14"/>
        <v>#N/A</v>
      </c>
      <c r="X36" s="1338"/>
      <c r="Y36" s="3629"/>
      <c r="Z36" s="1352" t="str">
        <f t="shared" si="15"/>
        <v>成新度</v>
      </c>
      <c r="AA36" s="1353" t="e">
        <f t="shared" si="3"/>
        <v>#N/A</v>
      </c>
      <c r="AB36" s="1353" t="e">
        <f t="shared" si="4"/>
        <v>#N/A</v>
      </c>
      <c r="AC36" s="1353" t="e">
        <f t="shared" si="5"/>
        <v>#N/A</v>
      </c>
    </row>
    <row r="37" spans="1:29" s="40" customFormat="1" ht="15">
      <c r="A37" s="1039"/>
      <c r="B37" s="12" t="s">
        <v>2654</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627"/>
      <c r="Q37" s="7" t="str">
        <f t="shared" si="11"/>
        <v>市政基础设施</v>
      </c>
      <c r="R37" s="1340" t="s">
        <v>64</v>
      </c>
      <c r="S37" s="1341">
        <f t="shared" si="12"/>
        <v>100</v>
      </c>
      <c r="T37" s="1340" t="s">
        <v>64</v>
      </c>
      <c r="U37" s="1341">
        <f t="shared" si="13"/>
        <v>100</v>
      </c>
      <c r="V37" s="1340" t="s">
        <v>64</v>
      </c>
      <c r="W37" s="1341">
        <f t="shared" si="14"/>
        <v>100</v>
      </c>
      <c r="X37" s="287"/>
      <c r="Y37" s="3629"/>
      <c r="Z37" s="288" t="str">
        <f t="shared" si="15"/>
        <v>市政基础设施</v>
      </c>
      <c r="AA37" s="1342">
        <f t="shared" si="3"/>
        <v>1</v>
      </c>
      <c r="AB37" s="1342">
        <f t="shared" si="4"/>
        <v>1</v>
      </c>
      <c r="AC37" s="1342">
        <f t="shared" si="5"/>
        <v>1</v>
      </c>
    </row>
    <row r="38" spans="1:29" ht="15">
      <c r="A38" s="161"/>
      <c r="B38" s="12" t="s">
        <v>134</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627" t="s">
        <v>1030</v>
      </c>
      <c r="Q38" s="1349" t="str">
        <f t="shared" si="11"/>
        <v>业态</v>
      </c>
      <c r="R38" s="1350" t="s">
        <v>64</v>
      </c>
      <c r="S38" s="1351">
        <f t="shared" si="12"/>
        <v>100</v>
      </c>
      <c r="T38" s="1350" t="s">
        <v>64</v>
      </c>
      <c r="U38" s="1351">
        <f t="shared" si="13"/>
        <v>100</v>
      </c>
      <c r="V38" s="1350" t="s">
        <v>64</v>
      </c>
      <c r="W38" s="1351">
        <f t="shared" si="14"/>
        <v>100</v>
      </c>
      <c r="X38" s="1338"/>
      <c r="Y38" s="3629" t="s">
        <v>1030</v>
      </c>
      <c r="Z38" s="1352" t="str">
        <f t="shared" si="15"/>
        <v>业态</v>
      </c>
      <c r="AA38" s="1353">
        <f t="shared" si="3"/>
        <v>1</v>
      </c>
      <c r="AB38" s="1353">
        <f t="shared" si="4"/>
        <v>1</v>
      </c>
      <c r="AC38" s="1353">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627"/>
      <c r="Q39" s="1349" t="str">
        <f t="shared" si="11"/>
        <v>层高</v>
      </c>
      <c r="R39" s="1350" t="s">
        <v>64</v>
      </c>
      <c r="S39" s="1351">
        <f t="shared" si="12"/>
        <v>100</v>
      </c>
      <c r="T39" s="1350" t="s">
        <v>64</v>
      </c>
      <c r="U39" s="1351">
        <f t="shared" si="13"/>
        <v>100</v>
      </c>
      <c r="V39" s="1350" t="s">
        <v>64</v>
      </c>
      <c r="W39" s="1351">
        <f t="shared" si="14"/>
        <v>100</v>
      </c>
      <c r="X39" s="1338"/>
      <c r="Y39" s="3629"/>
      <c r="Z39" s="1352" t="str">
        <f t="shared" si="15"/>
        <v>层高</v>
      </c>
      <c r="AA39" s="1353">
        <f t="shared" si="3"/>
        <v>1</v>
      </c>
      <c r="AB39" s="1353">
        <f t="shared" si="4"/>
        <v>1</v>
      </c>
      <c r="AC39" s="1353">
        <f t="shared" si="5"/>
        <v>1</v>
      </c>
    </row>
    <row r="40" spans="1:29" ht="14.25">
      <c r="A40" s="161"/>
      <c r="B40" s="12" t="s">
        <v>1032</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627"/>
      <c r="Q40" s="1349" t="str">
        <f t="shared" si="11"/>
        <v>单套建筑面积</v>
      </c>
      <c r="R40" s="1350" t="s">
        <v>64</v>
      </c>
      <c r="S40" s="1351">
        <f t="shared" si="12"/>
        <v>100</v>
      </c>
      <c r="T40" s="1350" t="s">
        <v>64</v>
      </c>
      <c r="U40" s="1351">
        <f t="shared" si="13"/>
        <v>100</v>
      </c>
      <c r="V40" s="1350" t="s">
        <v>64</v>
      </c>
      <c r="W40" s="1351">
        <f t="shared" si="14"/>
        <v>100</v>
      </c>
      <c r="X40" s="1338"/>
      <c r="Y40" s="3629"/>
      <c r="Z40" s="1352" t="str">
        <f t="shared" si="15"/>
        <v>单套建筑面积</v>
      </c>
      <c r="AA40" s="1353">
        <f t="shared" si="3"/>
        <v>1</v>
      </c>
      <c r="AB40" s="1353">
        <f t="shared" si="4"/>
        <v>1</v>
      </c>
      <c r="AC40" s="1353">
        <f t="shared" si="5"/>
        <v>1</v>
      </c>
    </row>
    <row r="41" spans="1:29" s="1037" customFormat="1" ht="15">
      <c r="A41" s="1041"/>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627"/>
      <c r="Q41" s="1357" t="str">
        <f t="shared" si="11"/>
        <v>进深比</v>
      </c>
      <c r="R41" s="1358" t="s">
        <v>64</v>
      </c>
      <c r="S41" s="1359">
        <f t="shared" si="12"/>
        <v>100</v>
      </c>
      <c r="T41" s="1358" t="s">
        <v>64</v>
      </c>
      <c r="U41" s="1359">
        <f t="shared" si="13"/>
        <v>100</v>
      </c>
      <c r="V41" s="1358" t="s">
        <v>64</v>
      </c>
      <c r="W41" s="1359">
        <f t="shared" si="14"/>
        <v>100</v>
      </c>
      <c r="X41" s="1360"/>
      <c r="Y41" s="3629"/>
      <c r="Z41" s="1361" t="str">
        <f t="shared" si="15"/>
        <v>进深比</v>
      </c>
      <c r="AA41" s="1353">
        <f t="shared" si="3"/>
        <v>1</v>
      </c>
      <c r="AB41" s="1353">
        <f t="shared" si="4"/>
        <v>1</v>
      </c>
      <c r="AC41" s="1353">
        <f t="shared" si="5"/>
        <v>1</v>
      </c>
    </row>
    <row r="42" spans="1:29" ht="15">
      <c r="A42" s="161"/>
      <c r="B42" s="12" t="s">
        <v>1034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627"/>
      <c r="Q42" s="1349" t="str">
        <f t="shared" si="11"/>
        <v>内部装修</v>
      </c>
      <c r="R42" s="1350" t="s">
        <v>64</v>
      </c>
      <c r="S42" s="1351">
        <f t="shared" si="12"/>
        <v>100</v>
      </c>
      <c r="T42" s="1350" t="s">
        <v>64</v>
      </c>
      <c r="U42" s="1351">
        <f t="shared" si="13"/>
        <v>100</v>
      </c>
      <c r="V42" s="1350" t="s">
        <v>64</v>
      </c>
      <c r="W42" s="1351">
        <f t="shared" si="14"/>
        <v>100</v>
      </c>
      <c r="X42" s="1338"/>
      <c r="Y42" s="3629"/>
      <c r="Z42" s="1352" t="str">
        <f t="shared" si="15"/>
        <v>内部装修</v>
      </c>
      <c r="AA42" s="1353">
        <f t="shared" si="3"/>
        <v>1</v>
      </c>
      <c r="AB42" s="1353">
        <f t="shared" si="4"/>
        <v>1</v>
      </c>
      <c r="AC42" s="1353">
        <f t="shared" si="5"/>
        <v>1</v>
      </c>
    </row>
    <row r="43" spans="1:29" ht="27">
      <c r="A43" s="161"/>
      <c r="B43" s="12" t="s">
        <v>83</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627"/>
      <c r="Q43" s="1349" t="str">
        <f t="shared" si="11"/>
        <v>内部装修维护情况</v>
      </c>
      <c r="R43" s="1350" t="s">
        <v>64</v>
      </c>
      <c r="S43" s="1351">
        <f t="shared" si="12"/>
        <v>100</v>
      </c>
      <c r="T43" s="1350" t="s">
        <v>64</v>
      </c>
      <c r="U43" s="1351">
        <f t="shared" si="13"/>
        <v>100</v>
      </c>
      <c r="V43" s="1350" t="s">
        <v>64</v>
      </c>
      <c r="W43" s="1351">
        <f t="shared" si="14"/>
        <v>100</v>
      </c>
      <c r="X43" s="1338"/>
      <c r="Y43" s="3629"/>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27"/>
      <c r="Q44" s="7">
        <f t="shared" si="11"/>
        <v>111</v>
      </c>
      <c r="R44" s="1340" t="s">
        <v>64</v>
      </c>
      <c r="S44" s="1341">
        <f t="shared" si="12"/>
        <v>100</v>
      </c>
      <c r="T44" s="1340" t="s">
        <v>64</v>
      </c>
      <c r="U44" s="1341">
        <f t="shared" si="13"/>
        <v>100</v>
      </c>
      <c r="V44" s="1340" t="s">
        <v>64</v>
      </c>
      <c r="W44" s="1341">
        <f t="shared" si="14"/>
        <v>100</v>
      </c>
      <c r="X44" s="287"/>
      <c r="Y44" s="3629"/>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627"/>
      <c r="Q45" s="1349">
        <f t="shared" si="11"/>
        <v>111</v>
      </c>
      <c r="R45" s="1350" t="s">
        <v>64</v>
      </c>
      <c r="S45" s="1351">
        <f t="shared" si="12"/>
        <v>100</v>
      </c>
      <c r="T45" s="1350" t="s">
        <v>64</v>
      </c>
      <c r="U45" s="1351">
        <f t="shared" si="13"/>
        <v>100</v>
      </c>
      <c r="V45" s="1350" t="s">
        <v>64</v>
      </c>
      <c r="W45" s="1351">
        <f t="shared" si="14"/>
        <v>100</v>
      </c>
      <c r="X45" s="1338"/>
      <c r="Y45" s="3629"/>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628"/>
      <c r="Q46" s="1349">
        <f t="shared" si="11"/>
        <v>111</v>
      </c>
      <c r="R46" s="1350" t="s">
        <v>64</v>
      </c>
      <c r="S46" s="1351">
        <f t="shared" si="12"/>
        <v>100</v>
      </c>
      <c r="T46" s="1350" t="s">
        <v>64</v>
      </c>
      <c r="U46" s="1351">
        <f t="shared" si="13"/>
        <v>100</v>
      </c>
      <c r="V46" s="1350" t="s">
        <v>64</v>
      </c>
      <c r="W46" s="1351">
        <f t="shared" si="14"/>
        <v>100</v>
      </c>
      <c r="X46" s="1338"/>
      <c r="Y46" s="3630"/>
      <c r="Z46" s="1352">
        <f t="shared" si="15"/>
        <v>111</v>
      </c>
      <c r="AA46" s="1353">
        <f t="shared" si="3"/>
        <v>1</v>
      </c>
      <c r="AB46" s="1353">
        <f t="shared" si="4"/>
        <v>1</v>
      </c>
      <c r="AC46" s="1353">
        <f t="shared" si="5"/>
        <v>1</v>
      </c>
    </row>
    <row r="47" spans="1:29" ht="15">
      <c r="A47" s="163" t="s">
        <v>1035</v>
      </c>
      <c r="B47" s="164"/>
      <c r="C47" s="2824" t="s">
        <v>23</v>
      </c>
      <c r="D47" s="2825"/>
      <c r="E47" s="2826"/>
      <c r="F47" s="2827"/>
      <c r="G47" s="2828"/>
      <c r="H47" s="2829"/>
      <c r="I47" s="2826"/>
      <c r="J47" s="2829"/>
      <c r="K47" s="1391"/>
      <c r="L47" s="2294"/>
      <c r="M47" s="2295"/>
      <c r="N47" s="2287"/>
      <c r="O47" s="2295"/>
      <c r="P47" s="3622" t="str">
        <f>A47</f>
        <v>成交单价（元/平方米）</v>
      </c>
      <c r="Q47" s="3622"/>
      <c r="R47" s="3617">
        <f>E47</f>
        <v>0</v>
      </c>
      <c r="S47" s="3617"/>
      <c r="T47" s="3617">
        <f>G47</f>
        <v>0</v>
      </c>
      <c r="U47" s="3617"/>
      <c r="V47" s="3617">
        <f>I47</f>
        <v>0</v>
      </c>
      <c r="W47" s="3617"/>
      <c r="X47" s="1363"/>
      <c r="Y47" s="1364"/>
      <c r="Z47" s="1363"/>
      <c r="AA47" s="1363"/>
      <c r="AB47" s="1363"/>
      <c r="AC47" s="1363"/>
    </row>
    <row r="48" spans="1:29" ht="15.75" thickBot="1">
      <c r="A48" s="165" t="s">
        <v>1036</v>
      </c>
      <c r="B48" s="166"/>
      <c r="C48" s="2830" t="e">
        <f>R49</f>
        <v>#DIV/0!</v>
      </c>
      <c r="D48" s="2831"/>
      <c r="E48" s="2832" t="e">
        <f>R48</f>
        <v>#DIV/0!</v>
      </c>
      <c r="F48" s="2832"/>
      <c r="G48" s="2830" t="e">
        <f>T48</f>
        <v>#DIV/0!</v>
      </c>
      <c r="H48" s="2831"/>
      <c r="I48" s="2832" t="e">
        <f>V48</f>
        <v>#DIV/0!</v>
      </c>
      <c r="J48" s="2831"/>
      <c r="K48" s="1392"/>
      <c r="L48" s="2294"/>
      <c r="M48" s="2295"/>
      <c r="N48" s="2287"/>
      <c r="O48" s="2295"/>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3"/>
      <c r="Y48" s="1363"/>
      <c r="Z48" s="1363"/>
      <c r="AA48" s="1363"/>
      <c r="AB48" s="1363"/>
      <c r="AC48" s="1363"/>
    </row>
    <row r="49" spans="1:29" ht="15.75" thickBot="1">
      <c r="A49" s="115" t="s">
        <v>3017</v>
      </c>
      <c r="B49" s="116"/>
      <c r="C49" s="2834" t="e">
        <f>R49</f>
        <v>#DIV/0!</v>
      </c>
      <c r="D49" s="2834"/>
      <c r="E49" s="2834"/>
      <c r="F49" s="2834"/>
      <c r="G49" s="2834"/>
      <c r="H49" s="2834"/>
      <c r="I49" s="2834"/>
      <c r="J49" s="2834"/>
      <c r="K49" s="1393"/>
      <c r="L49" s="2294"/>
      <c r="M49" s="2295"/>
      <c r="N49" s="2287"/>
      <c r="O49" s="2295"/>
      <c r="P49" s="3619" t="str">
        <f>A49</f>
        <v>估价对象XX用房的比较价值（楼面单价，元/平方米）</v>
      </c>
      <c r="Q49" s="3620"/>
      <c r="R49" s="3621" t="e">
        <f>IF(F1="售价",ROUND(AVERAGE(R48:V48),0),ROUND(AVERAGE(R48:V48),1))</f>
        <v>#DIV/0!</v>
      </c>
      <c r="S49" s="3621"/>
      <c r="T49" s="3621"/>
      <c r="U49" s="3621"/>
      <c r="V49" s="3621"/>
      <c r="W49" s="3621"/>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2792</v>
      </c>
      <c r="B58" s="847"/>
      <c r="C58" s="3032" t="str">
        <f>YEAR(C7)&amp;"-"&amp;MONTH(C7)</f>
        <v>2017-9</v>
      </c>
      <c r="D58" s="3033">
        <f>EDATE(C58,-1)</f>
        <v>42948</v>
      </c>
      <c r="E58" s="3033">
        <f t="shared" ref="E58:N58" si="16">EDATE(D58,-1)</f>
        <v>42917</v>
      </c>
      <c r="F58" s="3033">
        <f t="shared" si="16"/>
        <v>42887</v>
      </c>
      <c r="G58" s="3033">
        <f t="shared" si="16"/>
        <v>42856</v>
      </c>
      <c r="H58" s="3033">
        <f t="shared" si="16"/>
        <v>42826</v>
      </c>
      <c r="I58" s="3033">
        <f t="shared" si="16"/>
        <v>42795</v>
      </c>
      <c r="J58" s="3033">
        <f t="shared" si="16"/>
        <v>42767</v>
      </c>
      <c r="K58" s="3033">
        <f t="shared" si="16"/>
        <v>42736</v>
      </c>
      <c r="L58" s="3033">
        <f t="shared" si="16"/>
        <v>42705</v>
      </c>
      <c r="M58" s="3033">
        <f t="shared" si="16"/>
        <v>42675</v>
      </c>
      <c r="N58" s="3033">
        <f t="shared" si="16"/>
        <v>42644</v>
      </c>
      <c r="O58" s="3033">
        <f>EDATE(N58,-1)</f>
        <v>42614</v>
      </c>
      <c r="P58" s="3026"/>
    </row>
    <row r="59" spans="1:29" s="40" customFormat="1" ht="14.25">
      <c r="A59" s="1043"/>
      <c r="B59" s="1044"/>
      <c r="C59" s="3030">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137</v>
      </c>
      <c r="D66" s="885" t="s">
        <v>138</v>
      </c>
      <c r="E66" s="885" t="s">
        <v>139</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421</v>
      </c>
      <c r="D78" s="919" t="s">
        <v>422</v>
      </c>
      <c r="E78" s="919" t="s">
        <v>423</v>
      </c>
      <c r="F78" s="919" t="s">
        <v>424</v>
      </c>
      <c r="G78" s="919" t="s">
        <v>425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421</v>
      </c>
      <c r="D80" s="919" t="s">
        <v>422</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2655</v>
      </c>
      <c r="C82" s="213" t="s">
        <v>2656</v>
      </c>
      <c r="D82" s="213" t="s">
        <v>2657</v>
      </c>
      <c r="E82" s="213" t="s">
        <v>2658</v>
      </c>
      <c r="F82" s="213" t="s">
        <v>2659</v>
      </c>
      <c r="G82" s="213" t="s">
        <v>2660</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1053</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2638</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2008</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1" t="s">
        <v>2009</v>
      </c>
    </row>
    <row r="6" spans="1:1" ht="18.75">
      <c r="A6" s="3043" t="s">
        <v>2869</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1" ht="56.25">
      <c r="A8" s="1984" t="s">
        <v>2863</v>
      </c>
    </row>
    <row r="9" spans="1:1" ht="18.75">
      <c r="A9" s="3043" t="s">
        <v>2870</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1" spans="1:1" ht="75">
      <c r="A11" s="1984" t="s">
        <v>2904</v>
      </c>
    </row>
    <row r="12" spans="1:1" ht="18.75">
      <c r="A12" s="1941" t="s">
        <v>2010</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2011</v>
      </c>
    </row>
    <row r="15" spans="1:1" ht="18.75">
      <c r="A15" s="1944" t="str">
        <f>TEXT(项目基本情况!D3,"yyyy年m月d日;;")&amp;IF(项目基本情况!D3=项目基本情况!B3,"（评估专业人员实地查勘之日）","")</f>
        <v>2017年9月29日（评估专业人员实地查勘之日）</v>
      </c>
    </row>
    <row r="16" spans="1:1" ht="18.75">
      <c r="A16" s="1943" t="s">
        <v>2013</v>
      </c>
    </row>
    <row r="17" spans="1:1" ht="75">
      <c r="A17" s="1940" t="s">
        <v>2864</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2028</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2108</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1067</v>
      </c>
      <c r="B1" s="3109" t="s">
        <v>1068</v>
      </c>
      <c r="C1" s="3103" t="s">
        <v>1069</v>
      </c>
      <c r="D1" s="3094"/>
      <c r="E1" s="3099"/>
      <c r="F1" s="3096"/>
      <c r="G1" s="3098" t="s">
        <v>1070</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1071</v>
      </c>
      <c r="B2" s="2835" t="e">
        <f ca="1">IF(C2="——",ROUND(C50*D3/10000,0),ROUND(C50*D3/10000,0)-D2)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95896.06</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1074</v>
      </c>
      <c r="B4" s="144"/>
      <c r="C4" s="3605" t="s">
        <v>1075</v>
      </c>
      <c r="D4" s="3606"/>
      <c r="E4" s="3607" t="s">
        <v>1076</v>
      </c>
      <c r="F4" s="3608"/>
      <c r="G4" s="3605" t="s">
        <v>1077</v>
      </c>
      <c r="H4" s="3606"/>
      <c r="I4" s="3605" t="s">
        <v>1078</v>
      </c>
      <c r="J4" s="3606"/>
      <c r="K4" s="187" t="s">
        <v>1079</v>
      </c>
      <c r="L4" s="2286"/>
      <c r="M4" s="2287"/>
      <c r="N4" s="2287"/>
      <c r="O4" s="2287"/>
      <c r="P4" s="3639" t="s">
        <v>1074</v>
      </c>
      <c r="Q4" s="3640"/>
      <c r="R4" s="3634" t="s">
        <v>1076</v>
      </c>
      <c r="S4" s="3635"/>
      <c r="T4" s="3634" t="s">
        <v>1077</v>
      </c>
      <c r="U4" s="3635"/>
      <c r="V4" s="3643" t="s">
        <v>1078</v>
      </c>
      <c r="W4" s="3643"/>
      <c r="X4" s="2326"/>
      <c r="Y4" s="3634" t="s">
        <v>1074</v>
      </c>
      <c r="Z4" s="3635"/>
      <c r="AA4" s="3633" t="s">
        <v>1076</v>
      </c>
      <c r="AB4" s="3633" t="s">
        <v>1077</v>
      </c>
      <c r="AC4" s="3636" t="s">
        <v>1078</v>
      </c>
    </row>
    <row r="5" spans="1:29">
      <c r="A5" s="146"/>
      <c r="B5" s="147"/>
      <c r="C5" s="3598" t="s">
        <v>1080</v>
      </c>
      <c r="D5" s="3599"/>
      <c r="E5" s="3596" t="s">
        <v>1081</v>
      </c>
      <c r="F5" s="3597"/>
      <c r="G5" s="3598" t="s">
        <v>1082</v>
      </c>
      <c r="H5" s="3599"/>
      <c r="I5" s="3598" t="s">
        <v>1083</v>
      </c>
      <c r="J5" s="3599"/>
      <c r="K5" s="187"/>
      <c r="L5" s="2286"/>
      <c r="M5" s="2287"/>
      <c r="N5" s="2287"/>
      <c r="O5" s="2287"/>
      <c r="P5" s="3641"/>
      <c r="Q5" s="3612"/>
      <c r="R5" s="3594"/>
      <c r="S5" s="3595"/>
      <c r="T5" s="3594"/>
      <c r="U5" s="3595"/>
      <c r="V5" s="3617"/>
      <c r="W5" s="3617"/>
      <c r="X5" s="2212"/>
      <c r="Y5" s="3594"/>
      <c r="Z5" s="3595"/>
      <c r="AA5" s="3588"/>
      <c r="AB5" s="3588"/>
      <c r="AC5" s="3637"/>
    </row>
    <row r="6" spans="1:29" ht="14.25" thickBot="1">
      <c r="A6" s="148"/>
      <c r="B6" s="149"/>
      <c r="C6" s="3600" t="s">
        <v>1084</v>
      </c>
      <c r="D6" s="3601"/>
      <c r="E6" s="3602" t="s">
        <v>1084</v>
      </c>
      <c r="F6" s="3603"/>
      <c r="G6" s="3600" t="s">
        <v>1084</v>
      </c>
      <c r="H6" s="3601"/>
      <c r="I6" s="3600" t="s">
        <v>1084</v>
      </c>
      <c r="J6" s="3601"/>
      <c r="K6" s="187" t="s">
        <v>1085</v>
      </c>
      <c r="L6" s="2286"/>
      <c r="M6" s="2287"/>
      <c r="N6" s="2287"/>
      <c r="O6" s="2287"/>
      <c r="P6" s="3642"/>
      <c r="Q6" s="3614"/>
      <c r="R6" s="3594"/>
      <c r="S6" s="3595"/>
      <c r="T6" s="3615"/>
      <c r="U6" s="3616"/>
      <c r="V6" s="3617"/>
      <c r="W6" s="3617"/>
      <c r="X6" s="2212"/>
      <c r="Y6" s="3615"/>
      <c r="Z6" s="3616"/>
      <c r="AA6" s="3589"/>
      <c r="AB6" s="3589"/>
      <c r="AC6" s="3638"/>
    </row>
    <row r="7" spans="1:29" s="40" customFormat="1" ht="15" thickBot="1">
      <c r="A7" s="1012" t="s">
        <v>1086</v>
      </c>
      <c r="B7" s="1013"/>
      <c r="C7" s="752">
        <f>'数据-取费表'!B2</f>
        <v>43007</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4" t="s">
        <v>1086</v>
      </c>
      <c r="Q7" s="3618"/>
      <c r="R7" s="1340" t="s">
        <v>64</v>
      </c>
      <c r="S7" s="1341">
        <f t="shared" ref="S7:S15" si="0">F7</f>
        <v>0</v>
      </c>
      <c r="T7" s="1340" t="s">
        <v>64</v>
      </c>
      <c r="U7" s="1341">
        <f t="shared" ref="U7:U15" si="1">H7</f>
        <v>0</v>
      </c>
      <c r="V7" s="1340" t="s">
        <v>64</v>
      </c>
      <c r="W7" s="1341">
        <f t="shared" ref="W7:W15" si="2">J7</f>
        <v>0</v>
      </c>
      <c r="X7" s="287"/>
      <c r="Y7" s="3590" t="s">
        <v>1086</v>
      </c>
      <c r="Z7" s="3591"/>
      <c r="AA7" s="1342" t="e">
        <f>D7/F7</f>
        <v>#DIV/0!</v>
      </c>
      <c r="AB7" s="1342" t="e">
        <f>D7/H7</f>
        <v>#DIV/0!</v>
      </c>
      <c r="AC7" s="2327"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4" t="s">
        <v>1020</v>
      </c>
      <c r="Q8" s="3591"/>
      <c r="R8" s="1340" t="s">
        <v>64</v>
      </c>
      <c r="S8" s="1341">
        <f t="shared" si="0"/>
        <v>0</v>
      </c>
      <c r="T8" s="1340" t="s">
        <v>64</v>
      </c>
      <c r="U8" s="1341">
        <f t="shared" si="1"/>
        <v>0</v>
      </c>
      <c r="V8" s="1340" t="s">
        <v>64</v>
      </c>
      <c r="W8" s="1341">
        <f t="shared" si="2"/>
        <v>0</v>
      </c>
      <c r="X8" s="287"/>
      <c r="Y8" s="3590" t="s">
        <v>1020</v>
      </c>
      <c r="Z8" s="3591"/>
      <c r="AA8" s="1342" t="e">
        <f t="shared" ref="AA8:AA47" si="3">D8/F8</f>
        <v>#DIV/0!</v>
      </c>
      <c r="AB8" s="1342" t="e">
        <f t="shared" ref="AB8:AB47" si="4">D8/H8</f>
        <v>#DIV/0!</v>
      </c>
      <c r="AC8" s="2327"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4" t="s">
        <v>66</v>
      </c>
      <c r="Q9" s="2203" t="str">
        <f t="shared" ref="Q9:Q15" si="6">B9</f>
        <v>用途</v>
      </c>
      <c r="R9" s="1340" t="s">
        <v>64</v>
      </c>
      <c r="S9" s="1341">
        <f t="shared" si="0"/>
        <v>100</v>
      </c>
      <c r="T9" s="1340" t="s">
        <v>64</v>
      </c>
      <c r="U9" s="1341">
        <f t="shared" si="1"/>
        <v>100</v>
      </c>
      <c r="V9" s="1340" t="s">
        <v>64</v>
      </c>
      <c r="W9" s="1341">
        <f t="shared" si="2"/>
        <v>100</v>
      </c>
      <c r="X9" s="287"/>
      <c r="Y9" s="3428" t="s">
        <v>66</v>
      </c>
      <c r="Z9" s="2202" t="str">
        <f t="shared" ref="Z9:Z15" si="7">Q9</f>
        <v>用途</v>
      </c>
      <c r="AA9" s="1342">
        <f t="shared" si="3"/>
        <v>1</v>
      </c>
      <c r="AB9" s="1342">
        <f t="shared" si="4"/>
        <v>1</v>
      </c>
      <c r="AC9" s="2327">
        <f t="shared" si="5"/>
        <v>1</v>
      </c>
    </row>
    <row r="10" spans="1:29" s="92" customFormat="1" ht="27">
      <c r="A10" s="150"/>
      <c r="B10" s="12" t="s">
        <v>105</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4"/>
      <c r="Q10" s="2203" t="str">
        <f t="shared" si="6"/>
        <v>土地使用年限（年）</v>
      </c>
      <c r="R10" s="1340" t="s">
        <v>64</v>
      </c>
      <c r="S10" s="1341">
        <f t="shared" si="0"/>
        <v>100</v>
      </c>
      <c r="T10" s="1340" t="s">
        <v>64</v>
      </c>
      <c r="U10" s="1341">
        <f t="shared" si="1"/>
        <v>100</v>
      </c>
      <c r="V10" s="1340" t="s">
        <v>64</v>
      </c>
      <c r="W10" s="1341">
        <f t="shared" si="2"/>
        <v>100</v>
      </c>
      <c r="X10" s="287"/>
      <c r="Y10" s="3428"/>
      <c r="Z10" s="2202" t="str">
        <f t="shared" si="7"/>
        <v>土地使用年限（年）</v>
      </c>
      <c r="AA10" s="1342">
        <f t="shared" si="3"/>
        <v>1</v>
      </c>
      <c r="AB10" s="1342">
        <f t="shared" si="4"/>
        <v>1</v>
      </c>
      <c r="AC10" s="2327">
        <f t="shared" si="5"/>
        <v>1</v>
      </c>
    </row>
    <row r="11" spans="1:29" ht="15">
      <c r="A11" s="151"/>
      <c r="B11" s="12" t="s">
        <v>92</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4"/>
      <c r="Q11" s="2203" t="str">
        <f t="shared" si="6"/>
        <v>容积率</v>
      </c>
      <c r="R11" s="1340" t="s">
        <v>64</v>
      </c>
      <c r="S11" s="1341" t="e">
        <f t="shared" si="0"/>
        <v>#N/A</v>
      </c>
      <c r="T11" s="1340" t="s">
        <v>64</v>
      </c>
      <c r="U11" s="1341" t="e">
        <f t="shared" si="1"/>
        <v>#N/A</v>
      </c>
      <c r="V11" s="1340" t="s">
        <v>64</v>
      </c>
      <c r="W11" s="1341" t="e">
        <f t="shared" si="2"/>
        <v>#N/A</v>
      </c>
      <c r="X11" s="287"/>
      <c r="Y11" s="3428"/>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4"/>
      <c r="Q12" s="2203">
        <f t="shared" si="6"/>
        <v>111</v>
      </c>
      <c r="R12" s="1340" t="s">
        <v>64</v>
      </c>
      <c r="S12" s="1341">
        <f t="shared" si="0"/>
        <v>100</v>
      </c>
      <c r="T12" s="1340" t="s">
        <v>64</v>
      </c>
      <c r="U12" s="1341">
        <f t="shared" si="1"/>
        <v>100</v>
      </c>
      <c r="V12" s="1340" t="s">
        <v>64</v>
      </c>
      <c r="W12" s="1341">
        <f t="shared" si="2"/>
        <v>100</v>
      </c>
      <c r="X12" s="287"/>
      <c r="Y12" s="3428"/>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4"/>
      <c r="Q13" s="2203">
        <f t="shared" si="6"/>
        <v>111</v>
      </c>
      <c r="R13" s="1340" t="s">
        <v>64</v>
      </c>
      <c r="S13" s="1341">
        <f t="shared" si="0"/>
        <v>100</v>
      </c>
      <c r="T13" s="1340" t="s">
        <v>64</v>
      </c>
      <c r="U13" s="1341">
        <f t="shared" si="1"/>
        <v>100</v>
      </c>
      <c r="V13" s="1340" t="s">
        <v>64</v>
      </c>
      <c r="W13" s="1341">
        <f t="shared" si="2"/>
        <v>100</v>
      </c>
      <c r="X13" s="287"/>
      <c r="Y13" s="3428"/>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4"/>
      <c r="Q14" s="2203">
        <f t="shared" si="6"/>
        <v>111</v>
      </c>
      <c r="R14" s="1340" t="s">
        <v>64</v>
      </c>
      <c r="S14" s="1341">
        <f t="shared" si="0"/>
        <v>100</v>
      </c>
      <c r="T14" s="1340" t="s">
        <v>64</v>
      </c>
      <c r="U14" s="1341">
        <f t="shared" si="1"/>
        <v>100</v>
      </c>
      <c r="V14" s="1340" t="s">
        <v>64</v>
      </c>
      <c r="W14" s="1341">
        <f t="shared" si="2"/>
        <v>100</v>
      </c>
      <c r="X14" s="287"/>
      <c r="Y14" s="3428"/>
      <c r="Z14" s="2202">
        <f t="shared" si="7"/>
        <v>111</v>
      </c>
      <c r="AA14" s="1342">
        <f t="shared" si="3"/>
        <v>1</v>
      </c>
      <c r="AB14" s="1342">
        <f t="shared" si="4"/>
        <v>1</v>
      </c>
      <c r="AC14" s="2327">
        <f t="shared" si="5"/>
        <v>1</v>
      </c>
    </row>
    <row r="15" spans="1:29" ht="67.5">
      <c r="A15" s="155" t="s">
        <v>68</v>
      </c>
      <c r="B15" s="1031" t="s">
        <v>141</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631" t="s">
        <v>68</v>
      </c>
      <c r="Q15" s="2210" t="str">
        <f t="shared" si="6"/>
        <v>办公集聚程度</v>
      </c>
      <c r="R15" s="1350" t="s">
        <v>64</v>
      </c>
      <c r="S15" s="1351">
        <f t="shared" si="0"/>
        <v>100</v>
      </c>
      <c r="T15" s="1350" t="s">
        <v>64</v>
      </c>
      <c r="U15" s="1351">
        <f t="shared" si="1"/>
        <v>100</v>
      </c>
      <c r="V15" s="1350" t="s">
        <v>64</v>
      </c>
      <c r="W15" s="1351">
        <f t="shared" si="2"/>
        <v>100</v>
      </c>
      <c r="X15" s="2212"/>
      <c r="Y15" s="3624" t="s">
        <v>68</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32"/>
      <c r="Q16" s="2210"/>
      <c r="R16" s="1350"/>
      <c r="S16" s="1351"/>
      <c r="T16" s="1350"/>
      <c r="U16" s="1351"/>
      <c r="V16" s="1350"/>
      <c r="W16" s="1351"/>
      <c r="X16" s="2212"/>
      <c r="Y16" s="3625"/>
      <c r="Z16" s="2211"/>
      <c r="AA16" s="1353">
        <v>1</v>
      </c>
      <c r="AB16" s="1353">
        <v>1</v>
      </c>
      <c r="AC16" s="2328">
        <v>1</v>
      </c>
    </row>
    <row r="17" spans="1:29" ht="81">
      <c r="A17" s="151"/>
      <c r="B17" s="1032" t="s">
        <v>71</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632"/>
      <c r="Q17" s="2210" t="str">
        <f>B17</f>
        <v>交通便捷度</v>
      </c>
      <c r="R17" s="1350" t="s">
        <v>64</v>
      </c>
      <c r="S17" s="1351">
        <f>F17</f>
        <v>100</v>
      </c>
      <c r="T17" s="1350" t="s">
        <v>64</v>
      </c>
      <c r="U17" s="1351">
        <f>H17</f>
        <v>100</v>
      </c>
      <c r="V17" s="1350" t="s">
        <v>64</v>
      </c>
      <c r="W17" s="1351">
        <f>J17</f>
        <v>100</v>
      </c>
      <c r="X17" s="2212"/>
      <c r="Y17" s="3625"/>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632"/>
      <c r="Q18" s="2210"/>
      <c r="R18" s="1350"/>
      <c r="S18" s="1351"/>
      <c r="T18" s="1350"/>
      <c r="U18" s="1351"/>
      <c r="V18" s="1350"/>
      <c r="W18" s="1351"/>
      <c r="X18" s="2212"/>
      <c r="Y18" s="3625"/>
      <c r="Z18" s="2211"/>
      <c r="AA18" s="1353">
        <v>1</v>
      </c>
      <c r="AB18" s="1353">
        <v>1</v>
      </c>
      <c r="AC18" s="2328">
        <v>1</v>
      </c>
    </row>
    <row r="19" spans="1:29" ht="40.5">
      <c r="A19" s="151"/>
      <c r="B19" s="1032" t="s">
        <v>2661</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632"/>
      <c r="Q19" s="2210" t="str">
        <f>B19</f>
        <v>公共配套设施</v>
      </c>
      <c r="R19" s="1350" t="s">
        <v>64</v>
      </c>
      <c r="S19" s="1351">
        <f>F19</f>
        <v>100</v>
      </c>
      <c r="T19" s="1350" t="s">
        <v>64</v>
      </c>
      <c r="U19" s="1351">
        <f>H19</f>
        <v>100</v>
      </c>
      <c r="V19" s="1350" t="s">
        <v>64</v>
      </c>
      <c r="W19" s="1351">
        <f>J19</f>
        <v>100</v>
      </c>
      <c r="X19" s="2212"/>
      <c r="Y19" s="3625"/>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632"/>
      <c r="Q20" s="2210"/>
      <c r="R20" s="1350"/>
      <c r="S20" s="1351"/>
      <c r="T20" s="1350"/>
      <c r="U20" s="1351"/>
      <c r="V20" s="1350"/>
      <c r="W20" s="1351"/>
      <c r="X20" s="2212"/>
      <c r="Y20" s="3625"/>
      <c r="Z20" s="2211"/>
      <c r="AA20" s="1353">
        <v>1</v>
      </c>
      <c r="AB20" s="1353">
        <v>1</v>
      </c>
      <c r="AC20" s="2328">
        <v>1</v>
      </c>
    </row>
    <row r="21" spans="1:29" ht="27">
      <c r="A21" s="151"/>
      <c r="B21" s="1034" t="s">
        <v>2662</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632"/>
      <c r="Q22" s="2737"/>
      <c r="R22" s="1350"/>
      <c r="S22" s="1351"/>
      <c r="T22" s="1350"/>
      <c r="U22" s="1351"/>
      <c r="V22" s="1350"/>
      <c r="W22" s="1351"/>
      <c r="X22" s="2739"/>
      <c r="Y22" s="3625"/>
      <c r="Z22" s="2738"/>
      <c r="AA22" s="1353">
        <v>1</v>
      </c>
      <c r="AB22" s="1353">
        <v>1</v>
      </c>
      <c r="AC22" s="2328">
        <v>1</v>
      </c>
    </row>
    <row r="23" spans="1:29" ht="54">
      <c r="A23" s="151"/>
      <c r="B23" s="1032" t="s">
        <v>142</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632"/>
      <c r="Q23" s="2210" t="str">
        <f>B23</f>
        <v>环境质量</v>
      </c>
      <c r="R23" s="1350" t="s">
        <v>64</v>
      </c>
      <c r="S23" s="1351">
        <f>F23</f>
        <v>100</v>
      </c>
      <c r="T23" s="1350" t="s">
        <v>64</v>
      </c>
      <c r="U23" s="1351">
        <f>H23</f>
        <v>100</v>
      </c>
      <c r="V23" s="1350" t="s">
        <v>64</v>
      </c>
      <c r="W23" s="1351">
        <f>J23</f>
        <v>100</v>
      </c>
      <c r="X23" s="2212"/>
      <c r="Y23" s="3625"/>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632"/>
      <c r="Q24" s="2210"/>
      <c r="R24" s="1350"/>
      <c r="S24" s="1351"/>
      <c r="T24" s="1350"/>
      <c r="U24" s="1351"/>
      <c r="V24" s="1350"/>
      <c r="W24" s="1351"/>
      <c r="X24" s="2212"/>
      <c r="Y24" s="3625"/>
      <c r="Z24" s="2211"/>
      <c r="AA24" s="1353">
        <v>1</v>
      </c>
      <c r="AB24" s="1353">
        <v>1</v>
      </c>
      <c r="AC24" s="2328">
        <v>1</v>
      </c>
    </row>
    <row r="25" spans="1:29" ht="27">
      <c r="A25" s="146"/>
      <c r="B25" s="1032" t="s">
        <v>143</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632"/>
      <c r="Q25" s="2210" t="str">
        <f>B25</f>
        <v>毗邻道路的类型与等级</v>
      </c>
      <c r="R25" s="1350" t="s">
        <v>64</v>
      </c>
      <c r="S25" s="1351">
        <f>F25</f>
        <v>100</v>
      </c>
      <c r="T25" s="1350" t="s">
        <v>64</v>
      </c>
      <c r="U25" s="1351">
        <f>H25</f>
        <v>100</v>
      </c>
      <c r="V25" s="1350" t="s">
        <v>64</v>
      </c>
      <c r="W25" s="1351">
        <f>J25</f>
        <v>100</v>
      </c>
      <c r="X25" s="2212"/>
      <c r="Y25" s="3625"/>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632"/>
      <c r="Q26" s="2210"/>
      <c r="R26" s="1350"/>
      <c r="S26" s="1351"/>
      <c r="T26" s="1350"/>
      <c r="U26" s="1351"/>
      <c r="V26" s="1350"/>
      <c r="W26" s="1351"/>
      <c r="X26" s="2212"/>
      <c r="Y26" s="3625"/>
      <c r="Z26" s="2211"/>
      <c r="AA26" s="1353">
        <v>1</v>
      </c>
      <c r="AB26" s="1353">
        <v>1</v>
      </c>
      <c r="AC26" s="2328">
        <v>1</v>
      </c>
    </row>
    <row r="27" spans="1:29" ht="15">
      <c r="A27" s="151"/>
      <c r="B27" s="1033" t="s">
        <v>1089</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632"/>
      <c r="Q27" s="2210" t="str">
        <f t="shared" ref="Q27:Q47" si="11">B27</f>
        <v>楼层</v>
      </c>
      <c r="R27" s="1350" t="s">
        <v>64</v>
      </c>
      <c r="S27" s="1351">
        <f>F27</f>
        <v>100</v>
      </c>
      <c r="T27" s="1350" t="s">
        <v>64</v>
      </c>
      <c r="U27" s="1351">
        <f>H27</f>
        <v>100</v>
      </c>
      <c r="V27" s="1350" t="s">
        <v>64</v>
      </c>
      <c r="W27" s="1351">
        <f>J27</f>
        <v>100</v>
      </c>
      <c r="X27" s="2212"/>
      <c r="Y27" s="3625"/>
      <c r="Z27" s="2211" t="str">
        <f>Q27</f>
        <v>楼层</v>
      </c>
      <c r="AA27" s="1353">
        <f t="shared" si="3"/>
        <v>1</v>
      </c>
      <c r="AB27" s="1353">
        <f t="shared" si="4"/>
        <v>1</v>
      </c>
      <c r="AC27" s="2328">
        <f t="shared" si="5"/>
        <v>1</v>
      </c>
    </row>
    <row r="28" spans="1:29" s="40" customFormat="1" ht="15">
      <c r="A28" s="1028"/>
      <c r="B28" s="1032" t="s">
        <v>144</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632"/>
      <c r="Q28" s="2203" t="str">
        <f t="shared" si="11"/>
        <v>朝向</v>
      </c>
      <c r="R28" s="1340" t="s">
        <v>64</v>
      </c>
      <c r="S28" s="1341">
        <f>F28</f>
        <v>100</v>
      </c>
      <c r="T28" s="1340" t="s">
        <v>64</v>
      </c>
      <c r="U28" s="1341">
        <f>H28</f>
        <v>100</v>
      </c>
      <c r="V28" s="1340" t="s">
        <v>64</v>
      </c>
      <c r="W28" s="1341">
        <f>J28</f>
        <v>100</v>
      </c>
      <c r="X28" s="287"/>
      <c r="Y28" s="3625"/>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632"/>
      <c r="Q29" s="2210">
        <f t="shared" si="11"/>
        <v>111</v>
      </c>
      <c r="R29" s="1350" t="s">
        <v>64</v>
      </c>
      <c r="S29" s="1351">
        <f t="shared" ref="S29:S47" si="12">F29</f>
        <v>100</v>
      </c>
      <c r="T29" s="1350" t="s">
        <v>64</v>
      </c>
      <c r="U29" s="1351">
        <f t="shared" ref="U29:U47" si="13">H29</f>
        <v>100</v>
      </c>
      <c r="V29" s="1350" t="s">
        <v>64</v>
      </c>
      <c r="W29" s="1351">
        <f t="shared" ref="W29:W47" si="14">J29</f>
        <v>100</v>
      </c>
      <c r="X29" s="2212"/>
      <c r="Y29" s="3625"/>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632"/>
      <c r="Q30" s="2210">
        <f t="shared" si="11"/>
        <v>111</v>
      </c>
      <c r="R30" s="1350" t="s">
        <v>64</v>
      </c>
      <c r="S30" s="1351">
        <f t="shared" si="12"/>
        <v>100</v>
      </c>
      <c r="T30" s="1350" t="s">
        <v>64</v>
      </c>
      <c r="U30" s="1351">
        <f t="shared" si="13"/>
        <v>100</v>
      </c>
      <c r="V30" s="1350" t="s">
        <v>64</v>
      </c>
      <c r="W30" s="1351">
        <f t="shared" si="14"/>
        <v>100</v>
      </c>
      <c r="X30" s="2212"/>
      <c r="Y30" s="3625"/>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632"/>
      <c r="Q31" s="2210">
        <f t="shared" si="11"/>
        <v>111</v>
      </c>
      <c r="R31" s="1350" t="s">
        <v>64</v>
      </c>
      <c r="S31" s="1351">
        <f t="shared" si="12"/>
        <v>100</v>
      </c>
      <c r="T31" s="1350" t="s">
        <v>64</v>
      </c>
      <c r="U31" s="1351">
        <f t="shared" si="13"/>
        <v>100</v>
      </c>
      <c r="V31" s="1350" t="s">
        <v>64</v>
      </c>
      <c r="W31" s="1351">
        <f t="shared" si="14"/>
        <v>100</v>
      </c>
      <c r="X31" s="2212"/>
      <c r="Y31" s="3625"/>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632"/>
      <c r="Q32" s="2210">
        <f t="shared" si="11"/>
        <v>111</v>
      </c>
      <c r="R32" s="1350" t="s">
        <v>64</v>
      </c>
      <c r="S32" s="1351">
        <f t="shared" si="12"/>
        <v>100</v>
      </c>
      <c r="T32" s="1350" t="s">
        <v>64</v>
      </c>
      <c r="U32" s="1351">
        <f t="shared" si="13"/>
        <v>100</v>
      </c>
      <c r="V32" s="1350" t="s">
        <v>64</v>
      </c>
      <c r="W32" s="1351">
        <f t="shared" si="14"/>
        <v>100</v>
      </c>
      <c r="X32" s="2212"/>
      <c r="Y32" s="3625"/>
      <c r="Z32" s="2211">
        <f t="shared" si="15"/>
        <v>111</v>
      </c>
      <c r="AA32" s="1353">
        <f t="shared" si="3"/>
        <v>1</v>
      </c>
      <c r="AB32" s="1353">
        <f t="shared" si="4"/>
        <v>1</v>
      </c>
      <c r="AC32" s="2328">
        <f t="shared" si="5"/>
        <v>1</v>
      </c>
    </row>
    <row r="33" spans="1:29" ht="15">
      <c r="A33" s="155" t="s">
        <v>1090</v>
      </c>
      <c r="B33" s="62" t="s">
        <v>1091</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626" t="s">
        <v>1092</v>
      </c>
      <c r="Q33" s="2210" t="str">
        <f t="shared" si="11"/>
        <v>建筑类型</v>
      </c>
      <c r="R33" s="1350" t="s">
        <v>64</v>
      </c>
      <c r="S33" s="1351">
        <f t="shared" si="12"/>
        <v>100</v>
      </c>
      <c r="T33" s="1350" t="s">
        <v>64</v>
      </c>
      <c r="U33" s="1351">
        <f t="shared" si="13"/>
        <v>100</v>
      </c>
      <c r="V33" s="1350" t="s">
        <v>64</v>
      </c>
      <c r="W33" s="1351">
        <f t="shared" si="14"/>
        <v>100</v>
      </c>
      <c r="X33" s="2212"/>
      <c r="Y33" s="3629" t="s">
        <v>1092</v>
      </c>
      <c r="Z33" s="2211" t="str">
        <f t="shared" si="15"/>
        <v>建筑类型</v>
      </c>
      <c r="AA33" s="1353">
        <f t="shared" si="3"/>
        <v>1</v>
      </c>
      <c r="AB33" s="1353">
        <f t="shared" si="4"/>
        <v>1</v>
      </c>
      <c r="AC33" s="2328">
        <f t="shared" si="5"/>
        <v>1</v>
      </c>
    </row>
    <row r="34" spans="1:29" s="1037" customFormat="1" ht="14.25">
      <c r="A34" s="1041"/>
      <c r="B34" s="12" t="s">
        <v>75</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627"/>
      <c r="Q34" s="1357" t="str">
        <f t="shared" si="11"/>
        <v>项目建筑规模</v>
      </c>
      <c r="R34" s="1358" t="s">
        <v>64</v>
      </c>
      <c r="S34" s="1359" t="e">
        <f t="shared" si="12"/>
        <v>#N/A</v>
      </c>
      <c r="T34" s="1358" t="s">
        <v>64</v>
      </c>
      <c r="U34" s="1359" t="e">
        <f t="shared" si="13"/>
        <v>#N/A</v>
      </c>
      <c r="V34" s="1358" t="s">
        <v>64</v>
      </c>
      <c r="W34" s="1359" t="e">
        <f t="shared" si="14"/>
        <v>#N/A</v>
      </c>
      <c r="X34" s="1360"/>
      <c r="Y34" s="3629"/>
      <c r="Z34" s="1361" t="str">
        <f t="shared" si="15"/>
        <v>项目建筑规模</v>
      </c>
      <c r="AA34" s="1353" t="e">
        <f t="shared" si="3"/>
        <v>#N/A</v>
      </c>
      <c r="AB34" s="1353" t="e">
        <f t="shared" si="4"/>
        <v>#N/A</v>
      </c>
      <c r="AC34" s="2328" t="e">
        <f t="shared" si="5"/>
        <v>#N/A</v>
      </c>
    </row>
    <row r="35" spans="1:29" ht="15">
      <c r="A35" s="161"/>
      <c r="B35" s="12" t="s">
        <v>76</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627"/>
      <c r="Q35" s="2210" t="str">
        <f t="shared" si="11"/>
        <v>建筑结构</v>
      </c>
      <c r="R35" s="1350" t="s">
        <v>64</v>
      </c>
      <c r="S35" s="1351">
        <f t="shared" si="12"/>
        <v>100</v>
      </c>
      <c r="T35" s="1350" t="s">
        <v>64</v>
      </c>
      <c r="U35" s="1351">
        <f t="shared" si="13"/>
        <v>100</v>
      </c>
      <c r="V35" s="1350" t="s">
        <v>64</v>
      </c>
      <c r="W35" s="1351">
        <f t="shared" si="14"/>
        <v>100</v>
      </c>
      <c r="X35" s="2212"/>
      <c r="Y35" s="3629"/>
      <c r="Z35" s="2211" t="str">
        <f t="shared" si="15"/>
        <v>建筑结构</v>
      </c>
      <c r="AA35" s="1353">
        <f t="shared" si="3"/>
        <v>1</v>
      </c>
      <c r="AB35" s="1353">
        <f t="shared" si="4"/>
        <v>1</v>
      </c>
      <c r="AC35" s="2328">
        <f t="shared" si="5"/>
        <v>1</v>
      </c>
    </row>
    <row r="36" spans="1:29" ht="15">
      <c r="A36" s="161"/>
      <c r="B36" s="12" t="s">
        <v>132</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627"/>
      <c r="Q36" s="2210" t="str">
        <f t="shared" si="11"/>
        <v>公共部分装修</v>
      </c>
      <c r="R36" s="1350" t="s">
        <v>64</v>
      </c>
      <c r="S36" s="1351">
        <f t="shared" si="12"/>
        <v>100</v>
      </c>
      <c r="T36" s="1350" t="s">
        <v>64</v>
      </c>
      <c r="U36" s="1351">
        <f t="shared" si="13"/>
        <v>100</v>
      </c>
      <c r="V36" s="1350" t="s">
        <v>64</v>
      </c>
      <c r="W36" s="1351">
        <f t="shared" si="14"/>
        <v>100</v>
      </c>
      <c r="X36" s="2212"/>
      <c r="Y36" s="3629"/>
      <c r="Z36" s="2211" t="str">
        <f t="shared" si="15"/>
        <v>公共部分装修</v>
      </c>
      <c r="AA36" s="1353">
        <f t="shared" si="3"/>
        <v>1</v>
      </c>
      <c r="AB36" s="1353">
        <f t="shared" si="4"/>
        <v>1</v>
      </c>
      <c r="AC36" s="2328">
        <f t="shared" si="5"/>
        <v>1</v>
      </c>
    </row>
    <row r="37" spans="1:29" ht="15">
      <c r="A37" s="161"/>
      <c r="B37" s="12" t="s">
        <v>133</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627"/>
      <c r="Q37" s="2210" t="str">
        <f t="shared" si="11"/>
        <v>成新度</v>
      </c>
      <c r="R37" s="1350" t="s">
        <v>64</v>
      </c>
      <c r="S37" s="1351" t="e">
        <f t="shared" si="12"/>
        <v>#N/A</v>
      </c>
      <c r="T37" s="1350" t="s">
        <v>64</v>
      </c>
      <c r="U37" s="1351" t="e">
        <f t="shared" si="13"/>
        <v>#N/A</v>
      </c>
      <c r="V37" s="1350" t="s">
        <v>64</v>
      </c>
      <c r="W37" s="1351" t="e">
        <f t="shared" si="14"/>
        <v>#N/A</v>
      </c>
      <c r="X37" s="2212"/>
      <c r="Y37" s="3629"/>
      <c r="Z37" s="2211" t="str">
        <f t="shared" si="15"/>
        <v>成新度</v>
      </c>
      <c r="AA37" s="1353" t="e">
        <f t="shared" si="3"/>
        <v>#N/A</v>
      </c>
      <c r="AB37" s="1353" t="e">
        <f t="shared" si="4"/>
        <v>#N/A</v>
      </c>
      <c r="AC37" s="2328" t="e">
        <f t="shared" si="5"/>
        <v>#N/A</v>
      </c>
    </row>
    <row r="38" spans="1:29" s="40" customFormat="1" ht="15">
      <c r="A38" s="1039"/>
      <c r="B38" s="12" t="s">
        <v>146</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627"/>
      <c r="Q38" s="2203" t="str">
        <f t="shared" si="11"/>
        <v>写字楼等级</v>
      </c>
      <c r="R38" s="1340" t="s">
        <v>64</v>
      </c>
      <c r="S38" s="1341">
        <f t="shared" si="12"/>
        <v>100</v>
      </c>
      <c r="T38" s="1340" t="s">
        <v>64</v>
      </c>
      <c r="U38" s="1341">
        <f t="shared" si="13"/>
        <v>100</v>
      </c>
      <c r="V38" s="1340" t="s">
        <v>64</v>
      </c>
      <c r="W38" s="1341">
        <f t="shared" si="14"/>
        <v>100</v>
      </c>
      <c r="X38" s="287"/>
      <c r="Y38" s="3629"/>
      <c r="Z38" s="2202" t="str">
        <f t="shared" si="15"/>
        <v>写字楼等级</v>
      </c>
      <c r="AA38" s="1342">
        <f t="shared" si="3"/>
        <v>1</v>
      </c>
      <c r="AB38" s="1342">
        <f t="shared" si="4"/>
        <v>1</v>
      </c>
      <c r="AC38" s="2327">
        <f t="shared" si="5"/>
        <v>1</v>
      </c>
    </row>
    <row r="39" spans="1:29" ht="15">
      <c r="A39" s="161"/>
      <c r="B39" s="12" t="s">
        <v>147</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627" t="s">
        <v>69</v>
      </c>
      <c r="Q39" s="2210" t="str">
        <f t="shared" si="11"/>
        <v>物业管理</v>
      </c>
      <c r="R39" s="1350" t="s">
        <v>64</v>
      </c>
      <c r="S39" s="1351">
        <f t="shared" si="12"/>
        <v>100</v>
      </c>
      <c r="T39" s="1350" t="s">
        <v>64</v>
      </c>
      <c r="U39" s="1351">
        <f t="shared" si="13"/>
        <v>100</v>
      </c>
      <c r="V39" s="1350" t="s">
        <v>64</v>
      </c>
      <c r="W39" s="1351">
        <f t="shared" si="14"/>
        <v>100</v>
      </c>
      <c r="X39" s="2212"/>
      <c r="Y39" s="3629" t="s">
        <v>69</v>
      </c>
      <c r="Z39" s="2211" t="str">
        <f t="shared" si="15"/>
        <v>物业管理</v>
      </c>
      <c r="AA39" s="1353">
        <f t="shared" si="3"/>
        <v>1</v>
      </c>
      <c r="AB39" s="1353">
        <f t="shared" si="4"/>
        <v>1</v>
      </c>
      <c r="AC39" s="2328">
        <f t="shared" si="5"/>
        <v>1</v>
      </c>
    </row>
    <row r="40" spans="1:29" ht="15">
      <c r="A40" s="161"/>
      <c r="B40" s="12" t="s">
        <v>2654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627"/>
      <c r="Q40" s="2210" t="str">
        <f t="shared" si="11"/>
        <v>市政基础设施</v>
      </c>
      <c r="R40" s="1350" t="s">
        <v>64</v>
      </c>
      <c r="S40" s="1351">
        <f t="shared" si="12"/>
        <v>100</v>
      </c>
      <c r="T40" s="1350" t="s">
        <v>64</v>
      </c>
      <c r="U40" s="1351">
        <f t="shared" si="13"/>
        <v>100</v>
      </c>
      <c r="V40" s="1350" t="s">
        <v>64</v>
      </c>
      <c r="W40" s="1351">
        <f t="shared" si="14"/>
        <v>100</v>
      </c>
      <c r="X40" s="2212"/>
      <c r="Y40" s="3629"/>
      <c r="Z40" s="2211" t="str">
        <f t="shared" si="15"/>
        <v>市政基础设施</v>
      </c>
      <c r="AA40" s="1353">
        <f t="shared" si="3"/>
        <v>1</v>
      </c>
      <c r="AB40" s="1353">
        <f t="shared" si="4"/>
        <v>1</v>
      </c>
      <c r="AC40" s="2328">
        <f t="shared" si="5"/>
        <v>1</v>
      </c>
    </row>
    <row r="41" spans="1:29" ht="15">
      <c r="A41" s="161"/>
      <c r="B41" s="12" t="s">
        <v>135</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627"/>
      <c r="Q41" s="2210" t="str">
        <f t="shared" si="11"/>
        <v>层高</v>
      </c>
      <c r="R41" s="1350" t="s">
        <v>64</v>
      </c>
      <c r="S41" s="1351">
        <f t="shared" si="12"/>
        <v>100</v>
      </c>
      <c r="T41" s="1350" t="s">
        <v>64</v>
      </c>
      <c r="U41" s="1351">
        <f t="shared" si="13"/>
        <v>100</v>
      </c>
      <c r="V41" s="1350" t="s">
        <v>64</v>
      </c>
      <c r="W41" s="1351">
        <f t="shared" si="14"/>
        <v>100</v>
      </c>
      <c r="X41" s="2212"/>
      <c r="Y41" s="3629"/>
      <c r="Z41" s="2211" t="str">
        <f t="shared" si="15"/>
        <v>层高</v>
      </c>
      <c r="AA41" s="1353">
        <f t="shared" si="3"/>
        <v>1</v>
      </c>
      <c r="AB41" s="1353">
        <f t="shared" si="4"/>
        <v>1</v>
      </c>
      <c r="AC41" s="2328">
        <f t="shared" si="5"/>
        <v>1</v>
      </c>
    </row>
    <row r="42" spans="1:29" s="1037" customFormat="1" ht="14.25">
      <c r="A42" s="1041"/>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627"/>
      <c r="Q42" s="1357" t="str">
        <f t="shared" si="11"/>
        <v>单套建筑面积</v>
      </c>
      <c r="R42" s="1358" t="s">
        <v>64</v>
      </c>
      <c r="S42" s="1359">
        <f t="shared" si="12"/>
        <v>100</v>
      </c>
      <c r="T42" s="1358" t="s">
        <v>64</v>
      </c>
      <c r="U42" s="1359">
        <f t="shared" si="13"/>
        <v>100</v>
      </c>
      <c r="V42" s="1358" t="s">
        <v>64</v>
      </c>
      <c r="W42" s="1359">
        <f t="shared" si="14"/>
        <v>100</v>
      </c>
      <c r="X42" s="1360"/>
      <c r="Y42" s="3629"/>
      <c r="Z42" s="1361" t="str">
        <f t="shared" si="15"/>
        <v>单套建筑面积</v>
      </c>
      <c r="AA42" s="1353">
        <f t="shared" si="3"/>
        <v>1</v>
      </c>
      <c r="AB42" s="1353">
        <f t="shared" si="4"/>
        <v>1</v>
      </c>
      <c r="AC42" s="2328">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627"/>
      <c r="Q43" s="2210" t="str">
        <f t="shared" si="11"/>
        <v>内部装修</v>
      </c>
      <c r="R43" s="1350" t="s">
        <v>64</v>
      </c>
      <c r="S43" s="1351">
        <f t="shared" si="12"/>
        <v>100</v>
      </c>
      <c r="T43" s="1350" t="s">
        <v>64</v>
      </c>
      <c r="U43" s="1351">
        <f t="shared" si="13"/>
        <v>100</v>
      </c>
      <c r="V43" s="1350" t="s">
        <v>64</v>
      </c>
      <c r="W43" s="1351">
        <f t="shared" si="14"/>
        <v>100</v>
      </c>
      <c r="X43" s="2212"/>
      <c r="Y43" s="3629"/>
      <c r="Z43" s="2211" t="str">
        <f t="shared" si="15"/>
        <v>内部装修</v>
      </c>
      <c r="AA43" s="1353">
        <f t="shared" si="3"/>
        <v>1</v>
      </c>
      <c r="AB43" s="1353">
        <f t="shared" si="4"/>
        <v>1</v>
      </c>
      <c r="AC43" s="2328">
        <f t="shared" si="5"/>
        <v>1</v>
      </c>
    </row>
    <row r="44" spans="1:29" ht="27">
      <c r="A44" s="161"/>
      <c r="B44" s="12" t="s">
        <v>83</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627"/>
      <c r="Q44" s="2210" t="str">
        <f t="shared" si="11"/>
        <v>内部装修维护情况</v>
      </c>
      <c r="R44" s="1350" t="s">
        <v>64</v>
      </c>
      <c r="S44" s="1351">
        <f t="shared" si="12"/>
        <v>100</v>
      </c>
      <c r="T44" s="1350" t="s">
        <v>64</v>
      </c>
      <c r="U44" s="1351">
        <f t="shared" si="13"/>
        <v>100</v>
      </c>
      <c r="V44" s="1350" t="s">
        <v>64</v>
      </c>
      <c r="W44" s="1351">
        <f t="shared" si="14"/>
        <v>100</v>
      </c>
      <c r="X44" s="2212"/>
      <c r="Y44" s="3629"/>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627"/>
      <c r="Q45" s="2203">
        <f t="shared" si="11"/>
        <v>111</v>
      </c>
      <c r="R45" s="1340" t="s">
        <v>64</v>
      </c>
      <c r="S45" s="1341">
        <f t="shared" si="12"/>
        <v>100</v>
      </c>
      <c r="T45" s="1340" t="s">
        <v>64</v>
      </c>
      <c r="U45" s="1341">
        <f t="shared" si="13"/>
        <v>100</v>
      </c>
      <c r="V45" s="1340" t="s">
        <v>64</v>
      </c>
      <c r="W45" s="1341">
        <f t="shared" si="14"/>
        <v>100</v>
      </c>
      <c r="X45" s="287"/>
      <c r="Y45" s="3629"/>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627"/>
      <c r="Q46" s="2210">
        <f t="shared" si="11"/>
        <v>111</v>
      </c>
      <c r="R46" s="1350" t="s">
        <v>64</v>
      </c>
      <c r="S46" s="1351">
        <f t="shared" si="12"/>
        <v>100</v>
      </c>
      <c r="T46" s="1350" t="s">
        <v>64</v>
      </c>
      <c r="U46" s="1351">
        <f t="shared" si="13"/>
        <v>100</v>
      </c>
      <c r="V46" s="1350" t="s">
        <v>64</v>
      </c>
      <c r="W46" s="1351">
        <f t="shared" si="14"/>
        <v>100</v>
      </c>
      <c r="X46" s="2212"/>
      <c r="Y46" s="3629"/>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628"/>
      <c r="Q47" s="2210">
        <f t="shared" si="11"/>
        <v>111</v>
      </c>
      <c r="R47" s="1350" t="s">
        <v>64</v>
      </c>
      <c r="S47" s="1351">
        <f t="shared" si="12"/>
        <v>100</v>
      </c>
      <c r="T47" s="1350" t="s">
        <v>64</v>
      </c>
      <c r="U47" s="1351">
        <f t="shared" si="13"/>
        <v>100</v>
      </c>
      <c r="V47" s="1350" t="s">
        <v>64</v>
      </c>
      <c r="W47" s="1351">
        <f t="shared" si="14"/>
        <v>100</v>
      </c>
      <c r="X47" s="2212"/>
      <c r="Y47" s="3630"/>
      <c r="Z47" s="2211">
        <f t="shared" si="15"/>
        <v>111</v>
      </c>
      <c r="AA47" s="1353">
        <f t="shared" si="3"/>
        <v>1</v>
      </c>
      <c r="AB47" s="1353">
        <f t="shared" si="4"/>
        <v>1</v>
      </c>
      <c r="AC47" s="2328">
        <f t="shared" si="5"/>
        <v>1</v>
      </c>
    </row>
    <row r="48" spans="1:29" ht="15">
      <c r="A48" s="163" t="s">
        <v>1035</v>
      </c>
      <c r="B48" s="164"/>
      <c r="C48" s="2824" t="s">
        <v>23</v>
      </c>
      <c r="D48" s="2825"/>
      <c r="E48" s="2826"/>
      <c r="F48" s="2827"/>
      <c r="G48" s="2828"/>
      <c r="H48" s="2829"/>
      <c r="I48" s="2826"/>
      <c r="J48" s="826"/>
      <c r="K48" s="1391"/>
      <c r="L48" s="2294"/>
      <c r="M48" s="2287"/>
      <c r="N48" s="2287"/>
      <c r="O48" s="2287"/>
      <c r="P48" s="3604" t="str">
        <f>A48</f>
        <v>成交单价（元/平方米）</v>
      </c>
      <c r="Q48" s="3622"/>
      <c r="R48" s="3623">
        <f>E48</f>
        <v>0</v>
      </c>
      <c r="S48" s="3623"/>
      <c r="T48" s="3623">
        <f>G48</f>
        <v>0</v>
      </c>
      <c r="U48" s="3623"/>
      <c r="V48" s="3623">
        <f>I48</f>
        <v>0</v>
      </c>
      <c r="W48" s="3623"/>
      <c r="X48" s="156"/>
      <c r="Y48" s="1364"/>
      <c r="Z48" s="156"/>
      <c r="AA48" s="156"/>
      <c r="AB48" s="156"/>
      <c r="AC48" s="209"/>
    </row>
    <row r="49" spans="1:29" ht="15.75" thickBot="1">
      <c r="A49" s="165" t="s">
        <v>1036</v>
      </c>
      <c r="B49" s="166"/>
      <c r="C49" s="2830" t="e">
        <f>R50</f>
        <v>#DIV/0!</v>
      </c>
      <c r="D49" s="2831"/>
      <c r="E49" s="2832" t="e">
        <f>R49</f>
        <v>#DIV/0!</v>
      </c>
      <c r="F49" s="2832"/>
      <c r="G49" s="2830" t="e">
        <f>T49</f>
        <v>#DIV/0!</v>
      </c>
      <c r="H49" s="2831"/>
      <c r="I49" s="2832" t="e">
        <f>V49</f>
        <v>#DIV/0!</v>
      </c>
      <c r="J49" s="830"/>
      <c r="K49" s="1392"/>
      <c r="L49" s="2294"/>
      <c r="M49" s="2287"/>
      <c r="N49" s="2287"/>
      <c r="O49" s="2287"/>
      <c r="P49" s="3604" t="str">
        <f>A49</f>
        <v>比较价值（元/平方米）</v>
      </c>
      <c r="Q49" s="3622"/>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156"/>
      <c r="Y49" s="156"/>
      <c r="Z49" s="156"/>
      <c r="AA49" s="156"/>
      <c r="AB49" s="156"/>
      <c r="AC49" s="209"/>
    </row>
    <row r="50" spans="1:29" ht="15.75" thickBot="1">
      <c r="A50" s="115" t="s">
        <v>3017</v>
      </c>
      <c r="B50" s="116"/>
      <c r="C50" s="2834" t="e">
        <f>R50</f>
        <v>#DIV/0!</v>
      </c>
      <c r="D50" s="2834"/>
      <c r="E50" s="2834"/>
      <c r="F50" s="2834"/>
      <c r="G50" s="2834"/>
      <c r="H50" s="2834"/>
      <c r="I50" s="2834"/>
      <c r="J50" s="835"/>
      <c r="K50" s="1393"/>
      <c r="L50" s="2294"/>
      <c r="M50" s="2287"/>
      <c r="N50" s="2287"/>
      <c r="O50" s="2287"/>
      <c r="P50" s="3645" t="str">
        <f>A50</f>
        <v>估价对象XX用房的比较价值（楼面单价，元/平方米）</v>
      </c>
      <c r="Q50" s="3646"/>
      <c r="R50" s="3647" t="e">
        <f>IF(F1="售价",ROUND(AVERAGE(R49:V49),0),ROUND(AVERAGE(R49:V49),1))</f>
        <v>#DIV/0!</v>
      </c>
      <c r="S50" s="3647"/>
      <c r="T50" s="3647"/>
      <c r="U50" s="3647"/>
      <c r="V50" s="3647"/>
      <c r="W50" s="3647"/>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1037</v>
      </c>
      <c r="B58" s="1363"/>
      <c r="C58" s="1371"/>
      <c r="D58" s="1371"/>
      <c r="E58" s="1371"/>
      <c r="F58" s="1372"/>
      <c r="G58" s="1372"/>
      <c r="H58" s="1371"/>
      <c r="I58" s="1371"/>
      <c r="J58" s="1371"/>
      <c r="K58" s="1373"/>
      <c r="L58" s="2302"/>
      <c r="M58" s="2303"/>
      <c r="N58" s="2303"/>
      <c r="O58" s="2303"/>
      <c r="P58" s="2317"/>
      <c r="Q58" s="121"/>
    </row>
    <row r="59" spans="1:29" s="849" customFormat="1" ht="15">
      <c r="A59" s="846" t="s">
        <v>2793</v>
      </c>
      <c r="B59" s="847"/>
      <c r="C59" s="3032" t="str">
        <f>YEAR(C7)&amp;"-"&amp;MONTH(C7)</f>
        <v>2017-9</v>
      </c>
      <c r="D59" s="3033">
        <f>EDATE(C59,-1)</f>
        <v>42948</v>
      </c>
      <c r="E59" s="3033">
        <f>EDATE(D59,-1)</f>
        <v>42917</v>
      </c>
      <c r="F59" s="3033">
        <f t="shared" ref="F59:O59" si="16">EDATE(E59,-1)</f>
        <v>42887</v>
      </c>
      <c r="G59" s="3033">
        <f t="shared" si="16"/>
        <v>42856</v>
      </c>
      <c r="H59" s="3033">
        <f t="shared" si="16"/>
        <v>42826</v>
      </c>
      <c r="I59" s="3033">
        <f t="shared" si="16"/>
        <v>42795</v>
      </c>
      <c r="J59" s="3033">
        <f t="shared" si="16"/>
        <v>42767</v>
      </c>
      <c r="K59" s="3033">
        <f t="shared" si="16"/>
        <v>42736</v>
      </c>
      <c r="L59" s="3033">
        <f t="shared" si="16"/>
        <v>42705</v>
      </c>
      <c r="M59" s="3033">
        <f t="shared" si="16"/>
        <v>42675</v>
      </c>
      <c r="N59" s="3033">
        <f t="shared" si="16"/>
        <v>42644</v>
      </c>
      <c r="O59" s="3033">
        <f t="shared" si="16"/>
        <v>42614</v>
      </c>
      <c r="P59" s="3027"/>
    </row>
    <row r="60" spans="1:29" s="40" customFormat="1" ht="14.25">
      <c r="A60" s="1043"/>
      <c r="B60" s="1044"/>
      <c r="C60" s="3030">
        <v>100</v>
      </c>
      <c r="D60" s="853"/>
      <c r="E60" s="853"/>
      <c r="F60" s="853"/>
      <c r="G60" s="853"/>
      <c r="H60" s="853"/>
      <c r="I60" s="853"/>
      <c r="J60" s="853"/>
      <c r="K60" s="853"/>
      <c r="L60" s="853"/>
      <c r="M60" s="854"/>
      <c r="N60" s="853"/>
      <c r="O60" s="854"/>
      <c r="P60" s="2318"/>
    </row>
    <row r="61" spans="1:29" s="40" customFormat="1" ht="15" thickBot="1">
      <c r="A61" s="1045" t="s">
        <v>1038</v>
      </c>
      <c r="B61" s="1046"/>
      <c r="C61" s="858"/>
      <c r="D61" s="859"/>
      <c r="E61" s="859"/>
      <c r="F61" s="859"/>
      <c r="G61" s="859"/>
      <c r="H61" s="859"/>
      <c r="I61" s="859"/>
      <c r="J61" s="859"/>
      <c r="K61" s="859"/>
      <c r="L61" s="859"/>
      <c r="M61" s="860"/>
      <c r="N61" s="859"/>
      <c r="O61" s="860"/>
      <c r="P61" s="2318"/>
      <c r="Q61" s="121"/>
    </row>
    <row r="62" spans="1:29" s="40" customFormat="1">
      <c r="A62" s="1047" t="s">
        <v>1039</v>
      </c>
      <c r="B62" s="1044"/>
      <c r="C62" s="1048" t="s">
        <v>1040</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1041</v>
      </c>
      <c r="B64" s="286" t="s">
        <v>1042</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0"/>
      <c r="Q66" s="121"/>
    </row>
    <row r="67" spans="1:17" ht="15" thickBot="1">
      <c r="A67" s="173"/>
      <c r="B67" s="1053"/>
      <c r="C67" s="885" t="s">
        <v>137</v>
      </c>
      <c r="D67" s="885" t="s">
        <v>138</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2663</v>
      </c>
      <c r="C83" s="213" t="s">
        <v>2656</v>
      </c>
      <c r="D83" s="213" t="s">
        <v>2657</v>
      </c>
      <c r="E83" s="213" t="s">
        <v>2658</v>
      </c>
      <c r="F83" s="213" t="s">
        <v>2659</v>
      </c>
      <c r="G83" s="213" t="s">
        <v>2660</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1097</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1055</v>
      </c>
      <c r="B101" s="286" t="s">
        <v>1098</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1058</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1059</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1100</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2638</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1062</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1065</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1105</v>
      </c>
      <c r="B1" s="3109" t="s">
        <v>1106</v>
      </c>
      <c r="C1" s="3103" t="s">
        <v>1107</v>
      </c>
      <c r="D1" s="3094"/>
      <c r="E1" s="3099"/>
      <c r="F1" s="3096"/>
      <c r="G1" s="3098" t="s">
        <v>1108</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1109</v>
      </c>
      <c r="B2" s="2835" t="e">
        <f ca="1">IF(C2="——",ROUND(C43*D3/10000,0),ROUND(C43*D3/10000,0)-D2)</f>
        <v>#DIV/0!</v>
      </c>
      <c r="C2" s="3088"/>
      <c r="D2" s="2333"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95896.06</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1112</v>
      </c>
      <c r="B4" s="144"/>
      <c r="C4" s="3605" t="s">
        <v>1113</v>
      </c>
      <c r="D4" s="3606"/>
      <c r="E4" s="3607" t="s">
        <v>1114</v>
      </c>
      <c r="F4" s="3608"/>
      <c r="G4" s="3605" t="s">
        <v>1115</v>
      </c>
      <c r="H4" s="3606"/>
      <c r="I4" s="3605" t="s">
        <v>1116</v>
      </c>
      <c r="J4" s="3606"/>
      <c r="K4" s="187" t="s">
        <v>1117</v>
      </c>
      <c r="L4" s="2286"/>
      <c r="M4" s="2287"/>
      <c r="N4" s="2287"/>
      <c r="O4" s="2287"/>
      <c r="P4" s="3609" t="s">
        <v>1112</v>
      </c>
      <c r="Q4" s="3610"/>
      <c r="R4" s="3592" t="s">
        <v>1114</v>
      </c>
      <c r="S4" s="3593"/>
      <c r="T4" s="3592" t="s">
        <v>1115</v>
      </c>
      <c r="U4" s="3593"/>
      <c r="V4" s="3617" t="s">
        <v>1116</v>
      </c>
      <c r="W4" s="3617"/>
      <c r="X4" s="1338"/>
      <c r="Y4" s="3592" t="s">
        <v>1112</v>
      </c>
      <c r="Z4" s="3593"/>
      <c r="AA4" s="3587" t="s">
        <v>1114</v>
      </c>
      <c r="AB4" s="3588" t="s">
        <v>1115</v>
      </c>
      <c r="AC4" s="3587" t="s">
        <v>1116</v>
      </c>
    </row>
    <row r="5" spans="1:29">
      <c r="A5" s="146"/>
      <c r="B5" s="147"/>
      <c r="C5" s="3598" t="s">
        <v>1118</v>
      </c>
      <c r="D5" s="3599"/>
      <c r="E5" s="3596" t="s">
        <v>1119</v>
      </c>
      <c r="F5" s="3597"/>
      <c r="G5" s="3598" t="s">
        <v>1120</v>
      </c>
      <c r="H5" s="3599"/>
      <c r="I5" s="3598" t="s">
        <v>1121</v>
      </c>
      <c r="J5" s="3599"/>
      <c r="K5" s="187"/>
      <c r="L5" s="2286"/>
      <c r="M5" s="2287"/>
      <c r="N5" s="2287"/>
      <c r="O5" s="2287"/>
      <c r="P5" s="3611"/>
      <c r="Q5" s="3612"/>
      <c r="R5" s="3594"/>
      <c r="S5" s="3595"/>
      <c r="T5" s="3594"/>
      <c r="U5" s="3595"/>
      <c r="V5" s="3617"/>
      <c r="W5" s="3617"/>
      <c r="X5" s="1338"/>
      <c r="Y5" s="3594"/>
      <c r="Z5" s="3595"/>
      <c r="AA5" s="3588"/>
      <c r="AB5" s="3588"/>
      <c r="AC5" s="3588"/>
    </row>
    <row r="6" spans="1:29" ht="14.25" thickBot="1">
      <c r="A6" s="148"/>
      <c r="B6" s="149"/>
      <c r="C6" s="3600" t="s">
        <v>1122</v>
      </c>
      <c r="D6" s="3601"/>
      <c r="E6" s="3602" t="s">
        <v>1122</v>
      </c>
      <c r="F6" s="3603"/>
      <c r="G6" s="3600" t="s">
        <v>1122</v>
      </c>
      <c r="H6" s="3601"/>
      <c r="I6" s="3600" t="s">
        <v>1122</v>
      </c>
      <c r="J6" s="3601"/>
      <c r="K6" s="187" t="s">
        <v>1123</v>
      </c>
      <c r="L6" s="2286"/>
      <c r="M6" s="2287"/>
      <c r="N6" s="2287"/>
      <c r="O6" s="2287"/>
      <c r="P6" s="3613"/>
      <c r="Q6" s="3614"/>
      <c r="R6" s="3594"/>
      <c r="S6" s="3595"/>
      <c r="T6" s="3615"/>
      <c r="U6" s="3616"/>
      <c r="V6" s="3617"/>
      <c r="W6" s="3617"/>
      <c r="X6" s="1338"/>
      <c r="Y6" s="3615"/>
      <c r="Z6" s="3616"/>
      <c r="AA6" s="3589"/>
      <c r="AB6" s="3589"/>
      <c r="AC6" s="3589"/>
    </row>
    <row r="7" spans="1:29" s="40" customFormat="1" ht="15" thickBot="1">
      <c r="A7" s="1012" t="s">
        <v>1124</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590" t="s">
        <v>1124</v>
      </c>
      <c r="Q7" s="3618"/>
      <c r="R7" s="1340" t="s">
        <v>64</v>
      </c>
      <c r="S7" s="1341">
        <f t="shared" ref="S7:S15" si="0">F7</f>
        <v>0</v>
      </c>
      <c r="T7" s="1340" t="s">
        <v>64</v>
      </c>
      <c r="U7" s="1341">
        <f t="shared" ref="U7:U15" si="1">H7</f>
        <v>0</v>
      </c>
      <c r="V7" s="1340" t="s">
        <v>64</v>
      </c>
      <c r="W7" s="1341">
        <f t="shared" ref="W7:W15" si="2">J7</f>
        <v>0</v>
      </c>
      <c r="X7" s="287"/>
      <c r="Y7" s="3590" t="s">
        <v>1124</v>
      </c>
      <c r="Z7" s="3591"/>
      <c r="AA7" s="1342" t="e">
        <f>D7/F7</f>
        <v>#DIV/0!</v>
      </c>
      <c r="AB7" s="1342" t="e">
        <f>D7/H7</f>
        <v>#DIV/0!</v>
      </c>
      <c r="AC7" s="1342" t="e">
        <f>D7/J7</f>
        <v>#DIV/0!</v>
      </c>
    </row>
    <row r="8" spans="1:29" s="40" customFormat="1" ht="15" thickBot="1">
      <c r="A8" s="1012" t="s">
        <v>1125</v>
      </c>
      <c r="B8" s="1013"/>
      <c r="C8" s="1018" t="s">
        <v>154</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590" t="s">
        <v>1020</v>
      </c>
      <c r="Q8" s="3591"/>
      <c r="R8" s="1340" t="s">
        <v>64</v>
      </c>
      <c r="S8" s="1341">
        <f t="shared" si="0"/>
        <v>0</v>
      </c>
      <c r="T8" s="1340" t="s">
        <v>64</v>
      </c>
      <c r="U8" s="1341">
        <f t="shared" si="1"/>
        <v>0</v>
      </c>
      <c r="V8" s="1340" t="s">
        <v>64</v>
      </c>
      <c r="W8" s="1341">
        <f t="shared" si="2"/>
        <v>0</v>
      </c>
      <c r="X8" s="287"/>
      <c r="Y8" s="3590" t="s">
        <v>1020</v>
      </c>
      <c r="Z8" s="3591"/>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622"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622"/>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622"/>
      <c r="Q11" s="7" t="str">
        <f t="shared" si="6"/>
        <v>容积率</v>
      </c>
      <c r="R11" s="1340" t="s">
        <v>64</v>
      </c>
      <c r="S11" s="1341" t="e">
        <f t="shared" si="0"/>
        <v>#N/A</v>
      </c>
      <c r="T11" s="1340" t="s">
        <v>64</v>
      </c>
      <c r="U11" s="1341" t="e">
        <f t="shared" si="1"/>
        <v>#N/A</v>
      </c>
      <c r="V11" s="1340" t="s">
        <v>64</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622"/>
      <c r="Q12" s="7">
        <f t="shared" si="6"/>
        <v>111</v>
      </c>
      <c r="R12" s="1340" t="s">
        <v>64</v>
      </c>
      <c r="S12" s="1341">
        <f t="shared" si="0"/>
        <v>100</v>
      </c>
      <c r="T12" s="1340" t="s">
        <v>64</v>
      </c>
      <c r="U12" s="1341">
        <f t="shared" si="1"/>
        <v>100</v>
      </c>
      <c r="V12" s="1340" t="s">
        <v>64</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622"/>
      <c r="Q13" s="7">
        <f t="shared" si="6"/>
        <v>111</v>
      </c>
      <c r="R13" s="1340" t="s">
        <v>64</v>
      </c>
      <c r="S13" s="1341">
        <f t="shared" si="0"/>
        <v>100</v>
      </c>
      <c r="T13" s="1340" t="s">
        <v>64</v>
      </c>
      <c r="U13" s="1341">
        <f t="shared" si="1"/>
        <v>100</v>
      </c>
      <c r="V13" s="1340" t="s">
        <v>64</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622"/>
      <c r="Q14" s="7">
        <f t="shared" si="6"/>
        <v>111</v>
      </c>
      <c r="R14" s="1340" t="s">
        <v>64</v>
      </c>
      <c r="S14" s="1341">
        <f t="shared" si="0"/>
        <v>100</v>
      </c>
      <c r="T14" s="1340" t="s">
        <v>64</v>
      </c>
      <c r="U14" s="1341">
        <f t="shared" si="1"/>
        <v>100</v>
      </c>
      <c r="V14" s="1340" t="s">
        <v>64</v>
      </c>
      <c r="W14" s="1341">
        <f t="shared" si="2"/>
        <v>100</v>
      </c>
      <c r="X14" s="287"/>
      <c r="Y14" s="3428"/>
      <c r="Z14" s="288">
        <f t="shared" si="7"/>
        <v>111</v>
      </c>
      <c r="AA14" s="1342">
        <f t="shared" si="3"/>
        <v>1</v>
      </c>
      <c r="AB14" s="1342">
        <f t="shared" si="4"/>
        <v>1</v>
      </c>
      <c r="AC14" s="1342">
        <f t="shared" si="5"/>
        <v>1</v>
      </c>
    </row>
    <row r="15" spans="1:29" ht="67.5">
      <c r="A15" s="155" t="s">
        <v>68</v>
      </c>
      <c r="B15" s="58" t="s">
        <v>150</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624" t="s">
        <v>68</v>
      </c>
      <c r="Q15" s="1349" t="str">
        <f t="shared" si="6"/>
        <v>产业集聚程度</v>
      </c>
      <c r="R15" s="1350" t="s">
        <v>64</v>
      </c>
      <c r="S15" s="1351">
        <f t="shared" si="0"/>
        <v>100</v>
      </c>
      <c r="T15" s="1350" t="s">
        <v>64</v>
      </c>
      <c r="U15" s="1351">
        <f t="shared" si="1"/>
        <v>100</v>
      </c>
      <c r="V15" s="1350" t="s">
        <v>64</v>
      </c>
      <c r="W15" s="1351">
        <f t="shared" si="2"/>
        <v>100</v>
      </c>
      <c r="X15" s="1338"/>
      <c r="Y15" s="3624" t="s">
        <v>68</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625"/>
      <c r="Q16" s="1349"/>
      <c r="R16" s="1350"/>
      <c r="S16" s="1351"/>
      <c r="T16" s="1350"/>
      <c r="U16" s="1351"/>
      <c r="V16" s="1350"/>
      <c r="W16" s="1351"/>
      <c r="X16" s="1338"/>
      <c r="Y16" s="3625"/>
      <c r="Z16" s="1352"/>
      <c r="AA16" s="1353">
        <v>1</v>
      </c>
      <c r="AB16" s="1353">
        <v>1</v>
      </c>
      <c r="AC16" s="1353">
        <v>1</v>
      </c>
    </row>
    <row r="17" spans="1:29" ht="94.5">
      <c r="A17" s="151"/>
      <c r="B17" s="1354" t="s">
        <v>71</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625"/>
      <c r="Q17" s="1349" t="str">
        <f>B17</f>
        <v>交通便捷度</v>
      </c>
      <c r="R17" s="1350" t="s">
        <v>64</v>
      </c>
      <c r="S17" s="1351">
        <f>F17</f>
        <v>100</v>
      </c>
      <c r="T17" s="1350" t="s">
        <v>64</v>
      </c>
      <c r="U17" s="1351">
        <f>H17</f>
        <v>100</v>
      </c>
      <c r="V17" s="1350" t="s">
        <v>64</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625"/>
      <c r="Q18" s="1349"/>
      <c r="R18" s="1350"/>
      <c r="S18" s="1351"/>
      <c r="T18" s="1350"/>
      <c r="U18" s="1351"/>
      <c r="V18" s="1350"/>
      <c r="W18" s="1351"/>
      <c r="X18" s="1338"/>
      <c r="Y18" s="3625"/>
      <c r="Z18" s="1352"/>
      <c r="AA18" s="1353">
        <v>1</v>
      </c>
      <c r="AB18" s="1353">
        <v>1</v>
      </c>
      <c r="AC18" s="1353">
        <v>1</v>
      </c>
    </row>
    <row r="19" spans="1:29" ht="40.5">
      <c r="A19" s="151"/>
      <c r="B19" s="1354" t="s">
        <v>2661</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625"/>
      <c r="Q19" s="1349" t="str">
        <f>B19</f>
        <v>公共配套设施</v>
      </c>
      <c r="R19" s="1350" t="s">
        <v>64</v>
      </c>
      <c r="S19" s="1351">
        <f>F19</f>
        <v>100</v>
      </c>
      <c r="T19" s="1350" t="s">
        <v>64</v>
      </c>
      <c r="U19" s="1351">
        <f>H19</f>
        <v>100</v>
      </c>
      <c r="V19" s="1350" t="s">
        <v>64</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625"/>
      <c r="Q20" s="1349"/>
      <c r="R20" s="1350"/>
      <c r="S20" s="1351"/>
      <c r="T20" s="1350"/>
      <c r="U20" s="1351"/>
      <c r="V20" s="1350"/>
      <c r="W20" s="1351"/>
      <c r="X20" s="1338"/>
      <c r="Y20" s="3625"/>
      <c r="Z20" s="1352"/>
      <c r="AA20" s="1353">
        <v>1</v>
      </c>
      <c r="AB20" s="1353">
        <v>1</v>
      </c>
      <c r="AC20" s="1353">
        <v>1</v>
      </c>
    </row>
    <row r="21" spans="1:29" ht="40.5">
      <c r="A21" s="151"/>
      <c r="B21" s="1410" t="s">
        <v>2664</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625"/>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625"/>
      <c r="Q22" s="2737"/>
      <c r="R22" s="1350"/>
      <c r="S22" s="1351"/>
      <c r="T22" s="1350"/>
      <c r="U22" s="1351"/>
      <c r="V22" s="1350"/>
      <c r="W22" s="1351"/>
      <c r="X22" s="2739"/>
      <c r="Y22" s="3625"/>
      <c r="Z22" s="2738"/>
      <c r="AA22" s="1353">
        <v>1</v>
      </c>
      <c r="AB22" s="1353">
        <v>1</v>
      </c>
      <c r="AC22" s="1353">
        <v>1</v>
      </c>
    </row>
    <row r="23" spans="1:29" ht="81">
      <c r="A23" s="151"/>
      <c r="B23" s="1354" t="s">
        <v>142</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625"/>
      <c r="Q23" s="1349" t="str">
        <f>B23</f>
        <v>环境质量</v>
      </c>
      <c r="R23" s="1350" t="s">
        <v>64</v>
      </c>
      <c r="S23" s="1351">
        <f>F23</f>
        <v>100</v>
      </c>
      <c r="T23" s="1350" t="s">
        <v>64</v>
      </c>
      <c r="U23" s="1351">
        <f>H23</f>
        <v>100</v>
      </c>
      <c r="V23" s="1350" t="s">
        <v>64</v>
      </c>
      <c r="W23" s="1351">
        <f>J23</f>
        <v>100</v>
      </c>
      <c r="X23" s="1338"/>
      <c r="Y23" s="3625"/>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625"/>
      <c r="Q24" s="1349"/>
      <c r="R24" s="1350"/>
      <c r="S24" s="1351"/>
      <c r="T24" s="1350"/>
      <c r="U24" s="1351"/>
      <c r="V24" s="1350"/>
      <c r="W24" s="1351"/>
      <c r="X24" s="1338"/>
      <c r="Y24" s="3625"/>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625"/>
      <c r="Q25" s="1349">
        <f>B25</f>
        <v>111</v>
      </c>
      <c r="R25" s="1350" t="s">
        <v>64</v>
      </c>
      <c r="S25" s="1351">
        <f>F25</f>
        <v>100</v>
      </c>
      <c r="T25" s="1350" t="s">
        <v>64</v>
      </c>
      <c r="U25" s="1351">
        <f>H25</f>
        <v>100</v>
      </c>
      <c r="V25" s="1350" t="s">
        <v>64</v>
      </c>
      <c r="W25" s="1351">
        <f>J25</f>
        <v>100</v>
      </c>
      <c r="X25" s="1338"/>
      <c r="Y25" s="3625"/>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625"/>
      <c r="Q26" s="1349">
        <f t="shared" ref="Q26:Q40" si="11">B26</f>
        <v>111</v>
      </c>
      <c r="R26" s="1350" t="s">
        <v>64</v>
      </c>
      <c r="S26" s="1351">
        <f>F26</f>
        <v>100</v>
      </c>
      <c r="T26" s="1350" t="s">
        <v>64</v>
      </c>
      <c r="U26" s="1351">
        <f>H26</f>
        <v>100</v>
      </c>
      <c r="V26" s="1350" t="s">
        <v>64</v>
      </c>
      <c r="W26" s="1351">
        <f>J26</f>
        <v>100</v>
      </c>
      <c r="X26" s="1338"/>
      <c r="Y26" s="3625"/>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625"/>
      <c r="Q27" s="7">
        <f t="shared" si="11"/>
        <v>111</v>
      </c>
      <c r="R27" s="1340" t="s">
        <v>64</v>
      </c>
      <c r="S27" s="1341">
        <f>F27</f>
        <v>100</v>
      </c>
      <c r="T27" s="1340" t="s">
        <v>64</v>
      </c>
      <c r="U27" s="1341">
        <f>H27</f>
        <v>100</v>
      </c>
      <c r="V27" s="1340" t="s">
        <v>64</v>
      </c>
      <c r="W27" s="1341">
        <f>J27</f>
        <v>100</v>
      </c>
      <c r="X27" s="287"/>
      <c r="Y27" s="3625"/>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625"/>
      <c r="Q28" s="1349">
        <f t="shared" si="11"/>
        <v>111</v>
      </c>
      <c r="R28" s="1350" t="s">
        <v>64</v>
      </c>
      <c r="S28" s="1351">
        <f t="shared" ref="S28:S40" si="12">F28</f>
        <v>100</v>
      </c>
      <c r="T28" s="1350" t="s">
        <v>64</v>
      </c>
      <c r="U28" s="1351">
        <f t="shared" ref="U28:U40" si="13">H28</f>
        <v>100</v>
      </c>
      <c r="V28" s="1350" t="s">
        <v>64</v>
      </c>
      <c r="W28" s="1351">
        <f t="shared" ref="W28:W40" si="14">J28</f>
        <v>100</v>
      </c>
      <c r="X28" s="1338"/>
      <c r="Y28" s="3625"/>
      <c r="Z28" s="1352">
        <f t="shared" ref="Z28:Z40" si="15">Q28</f>
        <v>111</v>
      </c>
      <c r="AA28" s="1353">
        <f t="shared" si="3"/>
        <v>1</v>
      </c>
      <c r="AB28" s="1353">
        <f t="shared" si="4"/>
        <v>1</v>
      </c>
      <c r="AC28" s="1353">
        <f t="shared" si="5"/>
        <v>1</v>
      </c>
    </row>
    <row r="29" spans="1:29" ht="15">
      <c r="A29" s="160" t="s">
        <v>69</v>
      </c>
      <c r="B29" s="62" t="s">
        <v>145</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8" t="s">
        <v>1126</v>
      </c>
      <c r="Q29" s="1349" t="str">
        <f t="shared" si="11"/>
        <v>建筑类型</v>
      </c>
      <c r="R29" s="1350" t="s">
        <v>64</v>
      </c>
      <c r="S29" s="1351">
        <f t="shared" si="12"/>
        <v>100</v>
      </c>
      <c r="T29" s="1350" t="s">
        <v>64</v>
      </c>
      <c r="U29" s="1351">
        <f t="shared" si="13"/>
        <v>100</v>
      </c>
      <c r="V29" s="1350" t="s">
        <v>64</v>
      </c>
      <c r="W29" s="1351">
        <f t="shared" si="14"/>
        <v>100</v>
      </c>
      <c r="X29" s="1338"/>
      <c r="Y29" s="3629" t="s">
        <v>1126</v>
      </c>
      <c r="Z29" s="1352" t="str">
        <f t="shared" si="15"/>
        <v>建筑类型</v>
      </c>
      <c r="AA29" s="1353">
        <f t="shared" si="3"/>
        <v>1</v>
      </c>
      <c r="AB29" s="1353">
        <f t="shared" si="4"/>
        <v>1</v>
      </c>
      <c r="AC29" s="1353">
        <f t="shared" si="5"/>
        <v>1</v>
      </c>
    </row>
    <row r="30" spans="1:29" s="1037" customFormat="1" ht="14.25">
      <c r="A30" s="1041"/>
      <c r="B30" s="12" t="s">
        <v>75</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629"/>
      <c r="Q30" s="1357" t="str">
        <f t="shared" si="11"/>
        <v>项目建筑规模</v>
      </c>
      <c r="R30" s="1358" t="s">
        <v>64</v>
      </c>
      <c r="S30" s="1359" t="e">
        <f t="shared" si="12"/>
        <v>#N/A</v>
      </c>
      <c r="T30" s="1358" t="s">
        <v>64</v>
      </c>
      <c r="U30" s="1359" t="e">
        <f t="shared" si="13"/>
        <v>#N/A</v>
      </c>
      <c r="V30" s="1358" t="s">
        <v>64</v>
      </c>
      <c r="W30" s="1359" t="e">
        <f t="shared" si="14"/>
        <v>#N/A</v>
      </c>
      <c r="X30" s="1360"/>
      <c r="Y30" s="3629"/>
      <c r="Z30" s="1361" t="str">
        <f t="shared" si="15"/>
        <v>项目建筑规模</v>
      </c>
      <c r="AA30" s="1353" t="e">
        <f t="shared" si="3"/>
        <v>#N/A</v>
      </c>
      <c r="AB30" s="1353" t="e">
        <f t="shared" si="4"/>
        <v>#N/A</v>
      </c>
      <c r="AC30" s="1353" t="e">
        <f t="shared" si="5"/>
        <v>#N/A</v>
      </c>
    </row>
    <row r="31" spans="1:29" ht="15">
      <c r="A31" s="161"/>
      <c r="B31" s="12" t="s">
        <v>76</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629"/>
      <c r="Q31" s="1349" t="str">
        <f t="shared" si="11"/>
        <v>建筑结构</v>
      </c>
      <c r="R31" s="1350" t="s">
        <v>64</v>
      </c>
      <c r="S31" s="1351">
        <f t="shared" si="12"/>
        <v>100</v>
      </c>
      <c r="T31" s="1350" t="s">
        <v>64</v>
      </c>
      <c r="U31" s="1351">
        <f t="shared" si="13"/>
        <v>100</v>
      </c>
      <c r="V31" s="1350" t="s">
        <v>64</v>
      </c>
      <c r="W31" s="1351">
        <f t="shared" si="14"/>
        <v>100</v>
      </c>
      <c r="X31" s="1338"/>
      <c r="Y31" s="3629"/>
      <c r="Z31" s="1352" t="str">
        <f t="shared" si="15"/>
        <v>建筑结构</v>
      </c>
      <c r="AA31" s="1353">
        <f t="shared" si="3"/>
        <v>1</v>
      </c>
      <c r="AB31" s="1353">
        <f t="shared" si="4"/>
        <v>1</v>
      </c>
      <c r="AC31" s="1353">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629"/>
      <c r="Q32" s="1349" t="str">
        <f t="shared" si="11"/>
        <v>公共部分装修</v>
      </c>
      <c r="R32" s="1350" t="s">
        <v>64</v>
      </c>
      <c r="S32" s="1351">
        <f t="shared" si="12"/>
        <v>100</v>
      </c>
      <c r="T32" s="1350" t="s">
        <v>64</v>
      </c>
      <c r="U32" s="1351">
        <f t="shared" si="13"/>
        <v>100</v>
      </c>
      <c r="V32" s="1350" t="s">
        <v>64</v>
      </c>
      <c r="W32" s="1351">
        <f t="shared" si="14"/>
        <v>100</v>
      </c>
      <c r="X32" s="1338"/>
      <c r="Y32" s="3629"/>
      <c r="Z32" s="1352" t="str">
        <f t="shared" si="15"/>
        <v>公共部分装修</v>
      </c>
      <c r="AA32" s="1353">
        <f t="shared" si="3"/>
        <v>1</v>
      </c>
      <c r="AB32" s="1353">
        <f t="shared" si="4"/>
        <v>1</v>
      </c>
      <c r="AC32" s="1353">
        <f t="shared" si="5"/>
        <v>1</v>
      </c>
    </row>
    <row r="33" spans="1:29" ht="15">
      <c r="A33" s="161"/>
      <c r="B33" s="12" t="s">
        <v>1029</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629"/>
      <c r="Q33" s="1349" t="str">
        <f t="shared" si="11"/>
        <v>成新度</v>
      </c>
      <c r="R33" s="1350" t="s">
        <v>64</v>
      </c>
      <c r="S33" s="1351" t="e">
        <f t="shared" si="12"/>
        <v>#N/A</v>
      </c>
      <c r="T33" s="1350" t="s">
        <v>64</v>
      </c>
      <c r="U33" s="1351" t="e">
        <f t="shared" si="13"/>
        <v>#N/A</v>
      </c>
      <c r="V33" s="1350" t="s">
        <v>64</v>
      </c>
      <c r="W33" s="1351" t="e">
        <f t="shared" si="14"/>
        <v>#N/A</v>
      </c>
      <c r="X33" s="1338"/>
      <c r="Y33" s="3629"/>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629"/>
      <c r="Q34" s="7" t="str">
        <f t="shared" si="11"/>
        <v>物业管理</v>
      </c>
      <c r="R34" s="1340" t="s">
        <v>64</v>
      </c>
      <c r="S34" s="1341">
        <f t="shared" si="12"/>
        <v>100</v>
      </c>
      <c r="T34" s="1340" t="s">
        <v>64</v>
      </c>
      <c r="U34" s="1341">
        <f t="shared" si="13"/>
        <v>100</v>
      </c>
      <c r="V34" s="1340" t="s">
        <v>64</v>
      </c>
      <c r="W34" s="1341">
        <f t="shared" si="14"/>
        <v>100</v>
      </c>
      <c r="X34" s="287"/>
      <c r="Y34" s="3629"/>
      <c r="Z34" s="288" t="str">
        <f t="shared" si="15"/>
        <v>物业管理</v>
      </c>
      <c r="AA34" s="1342">
        <f t="shared" si="3"/>
        <v>1</v>
      </c>
      <c r="AB34" s="1342">
        <f t="shared" si="4"/>
        <v>1</v>
      </c>
      <c r="AC34" s="1342">
        <f t="shared" si="5"/>
        <v>1</v>
      </c>
    </row>
    <row r="35" spans="1:29" ht="15">
      <c r="A35" s="161"/>
      <c r="B35" s="12" t="s">
        <v>2654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629" t="s">
        <v>69</v>
      </c>
      <c r="Q35" s="1349" t="str">
        <f t="shared" si="11"/>
        <v>市政基础设施</v>
      </c>
      <c r="R35" s="1350" t="s">
        <v>64</v>
      </c>
      <c r="S35" s="1351">
        <f t="shared" si="12"/>
        <v>100</v>
      </c>
      <c r="T35" s="1350" t="s">
        <v>64</v>
      </c>
      <c r="U35" s="1351">
        <f t="shared" si="13"/>
        <v>100</v>
      </c>
      <c r="V35" s="1350" t="s">
        <v>64</v>
      </c>
      <c r="W35" s="1351">
        <f t="shared" si="14"/>
        <v>100</v>
      </c>
      <c r="X35" s="1338"/>
      <c r="Y35" s="3629" t="s">
        <v>69</v>
      </c>
      <c r="Z35" s="1352" t="str">
        <f t="shared" si="15"/>
        <v>市政基础设施</v>
      </c>
      <c r="AA35" s="1353">
        <f t="shared" si="3"/>
        <v>1</v>
      </c>
      <c r="AB35" s="1353">
        <f t="shared" si="4"/>
        <v>1</v>
      </c>
      <c r="AC35" s="1353">
        <f t="shared" si="5"/>
        <v>1</v>
      </c>
    </row>
    <row r="36" spans="1:29" ht="15">
      <c r="A36" s="161"/>
      <c r="B36" s="12" t="s">
        <v>136</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629"/>
      <c r="Q36" s="1349" t="str">
        <f t="shared" si="11"/>
        <v>内部装修</v>
      </c>
      <c r="R36" s="1350" t="s">
        <v>64</v>
      </c>
      <c r="S36" s="1351">
        <f t="shared" si="12"/>
        <v>100</v>
      </c>
      <c r="T36" s="1350" t="s">
        <v>64</v>
      </c>
      <c r="U36" s="1351">
        <f t="shared" si="13"/>
        <v>100</v>
      </c>
      <c r="V36" s="1350" t="s">
        <v>64</v>
      </c>
      <c r="W36" s="1351">
        <f t="shared" si="14"/>
        <v>100</v>
      </c>
      <c r="X36" s="1338"/>
      <c r="Y36" s="3629"/>
      <c r="Z36" s="1352" t="str">
        <f t="shared" si="15"/>
        <v>内部装修</v>
      </c>
      <c r="AA36" s="1353">
        <f t="shared" si="3"/>
        <v>1</v>
      </c>
      <c r="AB36" s="1353">
        <f t="shared" si="4"/>
        <v>1</v>
      </c>
      <c r="AC36" s="1353">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629"/>
      <c r="Q37" s="1349" t="str">
        <f t="shared" si="11"/>
        <v>内部装修状况</v>
      </c>
      <c r="R37" s="1350" t="s">
        <v>64</v>
      </c>
      <c r="S37" s="1351">
        <f t="shared" si="12"/>
        <v>100</v>
      </c>
      <c r="T37" s="1350" t="s">
        <v>64</v>
      </c>
      <c r="U37" s="1351">
        <f t="shared" si="13"/>
        <v>100</v>
      </c>
      <c r="V37" s="1350" t="s">
        <v>64</v>
      </c>
      <c r="W37" s="1351">
        <f t="shared" si="14"/>
        <v>100</v>
      </c>
      <c r="X37" s="1338"/>
      <c r="Y37" s="3629"/>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629"/>
      <c r="Q38" s="1357">
        <f t="shared" si="11"/>
        <v>111</v>
      </c>
      <c r="R38" s="1358" t="s">
        <v>64</v>
      </c>
      <c r="S38" s="1359">
        <f t="shared" si="12"/>
        <v>100</v>
      </c>
      <c r="T38" s="1358" t="s">
        <v>64</v>
      </c>
      <c r="U38" s="1359">
        <f t="shared" si="13"/>
        <v>100</v>
      </c>
      <c r="V38" s="1358" t="s">
        <v>64</v>
      </c>
      <c r="W38" s="1359">
        <f t="shared" si="14"/>
        <v>100</v>
      </c>
      <c r="X38" s="1360"/>
      <c r="Y38" s="3629"/>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629"/>
      <c r="Q39" s="1349">
        <f t="shared" si="11"/>
        <v>111</v>
      </c>
      <c r="R39" s="1350" t="s">
        <v>64</v>
      </c>
      <c r="S39" s="1351">
        <f t="shared" si="12"/>
        <v>100</v>
      </c>
      <c r="T39" s="1350" t="s">
        <v>64</v>
      </c>
      <c r="U39" s="1351">
        <f t="shared" si="13"/>
        <v>100</v>
      </c>
      <c r="V39" s="1350" t="s">
        <v>64</v>
      </c>
      <c r="W39" s="1351">
        <f t="shared" si="14"/>
        <v>100</v>
      </c>
      <c r="X39" s="1338"/>
      <c r="Y39" s="3629"/>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630"/>
      <c r="Q40" s="1349">
        <f t="shared" si="11"/>
        <v>111</v>
      </c>
      <c r="R40" s="1350" t="s">
        <v>64</v>
      </c>
      <c r="S40" s="1351">
        <f t="shared" si="12"/>
        <v>100</v>
      </c>
      <c r="T40" s="1350" t="s">
        <v>64</v>
      </c>
      <c r="U40" s="1351">
        <f t="shared" si="13"/>
        <v>100</v>
      </c>
      <c r="V40" s="1350" t="s">
        <v>64</v>
      </c>
      <c r="W40" s="1351">
        <f t="shared" si="14"/>
        <v>100</v>
      </c>
      <c r="X40" s="1338"/>
      <c r="Y40" s="3630"/>
      <c r="Z40" s="1352">
        <f t="shared" si="15"/>
        <v>111</v>
      </c>
      <c r="AA40" s="1353">
        <f t="shared" si="3"/>
        <v>1</v>
      </c>
      <c r="AB40" s="1353">
        <f t="shared" si="4"/>
        <v>1</v>
      </c>
      <c r="AC40" s="1353">
        <f t="shared" si="5"/>
        <v>1</v>
      </c>
    </row>
    <row r="41" spans="1:29" ht="15">
      <c r="A41" s="163" t="s">
        <v>101</v>
      </c>
      <c r="B41" s="164"/>
      <c r="C41" s="2824" t="s">
        <v>23</v>
      </c>
      <c r="D41" s="2825"/>
      <c r="E41" s="2826"/>
      <c r="F41" s="2827"/>
      <c r="G41" s="2828"/>
      <c r="H41" s="2829"/>
      <c r="I41" s="2826"/>
      <c r="J41" s="2829"/>
      <c r="K41" s="1391"/>
      <c r="L41" s="2294"/>
      <c r="M41" s="2295"/>
      <c r="N41" s="2287"/>
      <c r="O41" s="2295"/>
      <c r="P41" s="3622" t="str">
        <f>A41</f>
        <v>成交单价（元/平方米）</v>
      </c>
      <c r="Q41" s="3622"/>
      <c r="R41" s="3623">
        <f>E41</f>
        <v>0</v>
      </c>
      <c r="S41" s="3623"/>
      <c r="T41" s="3623">
        <f>G41</f>
        <v>0</v>
      </c>
      <c r="U41" s="3623"/>
      <c r="V41" s="3623">
        <f>I41</f>
        <v>0</v>
      </c>
      <c r="W41" s="3623"/>
      <c r="X41" s="1363"/>
      <c r="Y41" s="1364"/>
      <c r="Z41" s="1363"/>
      <c r="AA41" s="1363"/>
      <c r="AB41" s="1363"/>
      <c r="AC41" s="1363"/>
    </row>
    <row r="42" spans="1:29" ht="15.75" thickBot="1">
      <c r="A42" s="165" t="s">
        <v>99</v>
      </c>
      <c r="B42" s="166"/>
      <c r="C42" s="2830" t="e">
        <f>R43</f>
        <v>#DIV/0!</v>
      </c>
      <c r="D42" s="2831"/>
      <c r="E42" s="2832" t="e">
        <f>R42</f>
        <v>#DIV/0!</v>
      </c>
      <c r="F42" s="2832"/>
      <c r="G42" s="2830" t="e">
        <f>T42</f>
        <v>#DIV/0!</v>
      </c>
      <c r="H42" s="2831"/>
      <c r="I42" s="2832" t="e">
        <f>V42</f>
        <v>#DIV/0!</v>
      </c>
      <c r="J42" s="2831"/>
      <c r="K42" s="1392"/>
      <c r="L42" s="2294"/>
      <c r="M42" s="2295"/>
      <c r="N42" s="2287"/>
      <c r="O42" s="2295"/>
      <c r="P42" s="3622" t="str">
        <f>A42</f>
        <v>比较价值（元/平方米）</v>
      </c>
      <c r="Q42" s="3622"/>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1363"/>
      <c r="Y42" s="1363"/>
      <c r="Z42" s="1363"/>
      <c r="AA42" s="1363"/>
      <c r="AB42" s="1363"/>
      <c r="AC42" s="1363"/>
    </row>
    <row r="43" spans="1:29" ht="15.75" thickBot="1">
      <c r="A43" s="115" t="s">
        <v>3017</v>
      </c>
      <c r="B43" s="116"/>
      <c r="C43" s="2834" t="e">
        <f>R43</f>
        <v>#DIV/0!</v>
      </c>
      <c r="D43" s="2834"/>
      <c r="E43" s="2834"/>
      <c r="F43" s="2834"/>
      <c r="G43" s="2834"/>
      <c r="H43" s="2834"/>
      <c r="I43" s="2834"/>
      <c r="J43" s="2834"/>
      <c r="K43" s="1393"/>
      <c r="L43" s="2294"/>
      <c r="M43" s="2295"/>
      <c r="N43" s="2295"/>
      <c r="O43" s="2295"/>
      <c r="P43" s="3619" t="str">
        <f>A43</f>
        <v>估价对象XX用房的比较价值（楼面单价，元/平方米）</v>
      </c>
      <c r="Q43" s="3620"/>
      <c r="R43" s="3621" t="e">
        <f>IF(F1="售价",ROUND(AVERAGE(R42:V42),0),ROUND(AVERAGE(R42:V42),1))</f>
        <v>#DIV/0!</v>
      </c>
      <c r="S43" s="3621"/>
      <c r="T43" s="3621"/>
      <c r="U43" s="3621"/>
      <c r="V43" s="3621"/>
      <c r="W43" s="3621"/>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126</v>
      </c>
      <c r="B51" s="1363"/>
      <c r="C51" s="1371"/>
      <c r="D51" s="1371"/>
      <c r="E51" s="1371"/>
      <c r="F51" s="1372"/>
      <c r="G51" s="1372"/>
      <c r="H51" s="1371"/>
      <c r="I51" s="1371"/>
      <c r="J51" s="1371"/>
      <c r="K51" s="2301"/>
      <c r="L51" s="2302"/>
      <c r="M51" s="2303"/>
      <c r="N51" s="2303"/>
      <c r="O51" s="2303"/>
      <c r="P51" s="120"/>
      <c r="Q51" s="121"/>
    </row>
    <row r="52" spans="1:17" s="849" customFormat="1" ht="15">
      <c r="A52" s="846" t="s">
        <v>2793</v>
      </c>
      <c r="B52" s="847"/>
      <c r="C52" s="3032" t="str">
        <f>YEAR(C7)&amp;"-"&amp;MONTH(C7)</f>
        <v>2017-9</v>
      </c>
      <c r="D52" s="3033">
        <f>EDATE(C52,-1)</f>
        <v>42948</v>
      </c>
      <c r="E52" s="3033">
        <f t="shared" ref="E52:O52" si="16">EDATE(D52,-1)</f>
        <v>42917</v>
      </c>
      <c r="F52" s="3033">
        <f t="shared" si="16"/>
        <v>42887</v>
      </c>
      <c r="G52" s="3033">
        <f t="shared" si="16"/>
        <v>42856</v>
      </c>
      <c r="H52" s="3033">
        <f t="shared" si="16"/>
        <v>42826</v>
      </c>
      <c r="I52" s="3033">
        <f t="shared" si="16"/>
        <v>42795</v>
      </c>
      <c r="J52" s="3033">
        <f t="shared" si="16"/>
        <v>42767</v>
      </c>
      <c r="K52" s="3033">
        <f t="shared" si="16"/>
        <v>42736</v>
      </c>
      <c r="L52" s="3033">
        <f t="shared" si="16"/>
        <v>42705</v>
      </c>
      <c r="M52" s="3033">
        <f t="shared" si="16"/>
        <v>42675</v>
      </c>
      <c r="N52" s="3033">
        <f t="shared" si="16"/>
        <v>42644</v>
      </c>
      <c r="O52" s="3033">
        <f t="shared" si="16"/>
        <v>42614</v>
      </c>
      <c r="P52" s="848"/>
    </row>
    <row r="53" spans="1:17" s="40" customFormat="1" ht="14.25">
      <c r="A53" s="1043"/>
      <c r="B53" s="1044"/>
      <c r="C53" s="3030">
        <v>100</v>
      </c>
      <c r="D53" s="853"/>
      <c r="E53" s="853"/>
      <c r="F53" s="853"/>
      <c r="G53" s="853"/>
      <c r="H53" s="853"/>
      <c r="I53" s="853"/>
      <c r="J53" s="853"/>
      <c r="K53" s="853"/>
      <c r="L53" s="853"/>
      <c r="M53" s="854"/>
      <c r="N53" s="853"/>
      <c r="O53" s="855"/>
      <c r="P53" s="121"/>
    </row>
    <row r="54" spans="1:17" s="40" customFormat="1" ht="15" thickBot="1">
      <c r="A54" s="1045" t="s">
        <v>117</v>
      </c>
      <c r="B54" s="1046"/>
      <c r="C54" s="858"/>
      <c r="D54" s="859"/>
      <c r="E54" s="859"/>
      <c r="F54" s="859"/>
      <c r="G54" s="859"/>
      <c r="H54" s="859"/>
      <c r="I54" s="859"/>
      <c r="J54" s="859"/>
      <c r="K54" s="859"/>
      <c r="L54" s="859"/>
      <c r="M54" s="860"/>
      <c r="N54" s="859"/>
      <c r="O54" s="861"/>
      <c r="P54" s="121"/>
      <c r="Q54" s="121"/>
    </row>
    <row r="55" spans="1:17" s="40" customFormat="1">
      <c r="A55" s="1047" t="s">
        <v>65</v>
      </c>
      <c r="B55" s="1044"/>
      <c r="C55" s="1048" t="s">
        <v>115</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66</v>
      </c>
      <c r="B57" s="286" t="s">
        <v>67</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105</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137</v>
      </c>
      <c r="D60" s="885" t="s">
        <v>138</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92</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68</v>
      </c>
      <c r="B70" s="286" t="s">
        <v>158</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91</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2636</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2664</v>
      </c>
      <c r="C76" s="213" t="s">
        <v>2656</v>
      </c>
      <c r="D76" s="213" t="s">
        <v>2657</v>
      </c>
      <c r="E76" s="213" t="s">
        <v>2658</v>
      </c>
      <c r="F76" s="213" t="s">
        <v>2659</v>
      </c>
      <c r="G76" s="213" t="s">
        <v>2660</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148</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69</v>
      </c>
      <c r="B88" s="286" t="s">
        <v>122</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95</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94</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123</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111</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124</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2638</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125</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151</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12"/>
      <c r="C1" s="3113" t="s">
        <v>440</v>
      </c>
      <c r="D1" s="3114"/>
      <c r="E1" s="3115"/>
      <c r="F1" s="3096"/>
      <c r="G1" s="3116" t="s">
        <v>441</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40" customFormat="1" ht="28.5" customHeight="1" thickTop="1">
      <c r="A2" s="3110" t="s">
        <v>442</v>
      </c>
      <c r="B2" s="2835" t="e">
        <f ca="1">IF(C2="——",IF(B37="元/平方米",ROUND(C39*D3/10000,0),ROUND(F3*C39/10000,0)),IF(B37="元/平方米",ROUND(C39*D3/10000,0),ROUND(F3*C39/10000,0))-D2)</f>
        <v>#DIV/0!</v>
      </c>
      <c r="C2" s="3088"/>
      <c r="D2" s="2333" t="e">
        <f ca="1">SUMIF(INDIRECT("'"&amp;F2&amp;"'"&amp;"!A:A"),"承租人权益价值",INDIRECT("'"&amp;F2&amp;"'"&amp;"!c:c"))</f>
        <v>#REF!</v>
      </c>
      <c r="E2" s="3089" t="s">
        <v>867</v>
      </c>
      <c r="F2" s="3090"/>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443</v>
      </c>
      <c r="B3" s="950" t="e">
        <f ca="1">IF(AND(C2="——",B37="元/平方米"),C39,ROUND(B2*10000/D3,0))</f>
        <v>#DIV/0!</v>
      </c>
      <c r="C3" s="742" t="s">
        <v>444</v>
      </c>
      <c r="D3" s="741">
        <f>SUMIF('数据-汇总表'!$C19:$C33,D1,'数据-汇总表'!$E19:$E33)</f>
        <v>0</v>
      </c>
      <c r="E3" s="742" t="s">
        <v>2131</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445</v>
      </c>
      <c r="B4" s="744"/>
      <c r="C4" s="3667" t="s">
        <v>446</v>
      </c>
      <c r="D4" s="3668"/>
      <c r="E4" s="3669" t="s">
        <v>447</v>
      </c>
      <c r="F4" s="3670"/>
      <c r="G4" s="3667" t="s">
        <v>448</v>
      </c>
      <c r="H4" s="3668"/>
      <c r="I4" s="3667" t="s">
        <v>449</v>
      </c>
      <c r="J4" s="3668"/>
      <c r="K4" s="951" t="s">
        <v>450</v>
      </c>
      <c r="L4" s="2339"/>
      <c r="M4" s="2340"/>
      <c r="N4" s="2340"/>
      <c r="O4" s="2340"/>
      <c r="P4" s="3671" t="s">
        <v>451</v>
      </c>
      <c r="Q4" s="3672"/>
      <c r="R4" s="3654" t="s">
        <v>447</v>
      </c>
      <c r="S4" s="3655"/>
      <c r="T4" s="3654" t="s">
        <v>448</v>
      </c>
      <c r="U4" s="3655"/>
      <c r="V4" s="3679" t="s">
        <v>449</v>
      </c>
      <c r="W4" s="3679"/>
      <c r="X4" s="2821"/>
      <c r="Y4" s="3654" t="s">
        <v>451</v>
      </c>
      <c r="Z4" s="3655"/>
      <c r="AA4" s="3649" t="s">
        <v>447</v>
      </c>
      <c r="AB4" s="3650" t="s">
        <v>448</v>
      </c>
      <c r="AC4" s="3649" t="s">
        <v>449</v>
      </c>
    </row>
    <row r="5" spans="1:29" ht="15">
      <c r="A5" s="746"/>
      <c r="B5" s="747"/>
      <c r="C5" s="3660" t="s">
        <v>3018</v>
      </c>
      <c r="D5" s="3661"/>
      <c r="E5" s="3658" t="s">
        <v>3019</v>
      </c>
      <c r="F5" s="3659"/>
      <c r="G5" s="3660" t="s">
        <v>3020</v>
      </c>
      <c r="H5" s="3661"/>
      <c r="I5" s="3660" t="s">
        <v>3021</v>
      </c>
      <c r="J5" s="3661"/>
      <c r="K5" s="951"/>
      <c r="L5" s="2339"/>
      <c r="M5" s="2340"/>
      <c r="N5" s="2340"/>
      <c r="O5" s="2340"/>
      <c r="P5" s="3673"/>
      <c r="Q5" s="3674"/>
      <c r="R5" s="3656"/>
      <c r="S5" s="3657"/>
      <c r="T5" s="3656"/>
      <c r="U5" s="3657"/>
      <c r="V5" s="3679"/>
      <c r="W5" s="3679"/>
      <c r="X5" s="2821"/>
      <c r="Y5" s="3656"/>
      <c r="Z5" s="3657"/>
      <c r="AA5" s="3650"/>
      <c r="AB5" s="3650"/>
      <c r="AC5" s="3650"/>
    </row>
    <row r="6" spans="1:29" ht="15.75" thickBot="1">
      <c r="A6" s="748"/>
      <c r="B6" s="749"/>
      <c r="C6" s="3662" t="s">
        <v>3022</v>
      </c>
      <c r="D6" s="3663"/>
      <c r="E6" s="3664" t="s">
        <v>3022</v>
      </c>
      <c r="F6" s="3665"/>
      <c r="G6" s="3662" t="s">
        <v>3022</v>
      </c>
      <c r="H6" s="3663"/>
      <c r="I6" s="3662" t="s">
        <v>3022</v>
      </c>
      <c r="J6" s="3663"/>
      <c r="K6" s="951" t="s">
        <v>393</v>
      </c>
      <c r="L6" s="2339"/>
      <c r="M6" s="2340"/>
      <c r="N6" s="2340"/>
      <c r="O6" s="2340"/>
      <c r="P6" s="3675"/>
      <c r="Q6" s="3676"/>
      <c r="R6" s="3656"/>
      <c r="S6" s="3657"/>
      <c r="T6" s="3677"/>
      <c r="U6" s="3678"/>
      <c r="V6" s="3679"/>
      <c r="W6" s="3679"/>
      <c r="X6" s="2821"/>
      <c r="Y6" s="3677"/>
      <c r="Z6" s="3678"/>
      <c r="AA6" s="3651"/>
      <c r="AB6" s="3651"/>
      <c r="AC6" s="3651"/>
    </row>
    <row r="7" spans="1:29" s="406" customFormat="1" ht="15.75" thickBot="1">
      <c r="A7" s="750" t="s">
        <v>394</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52" t="s">
        <v>395</v>
      </c>
      <c r="Q7" s="3680"/>
      <c r="R7" s="1317" t="s">
        <v>64</v>
      </c>
      <c r="S7" s="1318">
        <f t="shared" ref="S7:S14" si="0">F7</f>
        <v>0</v>
      </c>
      <c r="T7" s="1317" t="s">
        <v>64</v>
      </c>
      <c r="U7" s="1318">
        <f t="shared" ref="U7:U14" si="1">H7</f>
        <v>0</v>
      </c>
      <c r="V7" s="1317" t="s">
        <v>64</v>
      </c>
      <c r="W7" s="1318">
        <f t="shared" ref="W7:W14" si="2">J7</f>
        <v>0</v>
      </c>
      <c r="X7" s="1319"/>
      <c r="Y7" s="3652" t="s">
        <v>395</v>
      </c>
      <c r="Z7" s="3653"/>
      <c r="AA7" s="1320" t="e">
        <f>D7/F7</f>
        <v>#DIV/0!</v>
      </c>
      <c r="AB7" s="1320" t="e">
        <f>D7/H7</f>
        <v>#DIV/0!</v>
      </c>
      <c r="AC7" s="1320" t="e">
        <f>D7/J7</f>
        <v>#DIV/0!</v>
      </c>
    </row>
    <row r="8" spans="1:29" s="406" customFormat="1" ht="15.75" thickBot="1">
      <c r="A8" s="750" t="s">
        <v>396</v>
      </c>
      <c r="B8" s="751"/>
      <c r="C8" s="756" t="s">
        <v>413</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36" si="3">D8/F8</f>
        <v>#DIV/0!</v>
      </c>
      <c r="AB8" s="1320" t="e">
        <f t="shared" ref="AB8:AB36" si="4">D8/H8</f>
        <v>#DIV/0!</v>
      </c>
      <c r="AC8" s="1320" t="e">
        <f t="shared" ref="AC8:AC36" si="5">D8/J8</f>
        <v>#DIV/0!</v>
      </c>
    </row>
    <row r="9" spans="1:29" s="406" customFormat="1">
      <c r="A9" s="358" t="s">
        <v>397</v>
      </c>
      <c r="B9" s="981" t="s">
        <v>415</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66" t="s">
        <v>398</v>
      </c>
      <c r="Q9" s="2820" t="str">
        <f t="shared" ref="Q9:Q14" si="6">B9</f>
        <v>用途</v>
      </c>
      <c r="R9" s="1317" t="s">
        <v>64</v>
      </c>
      <c r="S9" s="1318">
        <f t="shared" si="0"/>
        <v>100</v>
      </c>
      <c r="T9" s="1317" t="s">
        <v>64</v>
      </c>
      <c r="U9" s="1318">
        <f t="shared" si="1"/>
        <v>100</v>
      </c>
      <c r="V9" s="1317" t="s">
        <v>64</v>
      </c>
      <c r="W9" s="1318">
        <f t="shared" si="2"/>
        <v>100</v>
      </c>
      <c r="X9" s="1319"/>
      <c r="Y9" s="3534" t="s">
        <v>399</v>
      </c>
      <c r="Z9" s="344" t="str">
        <f t="shared" ref="Z9:Z14" si="7">Q9</f>
        <v>用途</v>
      </c>
      <c r="AA9" s="1320">
        <f t="shared" si="3"/>
        <v>1</v>
      </c>
      <c r="AB9" s="1320">
        <f t="shared" si="4"/>
        <v>1</v>
      </c>
      <c r="AC9" s="1320">
        <f t="shared" si="5"/>
        <v>1</v>
      </c>
    </row>
    <row r="10" spans="1:29" s="769" customFormat="1" ht="27">
      <c r="A10" s="982"/>
      <c r="B10" s="983" t="s">
        <v>400</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66"/>
      <c r="Q10" s="2820" t="str">
        <f t="shared" si="6"/>
        <v>土地使用年限（年）</v>
      </c>
      <c r="R10" s="1317" t="s">
        <v>64</v>
      </c>
      <c r="S10" s="1318">
        <f t="shared" si="0"/>
        <v>100</v>
      </c>
      <c r="T10" s="1317" t="s">
        <v>64</v>
      </c>
      <c r="U10" s="1318">
        <f t="shared" si="1"/>
        <v>100</v>
      </c>
      <c r="V10" s="1317" t="s">
        <v>64</v>
      </c>
      <c r="W10" s="1318">
        <f t="shared" si="2"/>
        <v>100</v>
      </c>
      <c r="X10" s="1319"/>
      <c r="Y10" s="3534"/>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66"/>
      <c r="Q11" s="2820">
        <f t="shared" si="6"/>
        <v>111</v>
      </c>
      <c r="R11" s="1317" t="s">
        <v>64</v>
      </c>
      <c r="S11" s="1318">
        <f t="shared" si="0"/>
        <v>100</v>
      </c>
      <c r="T11" s="1317" t="s">
        <v>64</v>
      </c>
      <c r="U11" s="1318">
        <f t="shared" si="1"/>
        <v>100</v>
      </c>
      <c r="V11" s="1317" t="s">
        <v>64</v>
      </c>
      <c r="W11" s="1318">
        <f t="shared" si="2"/>
        <v>100</v>
      </c>
      <c r="X11" s="1319"/>
      <c r="Y11" s="3534"/>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66"/>
      <c r="Q12" s="2820">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66"/>
      <c r="Q13" s="2820">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94.5">
      <c r="A14" s="743" t="s">
        <v>402</v>
      </c>
      <c r="B14" s="970" t="s">
        <v>452</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81" t="s">
        <v>403</v>
      </c>
      <c r="Q14" s="2822" t="str">
        <f t="shared" si="6"/>
        <v>交通便捷度</v>
      </c>
      <c r="R14" s="1322" t="s">
        <v>64</v>
      </c>
      <c r="S14" s="1323">
        <f t="shared" si="0"/>
        <v>100</v>
      </c>
      <c r="T14" s="1322" t="s">
        <v>64</v>
      </c>
      <c r="U14" s="1323">
        <f t="shared" si="1"/>
        <v>100</v>
      </c>
      <c r="V14" s="1322" t="s">
        <v>64</v>
      </c>
      <c r="W14" s="1323">
        <f t="shared" si="2"/>
        <v>100</v>
      </c>
      <c r="X14" s="2821"/>
      <c r="Y14" s="3681" t="s">
        <v>403</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82"/>
      <c r="Q15" s="2822"/>
      <c r="R15" s="1322"/>
      <c r="S15" s="1323"/>
      <c r="T15" s="1322"/>
      <c r="U15" s="1323"/>
      <c r="V15" s="1322"/>
      <c r="W15" s="1323"/>
      <c r="X15" s="2821"/>
      <c r="Y15" s="3682"/>
      <c r="Z15" s="2823"/>
      <c r="AA15" s="1325">
        <v>1</v>
      </c>
      <c r="AB15" s="1325">
        <v>1</v>
      </c>
      <c r="AC15" s="1325">
        <v>1</v>
      </c>
    </row>
    <row r="16" spans="1:29" ht="40.5">
      <c r="A16" s="746"/>
      <c r="B16" s="1032" t="s">
        <v>2665</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82"/>
      <c r="Q16" s="2822" t="str">
        <f>B16</f>
        <v>公共配套设施</v>
      </c>
      <c r="R16" s="1322" t="s">
        <v>64</v>
      </c>
      <c r="S16" s="1323">
        <f>F16</f>
        <v>100</v>
      </c>
      <c r="T16" s="1322" t="s">
        <v>64</v>
      </c>
      <c r="U16" s="1323">
        <f>H16</f>
        <v>100</v>
      </c>
      <c r="V16" s="1322" t="s">
        <v>64</v>
      </c>
      <c r="W16" s="1323">
        <f>J16</f>
        <v>100</v>
      </c>
      <c r="X16" s="2821"/>
      <c r="Y16" s="3682"/>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82"/>
      <c r="Q17" s="2822"/>
      <c r="R17" s="1322"/>
      <c r="S17" s="1323"/>
      <c r="T17" s="1322"/>
      <c r="U17" s="1323"/>
      <c r="V17" s="1322"/>
      <c r="W17" s="1323"/>
      <c r="X17" s="2821"/>
      <c r="Y17" s="3682"/>
      <c r="Z17" s="2823"/>
      <c r="AA17" s="1325">
        <v>1</v>
      </c>
      <c r="AB17" s="1325">
        <v>1</v>
      </c>
      <c r="AC17" s="1325">
        <v>1</v>
      </c>
    </row>
    <row r="18" spans="1:29" ht="40.5">
      <c r="A18" s="746"/>
      <c r="B18" s="1034" t="s">
        <v>2664</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82"/>
      <c r="Q18" s="2822" t="str">
        <f>B18</f>
        <v>基础设施水平</v>
      </c>
      <c r="R18" s="1322" t="s">
        <v>64</v>
      </c>
      <c r="S18" s="1323">
        <f>F18</f>
        <v>100</v>
      </c>
      <c r="T18" s="1322" t="s">
        <v>64</v>
      </c>
      <c r="U18" s="1323">
        <f>H18</f>
        <v>100</v>
      </c>
      <c r="V18" s="1322" t="s">
        <v>64</v>
      </c>
      <c r="W18" s="1323">
        <f>J18</f>
        <v>100</v>
      </c>
      <c r="X18" s="2821"/>
      <c r="Y18" s="3682"/>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82"/>
      <c r="Q19" s="2822"/>
      <c r="R19" s="1322"/>
      <c r="S19" s="1323"/>
      <c r="T19" s="1322"/>
      <c r="U19" s="1323"/>
      <c r="V19" s="1322"/>
      <c r="W19" s="1323"/>
      <c r="X19" s="2821"/>
      <c r="Y19" s="3682"/>
      <c r="Z19" s="2823"/>
      <c r="AA19" s="1325">
        <v>1</v>
      </c>
      <c r="AB19" s="1325">
        <v>1</v>
      </c>
      <c r="AC19" s="1325">
        <v>1</v>
      </c>
    </row>
    <row r="20" spans="1:29" ht="54">
      <c r="A20" s="746"/>
      <c r="B20" s="972" t="s">
        <v>453</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82"/>
      <c r="Q20" s="2822" t="str">
        <f>B20</f>
        <v>自然及人文环境</v>
      </c>
      <c r="R20" s="1322" t="s">
        <v>64</v>
      </c>
      <c r="S20" s="1323">
        <f>F20</f>
        <v>100</v>
      </c>
      <c r="T20" s="1322" t="s">
        <v>64</v>
      </c>
      <c r="U20" s="1323">
        <f>H20</f>
        <v>100</v>
      </c>
      <c r="V20" s="1322" t="s">
        <v>64</v>
      </c>
      <c r="W20" s="1323">
        <f>J20</f>
        <v>100</v>
      </c>
      <c r="X20" s="2821"/>
      <c r="Y20" s="3682"/>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82"/>
      <c r="Q21" s="2822"/>
      <c r="R21" s="1322"/>
      <c r="S21" s="1323"/>
      <c r="T21" s="1322"/>
      <c r="U21" s="1323"/>
      <c r="V21" s="1322"/>
      <c r="W21" s="1323"/>
      <c r="X21" s="2821"/>
      <c r="Y21" s="3682"/>
      <c r="Z21" s="2823"/>
      <c r="AA21" s="1325">
        <v>1</v>
      </c>
      <c r="AB21" s="1325">
        <v>1</v>
      </c>
      <c r="AC21" s="1325">
        <v>1</v>
      </c>
    </row>
    <row r="22" spans="1:29" ht="15">
      <c r="A22" s="746"/>
      <c r="B22" s="972" t="s">
        <v>454</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82"/>
      <c r="Q22" s="2822" t="str">
        <f>B22</f>
        <v>楼层</v>
      </c>
      <c r="R22" s="1322" t="s">
        <v>64</v>
      </c>
      <c r="S22" s="1323">
        <f>F22</f>
        <v>100</v>
      </c>
      <c r="T22" s="1322" t="s">
        <v>64</v>
      </c>
      <c r="U22" s="1323">
        <f>H22</f>
        <v>100</v>
      </c>
      <c r="V22" s="1322" t="s">
        <v>64</v>
      </c>
      <c r="W22" s="1323">
        <f>J22</f>
        <v>100</v>
      </c>
      <c r="X22" s="2821"/>
      <c r="Y22" s="3682"/>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82"/>
      <c r="Q23" s="2822">
        <f>B23</f>
        <v>111</v>
      </c>
      <c r="R23" s="1322" t="s">
        <v>64</v>
      </c>
      <c r="S23" s="1323">
        <f>F23</f>
        <v>100</v>
      </c>
      <c r="T23" s="1322" t="s">
        <v>64</v>
      </c>
      <c r="U23" s="1323">
        <f>H23</f>
        <v>100</v>
      </c>
      <c r="V23" s="1322" t="s">
        <v>64</v>
      </c>
      <c r="W23" s="1323">
        <f>J23</f>
        <v>100</v>
      </c>
      <c r="X23" s="2821"/>
      <c r="Y23" s="3682"/>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82"/>
      <c r="Q24" s="2822">
        <f t="shared" ref="Q24:Q36" si="11">B24</f>
        <v>111</v>
      </c>
      <c r="R24" s="1322" t="s">
        <v>64</v>
      </c>
      <c r="S24" s="1323">
        <f>F24</f>
        <v>100</v>
      </c>
      <c r="T24" s="1322" t="s">
        <v>64</v>
      </c>
      <c r="U24" s="1323">
        <f>H24</f>
        <v>100</v>
      </c>
      <c r="V24" s="1322" t="s">
        <v>64</v>
      </c>
      <c r="W24" s="1323">
        <f>J24</f>
        <v>100</v>
      </c>
      <c r="X24" s="2821"/>
      <c r="Y24" s="3682"/>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82"/>
      <c r="Q25" s="2820">
        <f t="shared" si="11"/>
        <v>111</v>
      </c>
      <c r="R25" s="1317" t="s">
        <v>64</v>
      </c>
      <c r="S25" s="1318">
        <f>F25</f>
        <v>100</v>
      </c>
      <c r="T25" s="1317" t="s">
        <v>64</v>
      </c>
      <c r="U25" s="1318">
        <f>H25</f>
        <v>100</v>
      </c>
      <c r="V25" s="1317" t="s">
        <v>64</v>
      </c>
      <c r="W25" s="1318">
        <f>J25</f>
        <v>100</v>
      </c>
      <c r="X25" s="1319"/>
      <c r="Y25" s="3682"/>
      <c r="Z25" s="344">
        <f>Q25</f>
        <v>111</v>
      </c>
      <c r="AA25" s="1325">
        <f>D25/F25</f>
        <v>1</v>
      </c>
      <c r="AB25" s="1325">
        <f>D25/H25</f>
        <v>1</v>
      </c>
      <c r="AC25" s="1325">
        <f>D25/J25</f>
        <v>1</v>
      </c>
    </row>
    <row r="26" spans="1:29" ht="15">
      <c r="A26" s="993" t="s">
        <v>404</v>
      </c>
      <c r="B26" s="360" t="s">
        <v>455</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83" t="s">
        <v>405</v>
      </c>
      <c r="Q26" s="2822" t="str">
        <f t="shared" si="11"/>
        <v>配套类型</v>
      </c>
      <c r="R26" s="1322" t="s">
        <v>64</v>
      </c>
      <c r="S26" s="1323">
        <f t="shared" ref="S26:S36" si="12">F26</f>
        <v>100</v>
      </c>
      <c r="T26" s="1322" t="s">
        <v>64</v>
      </c>
      <c r="U26" s="1323">
        <f t="shared" ref="U26:U36" si="13">H26</f>
        <v>100</v>
      </c>
      <c r="V26" s="1322" t="s">
        <v>64</v>
      </c>
      <c r="W26" s="1323">
        <f t="shared" ref="W26:W36" si="14">J26</f>
        <v>100</v>
      </c>
      <c r="X26" s="2821"/>
      <c r="Y26" s="3684" t="s">
        <v>405</v>
      </c>
      <c r="Z26" s="2823" t="str">
        <f t="shared" ref="Z26:Z36" si="15">Q26</f>
        <v>配套类型</v>
      </c>
      <c r="AA26" s="1325">
        <f t="shared" si="3"/>
        <v>1</v>
      </c>
      <c r="AB26" s="1325">
        <f t="shared" si="4"/>
        <v>1</v>
      </c>
      <c r="AC26" s="1325">
        <f t="shared" si="5"/>
        <v>1</v>
      </c>
    </row>
    <row r="27" spans="1:29" s="812" customFormat="1" ht="15">
      <c r="A27" s="994"/>
      <c r="B27" s="995" t="s">
        <v>456</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84"/>
      <c r="Q27" s="1326" t="str">
        <f t="shared" si="11"/>
        <v>项目停车位配比</v>
      </c>
      <c r="R27" s="1327" t="s">
        <v>64</v>
      </c>
      <c r="S27" s="1328">
        <f t="shared" si="12"/>
        <v>100</v>
      </c>
      <c r="T27" s="1327" t="s">
        <v>64</v>
      </c>
      <c r="U27" s="1328">
        <f t="shared" si="13"/>
        <v>100</v>
      </c>
      <c r="V27" s="1327" t="s">
        <v>64</v>
      </c>
      <c r="W27" s="1328">
        <f t="shared" si="14"/>
        <v>100</v>
      </c>
      <c r="X27" s="1329"/>
      <c r="Y27" s="3684"/>
      <c r="Z27" s="1330" t="str">
        <f t="shared" si="15"/>
        <v>项目停车位配比</v>
      </c>
      <c r="AA27" s="1325">
        <f t="shared" si="3"/>
        <v>1</v>
      </c>
      <c r="AB27" s="1325">
        <f t="shared" si="4"/>
        <v>1</v>
      </c>
      <c r="AC27" s="1325">
        <f t="shared" si="5"/>
        <v>1</v>
      </c>
    </row>
    <row r="28" spans="1:29" ht="15">
      <c r="A28" s="997"/>
      <c r="B28" s="995" t="s">
        <v>457</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84"/>
      <c r="Q28" s="2822" t="str">
        <f t="shared" si="11"/>
        <v>公共部分装修</v>
      </c>
      <c r="R28" s="1322" t="s">
        <v>64</v>
      </c>
      <c r="S28" s="1323">
        <f t="shared" si="12"/>
        <v>100</v>
      </c>
      <c r="T28" s="1322" t="s">
        <v>64</v>
      </c>
      <c r="U28" s="1323">
        <f t="shared" si="13"/>
        <v>100</v>
      </c>
      <c r="V28" s="1322" t="s">
        <v>64</v>
      </c>
      <c r="W28" s="1323">
        <f t="shared" si="14"/>
        <v>100</v>
      </c>
      <c r="X28" s="2821"/>
      <c r="Y28" s="3684"/>
      <c r="Z28" s="2823" t="str">
        <f t="shared" si="15"/>
        <v>公共部分装修</v>
      </c>
      <c r="AA28" s="1325">
        <f t="shared" si="3"/>
        <v>1</v>
      </c>
      <c r="AB28" s="1325">
        <f t="shared" si="4"/>
        <v>1</v>
      </c>
      <c r="AC28" s="1325">
        <f t="shared" si="5"/>
        <v>1</v>
      </c>
    </row>
    <row r="29" spans="1:29" ht="15">
      <c r="A29" s="997"/>
      <c r="B29" s="995" t="s">
        <v>458</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84"/>
      <c r="Q29" s="2822" t="str">
        <f t="shared" si="11"/>
        <v>成新率</v>
      </c>
      <c r="R29" s="1322" t="s">
        <v>64</v>
      </c>
      <c r="S29" s="1323" t="e">
        <f t="shared" si="12"/>
        <v>#N/A</v>
      </c>
      <c r="T29" s="1322" t="s">
        <v>64</v>
      </c>
      <c r="U29" s="1323" t="e">
        <f t="shared" si="13"/>
        <v>#N/A</v>
      </c>
      <c r="V29" s="1322" t="s">
        <v>64</v>
      </c>
      <c r="W29" s="1323" t="e">
        <f t="shared" si="14"/>
        <v>#N/A</v>
      </c>
      <c r="X29" s="2821"/>
      <c r="Y29" s="3684"/>
      <c r="Z29" s="2823" t="str">
        <f t="shared" si="15"/>
        <v>成新率</v>
      </c>
      <c r="AA29" s="1325" t="e">
        <f t="shared" si="3"/>
        <v>#N/A</v>
      </c>
      <c r="AB29" s="1325" t="e">
        <f t="shared" si="4"/>
        <v>#N/A</v>
      </c>
      <c r="AC29" s="1325" t="e">
        <f t="shared" si="5"/>
        <v>#N/A</v>
      </c>
    </row>
    <row r="30" spans="1:29" ht="15">
      <c r="A30" s="997"/>
      <c r="B30" s="995" t="s">
        <v>459</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84"/>
      <c r="Q30" s="2822" t="str">
        <f t="shared" si="11"/>
        <v>物业等级</v>
      </c>
      <c r="R30" s="1322" t="s">
        <v>64</v>
      </c>
      <c r="S30" s="1323">
        <f t="shared" si="12"/>
        <v>100</v>
      </c>
      <c r="T30" s="1322" t="s">
        <v>64</v>
      </c>
      <c r="U30" s="1323">
        <f t="shared" si="13"/>
        <v>100</v>
      </c>
      <c r="V30" s="1322" t="s">
        <v>64</v>
      </c>
      <c r="W30" s="1323">
        <f t="shared" si="14"/>
        <v>100</v>
      </c>
      <c r="X30" s="2821"/>
      <c r="Y30" s="3684"/>
      <c r="Z30" s="2823" t="str">
        <f t="shared" si="15"/>
        <v>物业等级</v>
      </c>
      <c r="AA30" s="1325">
        <f t="shared" si="3"/>
        <v>1</v>
      </c>
      <c r="AB30" s="1325">
        <f t="shared" si="4"/>
        <v>1</v>
      </c>
      <c r="AC30" s="1325">
        <f t="shared" si="5"/>
        <v>1</v>
      </c>
    </row>
    <row r="31" spans="1:29" s="406" customFormat="1" ht="15">
      <c r="A31" s="999"/>
      <c r="B31" s="995" t="s">
        <v>460</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84"/>
      <c r="Q31" s="2820" t="str">
        <f t="shared" si="11"/>
        <v>停车位面积</v>
      </c>
      <c r="R31" s="1317" t="s">
        <v>64</v>
      </c>
      <c r="S31" s="1318" t="e">
        <f t="shared" si="12"/>
        <v>#N/A</v>
      </c>
      <c r="T31" s="1317" t="s">
        <v>64</v>
      </c>
      <c r="U31" s="1318" t="e">
        <f t="shared" si="13"/>
        <v>#N/A</v>
      </c>
      <c r="V31" s="1317" t="s">
        <v>64</v>
      </c>
      <c r="W31" s="1318" t="e">
        <f t="shared" si="14"/>
        <v>#N/A</v>
      </c>
      <c r="X31" s="1319"/>
      <c r="Y31" s="3684"/>
      <c r="Z31" s="344" t="str">
        <f t="shared" si="15"/>
        <v>停车位面积</v>
      </c>
      <c r="AA31" s="1320" t="e">
        <f t="shared" si="3"/>
        <v>#N/A</v>
      </c>
      <c r="AB31" s="1320" t="e">
        <f t="shared" si="4"/>
        <v>#N/A</v>
      </c>
      <c r="AC31" s="1320" t="e">
        <f t="shared" si="5"/>
        <v>#N/A</v>
      </c>
    </row>
    <row r="32" spans="1:29" ht="15">
      <c r="A32" s="997"/>
      <c r="B32" s="995" t="s">
        <v>461</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84" t="s">
        <v>405</v>
      </c>
      <c r="Q32" s="2822" t="str">
        <f t="shared" si="11"/>
        <v>车位类型</v>
      </c>
      <c r="R32" s="1322" t="s">
        <v>64</v>
      </c>
      <c r="S32" s="1323">
        <f t="shared" si="12"/>
        <v>100</v>
      </c>
      <c r="T32" s="1322" t="s">
        <v>64</v>
      </c>
      <c r="U32" s="1323">
        <f t="shared" si="13"/>
        <v>100</v>
      </c>
      <c r="V32" s="1322" t="s">
        <v>64</v>
      </c>
      <c r="W32" s="1323">
        <f t="shared" si="14"/>
        <v>100</v>
      </c>
      <c r="X32" s="2821"/>
      <c r="Y32" s="3684" t="s">
        <v>405</v>
      </c>
      <c r="Z32" s="2823" t="str">
        <f t="shared" si="15"/>
        <v>车位类型</v>
      </c>
      <c r="AA32" s="1325">
        <f t="shared" si="3"/>
        <v>1</v>
      </c>
      <c r="AB32" s="1325">
        <f t="shared" si="4"/>
        <v>1</v>
      </c>
      <c r="AC32" s="1325">
        <f t="shared" si="5"/>
        <v>1</v>
      </c>
    </row>
    <row r="33" spans="1:29" ht="15">
      <c r="A33" s="997"/>
      <c r="B33" s="995" t="s">
        <v>462</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84"/>
      <c r="Q33" s="2822" t="str">
        <f t="shared" si="11"/>
        <v>是否直接入户</v>
      </c>
      <c r="R33" s="1322" t="s">
        <v>64</v>
      </c>
      <c r="S33" s="1323">
        <f t="shared" si="12"/>
        <v>100</v>
      </c>
      <c r="T33" s="1322" t="s">
        <v>64</v>
      </c>
      <c r="U33" s="1323">
        <f t="shared" si="13"/>
        <v>100</v>
      </c>
      <c r="V33" s="1322" t="s">
        <v>64</v>
      </c>
      <c r="W33" s="1323">
        <f t="shared" si="14"/>
        <v>100</v>
      </c>
      <c r="X33" s="2821"/>
      <c r="Y33" s="3684"/>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84"/>
      <c r="Q34" s="2822">
        <f t="shared" si="11"/>
        <v>111</v>
      </c>
      <c r="R34" s="1322" t="s">
        <v>64</v>
      </c>
      <c r="S34" s="1323">
        <f t="shared" si="12"/>
        <v>100</v>
      </c>
      <c r="T34" s="1322" t="s">
        <v>64</v>
      </c>
      <c r="U34" s="1323">
        <f t="shared" si="13"/>
        <v>100</v>
      </c>
      <c r="V34" s="1322" t="s">
        <v>64</v>
      </c>
      <c r="W34" s="1323">
        <f t="shared" si="14"/>
        <v>100</v>
      </c>
      <c r="X34" s="2821"/>
      <c r="Y34" s="3684"/>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84"/>
      <c r="Q35" s="1326">
        <f t="shared" si="11"/>
        <v>111</v>
      </c>
      <c r="R35" s="1327" t="s">
        <v>64</v>
      </c>
      <c r="S35" s="1328">
        <f t="shared" si="12"/>
        <v>100</v>
      </c>
      <c r="T35" s="1327" t="s">
        <v>64</v>
      </c>
      <c r="U35" s="1328">
        <f t="shared" si="13"/>
        <v>100</v>
      </c>
      <c r="V35" s="1327" t="s">
        <v>64</v>
      </c>
      <c r="W35" s="1328">
        <f t="shared" si="14"/>
        <v>100</v>
      </c>
      <c r="X35" s="1329"/>
      <c r="Y35" s="3684"/>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84"/>
      <c r="Q36" s="2822">
        <f t="shared" si="11"/>
        <v>111</v>
      </c>
      <c r="R36" s="1322" t="s">
        <v>64</v>
      </c>
      <c r="S36" s="1323">
        <f t="shared" si="12"/>
        <v>100</v>
      </c>
      <c r="T36" s="1322" t="s">
        <v>64</v>
      </c>
      <c r="U36" s="1323">
        <f t="shared" si="13"/>
        <v>100</v>
      </c>
      <c r="V36" s="1322" t="s">
        <v>64</v>
      </c>
      <c r="W36" s="1323">
        <f t="shared" si="14"/>
        <v>100</v>
      </c>
      <c r="X36" s="2821"/>
      <c r="Y36" s="3684"/>
      <c r="Z36" s="2823">
        <f t="shared" si="15"/>
        <v>111</v>
      </c>
      <c r="AA36" s="1325">
        <f t="shared" si="3"/>
        <v>1</v>
      </c>
      <c r="AB36" s="1325">
        <f t="shared" si="4"/>
        <v>1</v>
      </c>
      <c r="AC36" s="1325">
        <f t="shared" si="5"/>
        <v>1</v>
      </c>
    </row>
    <row r="37" spans="1:29" ht="15">
      <c r="A37" s="163" t="s">
        <v>2132</v>
      </c>
      <c r="B37" s="2092" t="s">
        <v>2133</v>
      </c>
      <c r="C37" s="2824" t="s">
        <v>23</v>
      </c>
      <c r="D37" s="2825"/>
      <c r="E37" s="2826"/>
      <c r="F37" s="2827"/>
      <c r="G37" s="2828"/>
      <c r="H37" s="2829"/>
      <c r="I37" s="2826"/>
      <c r="J37" s="2829"/>
      <c r="K37" s="960"/>
      <c r="L37" s="2352"/>
      <c r="M37" s="2353"/>
      <c r="N37" s="2340"/>
      <c r="O37" s="2353"/>
      <c r="P37" s="3666" t="str">
        <f>A37</f>
        <v>成交单价</v>
      </c>
      <c r="Q37" s="3666"/>
      <c r="R37" s="3685">
        <f>E37</f>
        <v>0</v>
      </c>
      <c r="S37" s="3685"/>
      <c r="T37" s="3685">
        <f>G37</f>
        <v>0</v>
      </c>
      <c r="U37" s="3685"/>
      <c r="V37" s="3685">
        <f>I37</f>
        <v>0</v>
      </c>
      <c r="W37" s="3685"/>
      <c r="X37" s="1305"/>
      <c r="Y37" s="1331"/>
      <c r="Z37" s="1305"/>
      <c r="AA37" s="1305"/>
      <c r="AB37" s="1305"/>
      <c r="AC37" s="1305"/>
    </row>
    <row r="38" spans="1:29" ht="15.75" thickBot="1">
      <c r="A38" s="827" t="s">
        <v>407</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66" t="str">
        <f>A38</f>
        <v>比较价值（元/平方米）</v>
      </c>
      <c r="Q38" s="3666"/>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305"/>
      <c r="Y38" s="1305"/>
      <c r="Z38" s="1305"/>
      <c r="AA38" s="1305"/>
      <c r="AB38" s="1305"/>
      <c r="AC38" s="1305"/>
    </row>
    <row r="39" spans="1:29" ht="15.75" thickBot="1">
      <c r="A39" s="833" t="s">
        <v>3023</v>
      </c>
      <c r="B39" s="834"/>
      <c r="C39" s="2834" t="e">
        <f>R39</f>
        <v>#DIV/0!</v>
      </c>
      <c r="D39" s="2834"/>
      <c r="E39" s="2834"/>
      <c r="F39" s="2834"/>
      <c r="G39" s="2834"/>
      <c r="H39" s="2834"/>
      <c r="I39" s="2834"/>
      <c r="J39" s="2834"/>
      <c r="K39" s="962"/>
      <c r="L39" s="2352"/>
      <c r="M39" s="2353"/>
      <c r="N39" s="2353"/>
      <c r="O39" s="2353"/>
      <c r="P39" s="3686" t="str">
        <f>A39</f>
        <v>估价对象XX用房的比较价值（楼面单价，元/平方米）</v>
      </c>
      <c r="Q39" s="3687"/>
      <c r="R39" s="3688" t="e">
        <f>IF(F1="售价",ROUND(AVERAGE(R38:V38),0),ROUND(AVERAGE(R38:V38),1))</f>
        <v>#DIV/0!</v>
      </c>
      <c r="S39" s="3688"/>
      <c r="T39" s="3688"/>
      <c r="U39" s="3688"/>
      <c r="V39" s="3688"/>
      <c r="W39" s="3688"/>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409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411</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2793</v>
      </c>
      <c r="B48" s="847"/>
      <c r="C48" s="3032" t="str">
        <f>YEAR(C7)&amp;"-"&amp;MONTH(C7)</f>
        <v>2017-9</v>
      </c>
      <c r="D48" s="3033">
        <f>EDATE(C48,-1)</f>
        <v>42948</v>
      </c>
      <c r="E48" s="3033">
        <f t="shared" ref="E48:O48" si="16">EDATE(D48,-1)</f>
        <v>42917</v>
      </c>
      <c r="F48" s="3033">
        <f t="shared" si="16"/>
        <v>42887</v>
      </c>
      <c r="G48" s="3033">
        <f t="shared" si="16"/>
        <v>42856</v>
      </c>
      <c r="H48" s="3033">
        <f t="shared" si="16"/>
        <v>42826</v>
      </c>
      <c r="I48" s="3033">
        <f t="shared" si="16"/>
        <v>42795</v>
      </c>
      <c r="J48" s="3033">
        <f t="shared" si="16"/>
        <v>42767</v>
      </c>
      <c r="K48" s="3033">
        <f t="shared" si="16"/>
        <v>42736</v>
      </c>
      <c r="L48" s="3033">
        <f t="shared" si="16"/>
        <v>42705</v>
      </c>
      <c r="M48" s="3033">
        <f t="shared" si="16"/>
        <v>42675</v>
      </c>
      <c r="N48" s="3033">
        <f t="shared" si="16"/>
        <v>42644</v>
      </c>
      <c r="O48" s="3033">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412</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396</v>
      </c>
      <c r="B51" s="851"/>
      <c r="C51" s="863" t="s">
        <v>413</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414</v>
      </c>
      <c r="B53" s="869" t="s">
        <v>415</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400</v>
      </c>
      <c r="C55" s="880" t="s">
        <v>416</v>
      </c>
      <c r="D55" s="880" t="s">
        <v>417</v>
      </c>
      <c r="E55" s="880" t="s">
        <v>418</v>
      </c>
      <c r="F55" s="880" t="s">
        <v>419</v>
      </c>
      <c r="G55" s="880" t="s">
        <v>434</v>
      </c>
      <c r="H55" s="880" t="s">
        <v>435</v>
      </c>
      <c r="I55" s="880" t="s">
        <v>436</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137</v>
      </c>
      <c r="D56" s="885" t="s">
        <v>138</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402</v>
      </c>
      <c r="B63" s="869" t="s">
        <v>426</v>
      </c>
      <c r="C63" s="914" t="s">
        <v>421</v>
      </c>
      <c r="D63" s="914" t="s">
        <v>422</v>
      </c>
      <c r="E63" s="914" t="s">
        <v>423</v>
      </c>
      <c r="F63" s="914" t="s">
        <v>424</v>
      </c>
      <c r="G63" s="914" t="s">
        <v>425</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2636</v>
      </c>
      <c r="C65" s="919" t="s">
        <v>421</v>
      </c>
      <c r="D65" s="919" t="s">
        <v>422</v>
      </c>
      <c r="E65" s="919" t="s">
        <v>423</v>
      </c>
      <c r="F65" s="919" t="s">
        <v>424</v>
      </c>
      <c r="G65" s="919" t="s">
        <v>425</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2666</v>
      </c>
      <c r="C67" s="213" t="s">
        <v>2656</v>
      </c>
      <c r="D67" s="213" t="s">
        <v>2657</v>
      </c>
      <c r="E67" s="213" t="s">
        <v>2658</v>
      </c>
      <c r="F67" s="213" t="s">
        <v>2659</v>
      </c>
      <c r="G67" s="213" t="s">
        <v>2660</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428</v>
      </c>
      <c r="C69" s="919" t="s">
        <v>421</v>
      </c>
      <c r="D69" s="919" t="s">
        <v>422</v>
      </c>
      <c r="E69" s="919" t="s">
        <v>423</v>
      </c>
      <c r="F69" s="919" t="s">
        <v>424</v>
      </c>
      <c r="G69" s="919" t="s">
        <v>425</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429</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404</v>
      </c>
      <c r="B79" s="869" t="s">
        <v>463</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464</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430</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465</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466</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467</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468</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469</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23"/>
      <c r="C1" s="3113" t="s">
        <v>440</v>
      </c>
      <c r="D1" s="3094"/>
      <c r="E1" s="3124"/>
      <c r="F1" s="3096"/>
      <c r="G1" s="3125" t="s">
        <v>441</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40" customFormat="1" ht="28.5" customHeight="1" thickTop="1">
      <c r="A2" s="3110" t="s">
        <v>442</v>
      </c>
      <c r="B2" s="2835" t="e">
        <f ca="1">IF(C2="——",ROUND(C37*D3/10000,0),ROUND(C37*D3/10000,0)-D2)</f>
        <v>#DIV/0!</v>
      </c>
      <c r="C2" s="3088"/>
      <c r="D2" s="2333" t="e">
        <f ca="1">SUMIF(INDIRECT("'"&amp;F2&amp;"'"&amp;"!A:A"),"承租人权益价值",INDIRECT("'"&amp;F2&amp;"'"&amp;"!c:c"))</f>
        <v>#REF!</v>
      </c>
      <c r="E2" s="3089" t="s">
        <v>867</v>
      </c>
      <c r="F2" s="3090"/>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443</v>
      </c>
      <c r="B3" s="950" t="e">
        <f ca="1">IF(C2="——",C37,ROUND(B2*10000/D3,0))</f>
        <v>#DIV/0!</v>
      </c>
      <c r="C3" s="742" t="s">
        <v>444</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445</v>
      </c>
      <c r="B4" s="744"/>
      <c r="C4" s="3667" t="s">
        <v>446</v>
      </c>
      <c r="D4" s="3668"/>
      <c r="E4" s="3669" t="s">
        <v>447</v>
      </c>
      <c r="F4" s="3670"/>
      <c r="G4" s="3667" t="s">
        <v>448</v>
      </c>
      <c r="H4" s="3668"/>
      <c r="I4" s="3667" t="s">
        <v>449</v>
      </c>
      <c r="J4" s="3668"/>
      <c r="K4" s="951" t="s">
        <v>450</v>
      </c>
      <c r="L4" s="2339"/>
      <c r="M4" s="2340"/>
      <c r="N4" s="2340"/>
      <c r="O4" s="2340"/>
      <c r="P4" s="3671" t="s">
        <v>451</v>
      </c>
      <c r="Q4" s="3672"/>
      <c r="R4" s="3654" t="s">
        <v>447</v>
      </c>
      <c r="S4" s="3655"/>
      <c r="T4" s="3654" t="s">
        <v>448</v>
      </c>
      <c r="U4" s="3655"/>
      <c r="V4" s="3679" t="s">
        <v>449</v>
      </c>
      <c r="W4" s="3679"/>
      <c r="X4" s="1316"/>
      <c r="Y4" s="3654" t="s">
        <v>451</v>
      </c>
      <c r="Z4" s="3655"/>
      <c r="AA4" s="3649" t="s">
        <v>447</v>
      </c>
      <c r="AB4" s="3650" t="s">
        <v>448</v>
      </c>
      <c r="AC4" s="3649" t="s">
        <v>449</v>
      </c>
    </row>
    <row r="5" spans="1:29" ht="15">
      <c r="A5" s="746"/>
      <c r="B5" s="747"/>
      <c r="C5" s="3598" t="s">
        <v>1129</v>
      </c>
      <c r="D5" s="3599"/>
      <c r="E5" s="3596" t="s">
        <v>1130</v>
      </c>
      <c r="F5" s="3597"/>
      <c r="G5" s="3598" t="s">
        <v>60</v>
      </c>
      <c r="H5" s="3599"/>
      <c r="I5" s="3598" t="s">
        <v>1131</v>
      </c>
      <c r="J5" s="3599"/>
      <c r="K5" s="951"/>
      <c r="L5" s="2339"/>
      <c r="M5" s="2340"/>
      <c r="N5" s="2340"/>
      <c r="O5" s="2340"/>
      <c r="P5" s="3673"/>
      <c r="Q5" s="3674"/>
      <c r="R5" s="3656"/>
      <c r="S5" s="3657"/>
      <c r="T5" s="3656"/>
      <c r="U5" s="3657"/>
      <c r="V5" s="3679"/>
      <c r="W5" s="3679"/>
      <c r="X5" s="1316"/>
      <c r="Y5" s="3656"/>
      <c r="Z5" s="3657"/>
      <c r="AA5" s="3650"/>
      <c r="AB5" s="3650"/>
      <c r="AC5" s="3650"/>
    </row>
    <row r="6" spans="1:29" ht="15.75" thickBot="1">
      <c r="A6" s="748"/>
      <c r="B6" s="749"/>
      <c r="C6" s="3600" t="s">
        <v>1132</v>
      </c>
      <c r="D6" s="3601"/>
      <c r="E6" s="3602" t="s">
        <v>1132</v>
      </c>
      <c r="F6" s="3603"/>
      <c r="G6" s="3600" t="s">
        <v>1132</v>
      </c>
      <c r="H6" s="3601"/>
      <c r="I6" s="3600" t="s">
        <v>1132</v>
      </c>
      <c r="J6" s="3601"/>
      <c r="K6" s="951" t="s">
        <v>393</v>
      </c>
      <c r="L6" s="2339"/>
      <c r="M6" s="2340"/>
      <c r="N6" s="2340"/>
      <c r="O6" s="2340"/>
      <c r="P6" s="3675"/>
      <c r="Q6" s="3676"/>
      <c r="R6" s="3656"/>
      <c r="S6" s="3657"/>
      <c r="T6" s="3677"/>
      <c r="U6" s="3678"/>
      <c r="V6" s="3679"/>
      <c r="W6" s="3679"/>
      <c r="X6" s="1316"/>
      <c r="Y6" s="3677"/>
      <c r="Z6" s="3678"/>
      <c r="AA6" s="3651"/>
      <c r="AB6" s="3651"/>
      <c r="AC6" s="3651"/>
    </row>
    <row r="7" spans="1:29" s="406" customFormat="1" ht="15.75" thickBot="1">
      <c r="A7" s="750" t="s">
        <v>394</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52" t="s">
        <v>395</v>
      </c>
      <c r="Q7" s="3680"/>
      <c r="R7" s="1317" t="s">
        <v>64</v>
      </c>
      <c r="S7" s="1318">
        <f t="shared" ref="S7:S14" si="0">F7</f>
        <v>0</v>
      </c>
      <c r="T7" s="1317" t="s">
        <v>64</v>
      </c>
      <c r="U7" s="1318">
        <f t="shared" ref="U7:U14" si="1">H7</f>
        <v>0</v>
      </c>
      <c r="V7" s="1317" t="s">
        <v>64</v>
      </c>
      <c r="W7" s="1318">
        <f t="shared" ref="W7:W14" si="2">J7</f>
        <v>0</v>
      </c>
      <c r="X7" s="1319"/>
      <c r="Y7" s="3652" t="s">
        <v>395</v>
      </c>
      <c r="Z7" s="3653"/>
      <c r="AA7" s="1320" t="e">
        <f>D7/F7</f>
        <v>#DIV/0!</v>
      </c>
      <c r="AB7" s="1320" t="e">
        <f>D7/H7</f>
        <v>#DIV/0!</v>
      </c>
      <c r="AC7" s="1320" t="e">
        <f>D7/J7</f>
        <v>#DIV/0!</v>
      </c>
    </row>
    <row r="8" spans="1:29" s="406" customFormat="1" ht="15.75" thickBot="1">
      <c r="A8" s="750" t="s">
        <v>396</v>
      </c>
      <c r="B8" s="751"/>
      <c r="C8" s="756" t="s">
        <v>413</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34" si="3">D8/F8</f>
        <v>#DIV/0!</v>
      </c>
      <c r="AB8" s="1320" t="e">
        <f t="shared" ref="AB8:AB34" si="4">D8/H8</f>
        <v>#DIV/0!</v>
      </c>
      <c r="AC8" s="1320" t="e">
        <f t="shared" ref="AC8:AC34" si="5">D8/J8</f>
        <v>#DIV/0!</v>
      </c>
    </row>
    <row r="9" spans="1:29" s="406" customFormat="1">
      <c r="A9" s="757" t="s">
        <v>397</v>
      </c>
      <c r="B9" s="361" t="s">
        <v>415</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66" t="s">
        <v>398</v>
      </c>
      <c r="Q9" s="296" t="str">
        <f t="shared" ref="Q9:Q14" si="6">B9</f>
        <v>用途</v>
      </c>
      <c r="R9" s="1317" t="s">
        <v>64</v>
      </c>
      <c r="S9" s="1318">
        <f t="shared" si="0"/>
        <v>100</v>
      </c>
      <c r="T9" s="1317" t="s">
        <v>64</v>
      </c>
      <c r="U9" s="1318">
        <f t="shared" si="1"/>
        <v>100</v>
      </c>
      <c r="V9" s="1317" t="s">
        <v>64</v>
      </c>
      <c r="W9" s="1318">
        <f t="shared" si="2"/>
        <v>100</v>
      </c>
      <c r="X9" s="1319"/>
      <c r="Y9" s="3534" t="s">
        <v>399</v>
      </c>
      <c r="Z9" s="344" t="str">
        <f t="shared" ref="Z9:Z14" si="7">Q9</f>
        <v>用途</v>
      </c>
      <c r="AA9" s="1320">
        <f t="shared" si="3"/>
        <v>1</v>
      </c>
      <c r="AB9" s="1320">
        <f t="shared" si="4"/>
        <v>1</v>
      </c>
      <c r="AC9" s="1320">
        <f t="shared" si="5"/>
        <v>1</v>
      </c>
    </row>
    <row r="10" spans="1:29" s="769" customFormat="1" ht="27">
      <c r="A10" s="763"/>
      <c r="B10" s="764" t="s">
        <v>400</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66"/>
      <c r="Q10" s="296" t="str">
        <f t="shared" si="6"/>
        <v>土地使用年限（年）</v>
      </c>
      <c r="R10" s="1317" t="s">
        <v>64</v>
      </c>
      <c r="S10" s="1318">
        <f t="shared" si="0"/>
        <v>100</v>
      </c>
      <c r="T10" s="1317" t="s">
        <v>64</v>
      </c>
      <c r="U10" s="1318">
        <f t="shared" si="1"/>
        <v>100</v>
      </c>
      <c r="V10" s="1317" t="s">
        <v>64</v>
      </c>
      <c r="W10" s="1318">
        <f t="shared" si="2"/>
        <v>100</v>
      </c>
      <c r="X10" s="1319"/>
      <c r="Y10" s="3534"/>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66"/>
      <c r="Q11" s="296">
        <f t="shared" si="6"/>
        <v>111</v>
      </c>
      <c r="R11" s="1317" t="s">
        <v>64</v>
      </c>
      <c r="S11" s="1318">
        <f t="shared" si="0"/>
        <v>100</v>
      </c>
      <c r="T11" s="1317" t="s">
        <v>64</v>
      </c>
      <c r="U11" s="1318">
        <f t="shared" si="1"/>
        <v>100</v>
      </c>
      <c r="V11" s="1317" t="s">
        <v>64</v>
      </c>
      <c r="W11" s="1318">
        <f t="shared" si="2"/>
        <v>100</v>
      </c>
      <c r="X11" s="1319"/>
      <c r="Y11" s="3534"/>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66"/>
      <c r="Q12" s="296">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66"/>
      <c r="Q13" s="296">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94.5">
      <c r="A14" s="782" t="s">
        <v>402</v>
      </c>
      <c r="B14" s="359" t="s">
        <v>452</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81" t="s">
        <v>403</v>
      </c>
      <c r="Q14" s="1321" t="str">
        <f t="shared" si="6"/>
        <v>交通便捷度</v>
      </c>
      <c r="R14" s="1322" t="s">
        <v>64</v>
      </c>
      <c r="S14" s="1323">
        <f t="shared" si="0"/>
        <v>100</v>
      </c>
      <c r="T14" s="1322" t="s">
        <v>64</v>
      </c>
      <c r="U14" s="1323">
        <f t="shared" si="1"/>
        <v>100</v>
      </c>
      <c r="V14" s="1322" t="s">
        <v>64</v>
      </c>
      <c r="W14" s="1323">
        <f t="shared" si="2"/>
        <v>100</v>
      </c>
      <c r="X14" s="1316"/>
      <c r="Y14" s="3681" t="s">
        <v>403</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82"/>
      <c r="Q15" s="1321"/>
      <c r="R15" s="1322"/>
      <c r="S15" s="1323"/>
      <c r="T15" s="1322"/>
      <c r="U15" s="1323"/>
      <c r="V15" s="1322"/>
      <c r="W15" s="1323"/>
      <c r="X15" s="1316"/>
      <c r="Y15" s="3682"/>
      <c r="Z15" s="1324"/>
      <c r="AA15" s="1325">
        <v>1</v>
      </c>
      <c r="AB15" s="1325">
        <v>1</v>
      </c>
      <c r="AC15" s="1325">
        <v>1</v>
      </c>
    </row>
    <row r="16" spans="1:29" ht="40.5">
      <c r="A16" s="770"/>
      <c r="B16" s="1354" t="s">
        <v>2665</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82"/>
      <c r="Q16" s="1321" t="str">
        <f>B16</f>
        <v>公共配套设施</v>
      </c>
      <c r="R16" s="1322" t="s">
        <v>64</v>
      </c>
      <c r="S16" s="1323">
        <f>F16</f>
        <v>100</v>
      </c>
      <c r="T16" s="1322" t="s">
        <v>64</v>
      </c>
      <c r="U16" s="1323">
        <f>H16</f>
        <v>100</v>
      </c>
      <c r="V16" s="1322" t="s">
        <v>64</v>
      </c>
      <c r="W16" s="1323">
        <f>J16</f>
        <v>100</v>
      </c>
      <c r="X16" s="1316"/>
      <c r="Y16" s="368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82"/>
      <c r="Q17" s="1321"/>
      <c r="R17" s="1322"/>
      <c r="S17" s="1323"/>
      <c r="T17" s="1322"/>
      <c r="U17" s="1323"/>
      <c r="V17" s="1322"/>
      <c r="W17" s="1323"/>
      <c r="X17" s="1316"/>
      <c r="Y17" s="3682"/>
      <c r="Z17" s="1324"/>
      <c r="AA17" s="1325">
        <v>1</v>
      </c>
      <c r="AB17" s="1325">
        <v>1</v>
      </c>
      <c r="AC17" s="1325">
        <v>1</v>
      </c>
    </row>
    <row r="18" spans="1:29" ht="40.5">
      <c r="A18" s="770"/>
      <c r="B18" s="1410" t="s">
        <v>2667</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82"/>
      <c r="Q18" s="2740" t="str">
        <f>B18</f>
        <v>基础设施水平</v>
      </c>
      <c r="R18" s="1322" t="s">
        <v>64</v>
      </c>
      <c r="S18" s="1323">
        <f>F18</f>
        <v>100</v>
      </c>
      <c r="T18" s="1322" t="s">
        <v>64</v>
      </c>
      <c r="U18" s="1323">
        <f>H18</f>
        <v>100</v>
      </c>
      <c r="V18" s="1322" t="s">
        <v>64</v>
      </c>
      <c r="W18" s="1323">
        <f>J18</f>
        <v>100</v>
      </c>
      <c r="X18" s="2742"/>
      <c r="Y18" s="3682"/>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82"/>
      <c r="Q19" s="2740"/>
      <c r="R19" s="1322"/>
      <c r="S19" s="1323"/>
      <c r="T19" s="1322"/>
      <c r="U19" s="1323"/>
      <c r="V19" s="1322"/>
      <c r="W19" s="1323"/>
      <c r="X19" s="2742"/>
      <c r="Y19" s="3682"/>
      <c r="Z19" s="2741"/>
      <c r="AA19" s="1325">
        <v>1</v>
      </c>
      <c r="AB19" s="1325">
        <v>1</v>
      </c>
      <c r="AC19" s="1325">
        <v>1</v>
      </c>
    </row>
    <row r="20" spans="1:29" ht="54">
      <c r="A20" s="770"/>
      <c r="B20" s="793" t="s">
        <v>453</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82"/>
      <c r="Q20" s="1321" t="str">
        <f>B20</f>
        <v>自然及人文环境</v>
      </c>
      <c r="R20" s="1322" t="s">
        <v>64</v>
      </c>
      <c r="S20" s="1323">
        <f>F20</f>
        <v>100</v>
      </c>
      <c r="T20" s="1322" t="s">
        <v>64</v>
      </c>
      <c r="U20" s="1323">
        <f>H20</f>
        <v>100</v>
      </c>
      <c r="V20" s="1322" t="s">
        <v>64</v>
      </c>
      <c r="W20" s="1323">
        <f>J20</f>
        <v>100</v>
      </c>
      <c r="X20" s="1316"/>
      <c r="Y20" s="368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82"/>
      <c r="Q21" s="1321"/>
      <c r="R21" s="1322"/>
      <c r="S21" s="1323"/>
      <c r="T21" s="1322"/>
      <c r="U21" s="1323"/>
      <c r="V21" s="1322"/>
      <c r="W21" s="1323"/>
      <c r="X21" s="1316"/>
      <c r="Y21" s="3682"/>
      <c r="Z21" s="1324"/>
      <c r="AA21" s="1325">
        <v>1</v>
      </c>
      <c r="AB21" s="1325">
        <v>1</v>
      </c>
      <c r="AC21" s="1325">
        <v>1</v>
      </c>
    </row>
    <row r="22" spans="1:29" ht="15">
      <c r="A22" s="770"/>
      <c r="B22" s="793" t="s">
        <v>454</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82"/>
      <c r="Q22" s="1321" t="str">
        <f>B22</f>
        <v>楼层</v>
      </c>
      <c r="R22" s="1322" t="s">
        <v>64</v>
      </c>
      <c r="S22" s="1323">
        <f>F22</f>
        <v>100</v>
      </c>
      <c r="T22" s="1322" t="s">
        <v>64</v>
      </c>
      <c r="U22" s="1323">
        <f>H22</f>
        <v>100</v>
      </c>
      <c r="V22" s="1322" t="s">
        <v>64</v>
      </c>
      <c r="W22" s="1323">
        <f>J22</f>
        <v>100</v>
      </c>
      <c r="X22" s="1316"/>
      <c r="Y22" s="3682"/>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82"/>
      <c r="Q23" s="1321">
        <f>B23</f>
        <v>111</v>
      </c>
      <c r="R23" s="1322" t="s">
        <v>64</v>
      </c>
      <c r="S23" s="1323">
        <f>F23</f>
        <v>100</v>
      </c>
      <c r="T23" s="1322" t="s">
        <v>64</v>
      </c>
      <c r="U23" s="1323">
        <f>H23</f>
        <v>100</v>
      </c>
      <c r="V23" s="1322" t="s">
        <v>64</v>
      </c>
      <c r="W23" s="1323">
        <f>J23</f>
        <v>100</v>
      </c>
      <c r="X23" s="1316"/>
      <c r="Y23" s="3682"/>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82"/>
      <c r="Q24" s="1321">
        <f t="shared" ref="Q24:Q34" si="11">B24</f>
        <v>111</v>
      </c>
      <c r="R24" s="1322" t="s">
        <v>64</v>
      </c>
      <c r="S24" s="1323">
        <f>F24</f>
        <v>100</v>
      </c>
      <c r="T24" s="1322" t="s">
        <v>64</v>
      </c>
      <c r="U24" s="1323">
        <f>H24</f>
        <v>100</v>
      </c>
      <c r="V24" s="1322" t="s">
        <v>64</v>
      </c>
      <c r="W24" s="1323">
        <f>J24</f>
        <v>100</v>
      </c>
      <c r="X24" s="1316"/>
      <c r="Y24" s="3682"/>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82"/>
      <c r="Q25" s="296">
        <f t="shared" si="11"/>
        <v>111</v>
      </c>
      <c r="R25" s="1317" t="s">
        <v>64</v>
      </c>
      <c r="S25" s="1318">
        <f>F25</f>
        <v>100</v>
      </c>
      <c r="T25" s="1317" t="s">
        <v>64</v>
      </c>
      <c r="U25" s="1318">
        <f>H25</f>
        <v>100</v>
      </c>
      <c r="V25" s="1317" t="s">
        <v>64</v>
      </c>
      <c r="W25" s="1318">
        <f>J25</f>
        <v>100</v>
      </c>
      <c r="X25" s="1319"/>
      <c r="Y25" s="3682"/>
      <c r="Z25" s="344">
        <f>Q25</f>
        <v>111</v>
      </c>
      <c r="AA25" s="1325">
        <f>D25/F25</f>
        <v>1</v>
      </c>
      <c r="AB25" s="1325">
        <f>D25/H25</f>
        <v>1</v>
      </c>
      <c r="AC25" s="1325">
        <f>D25/J25</f>
        <v>1</v>
      </c>
    </row>
    <row r="26" spans="1:29" ht="15">
      <c r="A26" s="807" t="s">
        <v>404</v>
      </c>
      <c r="B26" s="361" t="s">
        <v>457</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83" t="s">
        <v>470</v>
      </c>
      <c r="Q26" s="1321" t="str">
        <f t="shared" si="11"/>
        <v>公共部分装修</v>
      </c>
      <c r="R26" s="1322" t="s">
        <v>64</v>
      </c>
      <c r="S26" s="1323">
        <f t="shared" ref="S26:S34" si="12">F26</f>
        <v>100</v>
      </c>
      <c r="T26" s="1322" t="s">
        <v>64</v>
      </c>
      <c r="U26" s="1323">
        <f t="shared" ref="U26:U34" si="13">H26</f>
        <v>100</v>
      </c>
      <c r="V26" s="1322" t="s">
        <v>64</v>
      </c>
      <c r="W26" s="1323">
        <f t="shared" ref="W26:W34" si="14">J26</f>
        <v>100</v>
      </c>
      <c r="X26" s="1316"/>
      <c r="Y26" s="3684" t="s">
        <v>470</v>
      </c>
      <c r="Z26" s="1324" t="str">
        <f t="shared" ref="Z26:Z34" si="15">Q26</f>
        <v>公共部分装修</v>
      </c>
      <c r="AA26" s="1325">
        <f t="shared" si="3"/>
        <v>1</v>
      </c>
      <c r="AB26" s="1325">
        <f t="shared" si="4"/>
        <v>1</v>
      </c>
      <c r="AC26" s="1325">
        <f t="shared" si="5"/>
        <v>1</v>
      </c>
    </row>
    <row r="27" spans="1:29" s="812" customFormat="1" ht="15">
      <c r="A27" s="809"/>
      <c r="B27" s="764" t="s">
        <v>458</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84"/>
      <c r="Q27" s="1326" t="str">
        <f t="shared" si="11"/>
        <v>成新率</v>
      </c>
      <c r="R27" s="1327" t="s">
        <v>64</v>
      </c>
      <c r="S27" s="1328" t="e">
        <f t="shared" si="12"/>
        <v>#N/A</v>
      </c>
      <c r="T27" s="1327" t="s">
        <v>64</v>
      </c>
      <c r="U27" s="1328" t="e">
        <f t="shared" si="13"/>
        <v>#N/A</v>
      </c>
      <c r="V27" s="1327" t="s">
        <v>64</v>
      </c>
      <c r="W27" s="1328" t="e">
        <f t="shared" si="14"/>
        <v>#N/A</v>
      </c>
      <c r="X27" s="1329"/>
      <c r="Y27" s="3684"/>
      <c r="Z27" s="1330" t="str">
        <f t="shared" si="15"/>
        <v>成新率</v>
      </c>
      <c r="AA27" s="1325" t="e">
        <f t="shared" si="3"/>
        <v>#N/A</v>
      </c>
      <c r="AB27" s="1325" t="e">
        <f t="shared" si="4"/>
        <v>#N/A</v>
      </c>
      <c r="AC27" s="1325" t="e">
        <f t="shared" si="5"/>
        <v>#N/A</v>
      </c>
    </row>
    <row r="28" spans="1:29" ht="15">
      <c r="A28" s="813"/>
      <c r="B28" s="764" t="s">
        <v>459</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84"/>
      <c r="Q28" s="1321" t="str">
        <f t="shared" si="11"/>
        <v>物业等级</v>
      </c>
      <c r="R28" s="1322" t="s">
        <v>64</v>
      </c>
      <c r="S28" s="1323">
        <f t="shared" si="12"/>
        <v>100</v>
      </c>
      <c r="T28" s="1322" t="s">
        <v>64</v>
      </c>
      <c r="U28" s="1323">
        <f t="shared" si="13"/>
        <v>100</v>
      </c>
      <c r="V28" s="1322" t="s">
        <v>64</v>
      </c>
      <c r="W28" s="1323">
        <f t="shared" si="14"/>
        <v>100</v>
      </c>
      <c r="X28" s="1316"/>
      <c r="Y28" s="3684"/>
      <c r="Z28" s="1324" t="str">
        <f t="shared" si="15"/>
        <v>物业等级</v>
      </c>
      <c r="AA28" s="1325">
        <f t="shared" si="3"/>
        <v>1</v>
      </c>
      <c r="AB28" s="1325">
        <f t="shared" si="4"/>
        <v>1</v>
      </c>
      <c r="AC28" s="1325">
        <f t="shared" si="5"/>
        <v>1</v>
      </c>
    </row>
    <row r="29" spans="1:29" ht="15">
      <c r="A29" s="813"/>
      <c r="B29" s="764" t="s">
        <v>471</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84"/>
      <c r="Q29" s="1321" t="str">
        <f t="shared" si="11"/>
        <v>有无电梯</v>
      </c>
      <c r="R29" s="1322" t="s">
        <v>64</v>
      </c>
      <c r="S29" s="1323">
        <f t="shared" si="12"/>
        <v>100</v>
      </c>
      <c r="T29" s="1322" t="s">
        <v>64</v>
      </c>
      <c r="U29" s="1323">
        <f t="shared" si="13"/>
        <v>100</v>
      </c>
      <c r="V29" s="1322" t="s">
        <v>64</v>
      </c>
      <c r="W29" s="1323">
        <f t="shared" si="14"/>
        <v>100</v>
      </c>
      <c r="X29" s="1316"/>
      <c r="Y29" s="3684"/>
      <c r="Z29" s="1324" t="str">
        <f t="shared" si="15"/>
        <v>有无电梯</v>
      </c>
      <c r="AA29" s="1325">
        <f t="shared" si="3"/>
        <v>1</v>
      </c>
      <c r="AB29" s="1325">
        <f t="shared" si="4"/>
        <v>1</v>
      </c>
      <c r="AC29" s="1325">
        <f t="shared" si="5"/>
        <v>1</v>
      </c>
    </row>
    <row r="30" spans="1:29" ht="15">
      <c r="A30" s="813"/>
      <c r="B30" s="764" t="s">
        <v>472</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84"/>
      <c r="Q30" s="1321" t="str">
        <f t="shared" si="11"/>
        <v>建筑面积</v>
      </c>
      <c r="R30" s="1322" t="s">
        <v>64</v>
      </c>
      <c r="S30" s="1323" t="e">
        <f t="shared" si="12"/>
        <v>#N/A</v>
      </c>
      <c r="T30" s="1322" t="s">
        <v>64</v>
      </c>
      <c r="U30" s="1323" t="e">
        <f t="shared" si="13"/>
        <v>#N/A</v>
      </c>
      <c r="V30" s="1322" t="s">
        <v>64</v>
      </c>
      <c r="W30" s="1323" t="e">
        <f t="shared" si="14"/>
        <v>#N/A</v>
      </c>
      <c r="X30" s="1316"/>
      <c r="Y30" s="3684"/>
      <c r="Z30" s="1324" t="str">
        <f t="shared" si="15"/>
        <v>建筑面积</v>
      </c>
      <c r="AA30" s="1325" t="e">
        <f t="shared" si="3"/>
        <v>#N/A</v>
      </c>
      <c r="AB30" s="1325" t="e">
        <f t="shared" si="4"/>
        <v>#N/A</v>
      </c>
      <c r="AC30" s="1325" t="e">
        <f t="shared" si="5"/>
        <v>#N/A</v>
      </c>
    </row>
    <row r="31" spans="1:29" s="406" customFormat="1" ht="15">
      <c r="A31" s="814"/>
      <c r="B31" s="764" t="s">
        <v>473</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84"/>
      <c r="Q31" s="296" t="str">
        <f t="shared" si="11"/>
        <v>是否封闭</v>
      </c>
      <c r="R31" s="1317" t="s">
        <v>64</v>
      </c>
      <c r="S31" s="1318">
        <f t="shared" si="12"/>
        <v>100</v>
      </c>
      <c r="T31" s="1317" t="s">
        <v>64</v>
      </c>
      <c r="U31" s="1318">
        <f t="shared" si="13"/>
        <v>100</v>
      </c>
      <c r="V31" s="1317" t="s">
        <v>64</v>
      </c>
      <c r="W31" s="1318">
        <f t="shared" si="14"/>
        <v>100</v>
      </c>
      <c r="X31" s="1319"/>
      <c r="Y31" s="3684"/>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84" t="s">
        <v>405</v>
      </c>
      <c r="Q32" s="1321">
        <f t="shared" si="11"/>
        <v>111</v>
      </c>
      <c r="R32" s="1322" t="s">
        <v>64</v>
      </c>
      <c r="S32" s="1323">
        <f t="shared" si="12"/>
        <v>100</v>
      </c>
      <c r="T32" s="1322" t="s">
        <v>64</v>
      </c>
      <c r="U32" s="1323">
        <f t="shared" si="13"/>
        <v>100</v>
      </c>
      <c r="V32" s="1322" t="s">
        <v>64</v>
      </c>
      <c r="W32" s="1323">
        <f t="shared" si="14"/>
        <v>100</v>
      </c>
      <c r="X32" s="1316"/>
      <c r="Y32" s="3684" t="s">
        <v>405</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84"/>
      <c r="Q33" s="1321">
        <f t="shared" si="11"/>
        <v>111</v>
      </c>
      <c r="R33" s="1322" t="s">
        <v>64</v>
      </c>
      <c r="S33" s="1323">
        <f t="shared" si="12"/>
        <v>100</v>
      </c>
      <c r="T33" s="1322" t="s">
        <v>64</v>
      </c>
      <c r="U33" s="1323">
        <f t="shared" si="13"/>
        <v>100</v>
      </c>
      <c r="V33" s="1322" t="s">
        <v>64</v>
      </c>
      <c r="W33" s="1323">
        <f t="shared" si="14"/>
        <v>100</v>
      </c>
      <c r="X33" s="1316"/>
      <c r="Y33" s="3684"/>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84"/>
      <c r="Q34" s="1321">
        <f t="shared" si="11"/>
        <v>111</v>
      </c>
      <c r="R34" s="1322" t="s">
        <v>64</v>
      </c>
      <c r="S34" s="1323">
        <f t="shared" si="12"/>
        <v>100</v>
      </c>
      <c r="T34" s="1322" t="s">
        <v>64</v>
      </c>
      <c r="U34" s="1323">
        <f t="shared" si="13"/>
        <v>100</v>
      </c>
      <c r="V34" s="1322" t="s">
        <v>64</v>
      </c>
      <c r="W34" s="1323">
        <f t="shared" si="14"/>
        <v>100</v>
      </c>
      <c r="X34" s="1316"/>
      <c r="Y34" s="3684"/>
      <c r="Z34" s="1324">
        <f t="shared" si="15"/>
        <v>111</v>
      </c>
      <c r="AA34" s="1325">
        <f t="shared" si="3"/>
        <v>1</v>
      </c>
      <c r="AB34" s="1325">
        <f t="shared" si="4"/>
        <v>1</v>
      </c>
      <c r="AC34" s="1325">
        <f t="shared" si="5"/>
        <v>1</v>
      </c>
    </row>
    <row r="35" spans="1:29" ht="15">
      <c r="A35" s="820" t="s">
        <v>406</v>
      </c>
      <c r="B35" s="821"/>
      <c r="C35" s="2824" t="s">
        <v>23</v>
      </c>
      <c r="D35" s="2825"/>
      <c r="E35" s="2826"/>
      <c r="F35" s="2827"/>
      <c r="G35" s="2828"/>
      <c r="H35" s="2829"/>
      <c r="I35" s="2826"/>
      <c r="J35" s="2829"/>
      <c r="K35" s="1398"/>
      <c r="L35" s="2352"/>
      <c r="M35" s="2353"/>
      <c r="N35" s="2340"/>
      <c r="O35" s="2353"/>
      <c r="P35" s="3666" t="str">
        <f>A35</f>
        <v>成交单价（元/平方米）</v>
      </c>
      <c r="Q35" s="3666"/>
      <c r="R35" s="3685">
        <f>E35</f>
        <v>0</v>
      </c>
      <c r="S35" s="3685"/>
      <c r="T35" s="3685">
        <f>G35</f>
        <v>0</v>
      </c>
      <c r="U35" s="3685"/>
      <c r="V35" s="3685">
        <f>I35</f>
        <v>0</v>
      </c>
      <c r="W35" s="3685"/>
      <c r="X35" s="1305"/>
      <c r="Y35" s="1331"/>
      <c r="Z35" s="1305"/>
      <c r="AA35" s="1305"/>
      <c r="AB35" s="1305"/>
      <c r="AC35" s="1305"/>
    </row>
    <row r="36" spans="1:29" ht="15.75" thickBot="1">
      <c r="A36" s="827" t="s">
        <v>407</v>
      </c>
      <c r="B36" s="828"/>
      <c r="C36" s="2830" t="e">
        <f>R37</f>
        <v>#DIV/0!</v>
      </c>
      <c r="D36" s="2831"/>
      <c r="E36" s="2832" t="e">
        <f>R36</f>
        <v>#DIV/0!</v>
      </c>
      <c r="F36" s="2832"/>
      <c r="G36" s="2830" t="e">
        <f>T36</f>
        <v>#DIV/0!</v>
      </c>
      <c r="H36" s="2831"/>
      <c r="I36" s="2832" t="e">
        <f>V36</f>
        <v>#DIV/0!</v>
      </c>
      <c r="J36" s="2831"/>
      <c r="K36" s="1399"/>
      <c r="L36" s="2352"/>
      <c r="M36" s="2353"/>
      <c r="N36" s="2340"/>
      <c r="O36" s="2353"/>
      <c r="P36" s="3666" t="str">
        <f>A36</f>
        <v>比较价值（元/平方米）</v>
      </c>
      <c r="Q36" s="3666"/>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305"/>
      <c r="Y36" s="1305"/>
      <c r="Z36" s="1305"/>
      <c r="AA36" s="1305"/>
      <c r="AB36" s="1305"/>
      <c r="AC36" s="1305"/>
    </row>
    <row r="37" spans="1:29" ht="15.75" thickBot="1">
      <c r="A37" s="115" t="s">
        <v>3017</v>
      </c>
      <c r="B37" s="834"/>
      <c r="C37" s="2834" t="e">
        <f>R37</f>
        <v>#DIV/0!</v>
      </c>
      <c r="D37" s="2834"/>
      <c r="E37" s="2834"/>
      <c r="F37" s="2834"/>
      <c r="G37" s="2834"/>
      <c r="H37" s="2834"/>
      <c r="I37" s="2834"/>
      <c r="J37" s="2834"/>
      <c r="K37" s="1400"/>
      <c r="L37" s="2352"/>
      <c r="M37" s="2353"/>
      <c r="N37" s="2353"/>
      <c r="O37" s="2353"/>
      <c r="P37" s="3686" t="str">
        <f>A37</f>
        <v>估价对象XX用房的比较价值（楼面单价，元/平方米）</v>
      </c>
      <c r="Q37" s="3687"/>
      <c r="R37" s="3688" t="e">
        <f>IF(F1="售价",ROUND(AVERAGE(R36:V36),0),ROUND(AVERAGE(R36:V36),1))</f>
        <v>#DIV/0!</v>
      </c>
      <c r="S37" s="3688"/>
      <c r="T37" s="3688"/>
      <c r="U37" s="3688"/>
      <c r="V37" s="3688"/>
      <c r="W37" s="3688"/>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409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411</v>
      </c>
      <c r="B45" s="1305"/>
      <c r="C45" s="1310"/>
      <c r="D45" s="1310"/>
      <c r="E45" s="1310"/>
      <c r="F45" s="1311"/>
      <c r="G45" s="1311"/>
      <c r="H45" s="1310"/>
      <c r="I45" s="1310"/>
      <c r="J45" s="1310"/>
      <c r="K45" s="1312"/>
      <c r="L45" s="1313"/>
      <c r="M45" s="1310"/>
      <c r="N45" s="1310"/>
      <c r="O45" s="1310"/>
      <c r="P45" s="844"/>
      <c r="Q45" s="845"/>
    </row>
    <row r="46" spans="1:29" s="849" customFormat="1" ht="15">
      <c r="A46" s="846" t="s">
        <v>394</v>
      </c>
      <c r="B46" s="847"/>
      <c r="C46" s="3032" t="str">
        <f>YEAR(C7)&amp;"-"&amp;MONTH(C7)</f>
        <v>2017-9</v>
      </c>
      <c r="D46" s="3033">
        <f>EDATE(C46,-1)</f>
        <v>42948</v>
      </c>
      <c r="E46" s="3033">
        <f t="shared" ref="E46:O46" si="16">EDATE(D46,-1)</f>
        <v>42917</v>
      </c>
      <c r="F46" s="3033">
        <f t="shared" si="16"/>
        <v>42887</v>
      </c>
      <c r="G46" s="3033">
        <f t="shared" si="16"/>
        <v>42856</v>
      </c>
      <c r="H46" s="3033">
        <f t="shared" si="16"/>
        <v>42826</v>
      </c>
      <c r="I46" s="3033">
        <f t="shared" si="16"/>
        <v>42795</v>
      </c>
      <c r="J46" s="3033">
        <f t="shared" si="16"/>
        <v>42767</v>
      </c>
      <c r="K46" s="3033">
        <f t="shared" si="16"/>
        <v>42736</v>
      </c>
      <c r="L46" s="3033">
        <f t="shared" si="16"/>
        <v>42705</v>
      </c>
      <c r="M46" s="3033">
        <f t="shared" si="16"/>
        <v>42675</v>
      </c>
      <c r="N46" s="3033">
        <f t="shared" si="16"/>
        <v>42644</v>
      </c>
      <c r="O46" s="3033">
        <f t="shared" si="16"/>
        <v>42614</v>
      </c>
      <c r="P46" s="848"/>
    </row>
    <row r="47" spans="1:29" s="406" customFormat="1" ht="15">
      <c r="A47" s="850"/>
      <c r="B47" s="851"/>
      <c r="C47" s="3030">
        <v>100</v>
      </c>
      <c r="D47" s="853"/>
      <c r="E47" s="853"/>
      <c r="F47" s="853"/>
      <c r="G47" s="853"/>
      <c r="H47" s="853"/>
      <c r="I47" s="853"/>
      <c r="J47" s="853"/>
      <c r="K47" s="853"/>
      <c r="L47" s="853"/>
      <c r="M47" s="854"/>
      <c r="N47" s="853"/>
      <c r="O47" s="855"/>
      <c r="P47" s="845"/>
    </row>
    <row r="48" spans="1:29" s="406" customFormat="1" ht="15.75" thickBot="1">
      <c r="A48" s="856" t="s">
        <v>412</v>
      </c>
      <c r="B48" s="857"/>
      <c r="C48" s="858"/>
      <c r="D48" s="859"/>
      <c r="E48" s="859"/>
      <c r="F48" s="859"/>
      <c r="G48" s="859"/>
      <c r="H48" s="859"/>
      <c r="I48" s="859"/>
      <c r="J48" s="859"/>
      <c r="K48" s="859"/>
      <c r="L48" s="859"/>
      <c r="M48" s="860"/>
      <c r="N48" s="859"/>
      <c r="O48" s="861"/>
      <c r="P48" s="845"/>
      <c r="Q48" s="845"/>
    </row>
    <row r="49" spans="1:17" s="406" customFormat="1" ht="15">
      <c r="A49" s="862" t="s">
        <v>396</v>
      </c>
      <c r="B49" s="851"/>
      <c r="C49" s="863" t="s">
        <v>413</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414</v>
      </c>
      <c r="B51" s="869" t="s">
        <v>415</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400</v>
      </c>
      <c r="C53" s="880" t="s">
        <v>416</v>
      </c>
      <c r="D53" s="880" t="s">
        <v>417</v>
      </c>
      <c r="E53" s="880" t="s">
        <v>418</v>
      </c>
      <c r="F53" s="880" t="s">
        <v>419</v>
      </c>
      <c r="G53" s="880" t="s">
        <v>434</v>
      </c>
      <c r="H53" s="880" t="s">
        <v>435</v>
      </c>
      <c r="I53" s="880" t="s">
        <v>436</v>
      </c>
      <c r="J53" s="880"/>
      <c r="K53" s="881"/>
      <c r="L53" s="882"/>
      <c r="M53" s="883"/>
      <c r="N53" s="2361"/>
      <c r="O53" s="2361"/>
      <c r="P53" s="334"/>
      <c r="Q53" s="845"/>
    </row>
    <row r="54" spans="1:17" ht="15.75" thickBot="1">
      <c r="A54" s="875"/>
      <c r="B54" s="884"/>
      <c r="C54" s="885" t="s">
        <v>137</v>
      </c>
      <c r="D54" s="885" t="s">
        <v>138</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402</v>
      </c>
      <c r="B61" s="869" t="s">
        <v>426</v>
      </c>
      <c r="C61" s="914" t="s">
        <v>421</v>
      </c>
      <c r="D61" s="914" t="s">
        <v>422</v>
      </c>
      <c r="E61" s="914" t="s">
        <v>423</v>
      </c>
      <c r="F61" s="914" t="s">
        <v>424</v>
      </c>
      <c r="G61" s="914" t="s">
        <v>425</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427</v>
      </c>
      <c r="C63" s="919" t="s">
        <v>421</v>
      </c>
      <c r="D63" s="919" t="s">
        <v>422</v>
      </c>
      <c r="E63" s="919" t="s">
        <v>423</v>
      </c>
      <c r="F63" s="919" t="s">
        <v>424</v>
      </c>
      <c r="G63" s="919" t="s">
        <v>425</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2666</v>
      </c>
      <c r="C65" s="213" t="s">
        <v>2656</v>
      </c>
      <c r="D65" s="213" t="s">
        <v>2657</v>
      </c>
      <c r="E65" s="213" t="s">
        <v>2658</v>
      </c>
      <c r="F65" s="213" t="s">
        <v>2659</v>
      </c>
      <c r="G65" s="213" t="s">
        <v>2660</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428</v>
      </c>
      <c r="C67" s="919" t="s">
        <v>421</v>
      </c>
      <c r="D67" s="919" t="s">
        <v>422</v>
      </c>
      <c r="E67" s="919" t="s">
        <v>423</v>
      </c>
      <c r="F67" s="919" t="s">
        <v>424</v>
      </c>
      <c r="G67" s="919" t="s">
        <v>425</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429</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404</v>
      </c>
      <c r="B77" s="869" t="s">
        <v>430</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465</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466</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474</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475</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476</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H46" zoomScaleNormal="100" workbookViewId="0">
      <selection activeCell="T71" sqref="T7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477</v>
      </c>
      <c r="B1" s="737"/>
      <c r="C1" s="738" t="s">
        <v>478</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341</v>
      </c>
      <c r="B2" s="1078">
        <f>F66</f>
        <v>82287</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342</v>
      </c>
      <c r="B3" s="950">
        <f>ROUND(IF(D3="",B2*10000/'数据-汇总表'!E3,B2*10000/D3),0)</f>
        <v>8581</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386</v>
      </c>
      <c r="B4" s="744"/>
      <c r="C4" s="3667" t="s">
        <v>387</v>
      </c>
      <c r="D4" s="3668"/>
      <c r="E4" s="3669" t="s">
        <v>388</v>
      </c>
      <c r="F4" s="3670"/>
      <c r="G4" s="3667" t="s">
        <v>389</v>
      </c>
      <c r="H4" s="3668"/>
      <c r="I4" s="3667" t="s">
        <v>390</v>
      </c>
      <c r="J4" s="3668"/>
      <c r="K4" s="951" t="s">
        <v>391</v>
      </c>
      <c r="L4" s="2339"/>
      <c r="M4" s="2340"/>
      <c r="N4" s="2340"/>
      <c r="O4" s="2340"/>
      <c r="P4" s="3671" t="s">
        <v>392</v>
      </c>
      <c r="Q4" s="3672"/>
      <c r="R4" s="3654" t="s">
        <v>388</v>
      </c>
      <c r="S4" s="3655"/>
      <c r="T4" s="3654" t="s">
        <v>389</v>
      </c>
      <c r="U4" s="3655"/>
      <c r="V4" s="3679" t="s">
        <v>390</v>
      </c>
      <c r="W4" s="3679"/>
      <c r="X4" s="1316"/>
      <c r="Y4" s="3654" t="s">
        <v>392</v>
      </c>
      <c r="Z4" s="3655"/>
      <c r="AA4" s="3649" t="s">
        <v>388</v>
      </c>
      <c r="AB4" s="3650" t="s">
        <v>389</v>
      </c>
      <c r="AC4" s="3649" t="s">
        <v>390</v>
      </c>
    </row>
    <row r="5" spans="1:30" ht="36.75" customHeight="1">
      <c r="A5" s="746"/>
      <c r="B5" s="747"/>
      <c r="C5" s="3598" t="s">
        <v>1129</v>
      </c>
      <c r="D5" s="3599"/>
      <c r="E5" s="3596" t="str">
        <f>Sheet1!A11</f>
        <v>通州区运河核心区Ⅸ-06地块F3其它类多功能用地</v>
      </c>
      <c r="F5" s="3597"/>
      <c r="G5" s="3598" t="str">
        <f>Sheet1!A14</f>
        <v>通州区运河核心区Ⅸ-07地块F3其它类多功能用地</v>
      </c>
      <c r="H5" s="3599"/>
      <c r="I5" s="3598" t="str">
        <f>Sheet1!A16</f>
        <v>通州区运河核心区Ⅸ-05地块F3其它类多功能用地</v>
      </c>
      <c r="J5" s="3599"/>
      <c r="K5" s="951"/>
      <c r="L5" s="2339"/>
      <c r="M5" s="2340"/>
      <c r="N5" s="2340"/>
      <c r="O5" s="2340"/>
      <c r="P5" s="3673"/>
      <c r="Q5" s="3674"/>
      <c r="R5" s="3656"/>
      <c r="S5" s="3657"/>
      <c r="T5" s="3656"/>
      <c r="U5" s="3657"/>
      <c r="V5" s="3679"/>
      <c r="W5" s="3679"/>
      <c r="X5" s="1316"/>
      <c r="Y5" s="3656"/>
      <c r="Z5" s="3657"/>
      <c r="AA5" s="3650"/>
      <c r="AB5" s="3650"/>
      <c r="AC5" s="3650"/>
    </row>
    <row r="6" spans="1:30" ht="15.75" thickBot="1">
      <c r="A6" s="748"/>
      <c r="B6" s="749"/>
      <c r="C6" s="3600" t="s">
        <v>1132</v>
      </c>
      <c r="D6" s="3601"/>
      <c r="E6" s="3602" t="s">
        <v>1132</v>
      </c>
      <c r="F6" s="3603"/>
      <c r="G6" s="3600" t="s">
        <v>1132</v>
      </c>
      <c r="H6" s="3601"/>
      <c r="I6" s="3600" t="s">
        <v>1132</v>
      </c>
      <c r="J6" s="3601"/>
      <c r="K6" s="951" t="s">
        <v>393</v>
      </c>
      <c r="L6" s="2339"/>
      <c r="M6" s="2340"/>
      <c r="N6" s="2340"/>
      <c r="O6" s="2340"/>
      <c r="P6" s="3675"/>
      <c r="Q6" s="3676"/>
      <c r="R6" s="3656"/>
      <c r="S6" s="3657"/>
      <c r="T6" s="3677"/>
      <c r="U6" s="3678"/>
      <c r="V6" s="3679"/>
      <c r="W6" s="3679"/>
      <c r="X6" s="1316"/>
      <c r="Y6" s="3677"/>
      <c r="Z6" s="3678"/>
      <c r="AA6" s="3651"/>
      <c r="AB6" s="3651"/>
      <c r="AC6" s="3651"/>
    </row>
    <row r="7" spans="1:30" s="406" customFormat="1" ht="15.75" thickBot="1">
      <c r="A7" s="750" t="s">
        <v>394</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52" t="s">
        <v>395</v>
      </c>
      <c r="Q7" s="3680"/>
      <c r="R7" s="1317" t="s">
        <v>64</v>
      </c>
      <c r="S7" s="1318">
        <f t="shared" ref="S7:S15" si="0">F7</f>
        <v>93.5</v>
      </c>
      <c r="T7" s="1317" t="s">
        <v>64</v>
      </c>
      <c r="U7" s="1318">
        <f t="shared" ref="U7:U15" si="1">H7</f>
        <v>93.5</v>
      </c>
      <c r="V7" s="1317" t="s">
        <v>64</v>
      </c>
      <c r="W7" s="1318">
        <f t="shared" ref="W7:W15" si="2">J7</f>
        <v>93</v>
      </c>
      <c r="X7" s="1319"/>
      <c r="Y7" s="3652" t="s">
        <v>395</v>
      </c>
      <c r="Z7" s="3653"/>
      <c r="AA7" s="1320">
        <f>D7/F7</f>
        <v>1.0695187165775402</v>
      </c>
      <c r="AB7" s="1320">
        <f>D7/H7</f>
        <v>1.0695187165775402</v>
      </c>
      <c r="AC7" s="1320">
        <f>D7/J7</f>
        <v>1.075268817204301</v>
      </c>
    </row>
    <row r="8" spans="1:30" s="406" customFormat="1" ht="15.75" thickBot="1">
      <c r="A8" s="750" t="s">
        <v>396</v>
      </c>
      <c r="B8" s="751"/>
      <c r="C8" s="1018" t="s">
        <v>154</v>
      </c>
      <c r="D8" s="753">
        <v>100</v>
      </c>
      <c r="E8" s="1018" t="s">
        <v>154</v>
      </c>
      <c r="F8" s="755">
        <f>SUMIF(73:73,E8,74:74)-SUMIF(73:73,C8,74:74)+100</f>
        <v>100</v>
      </c>
      <c r="G8" s="1018" t="s">
        <v>154</v>
      </c>
      <c r="H8" s="753">
        <f>SUMIF(73:73,G8,74:74)-SUMIF(73:73,C8,74:74)+100</f>
        <v>100</v>
      </c>
      <c r="I8" s="1018" t="s">
        <v>154</v>
      </c>
      <c r="J8" s="753">
        <f>SUMIF(73:73,I8,74:74)-SUMIF(73:73,C8,74:74)+100</f>
        <v>100</v>
      </c>
      <c r="K8" s="952"/>
      <c r="L8" s="2341"/>
      <c r="M8" s="2342"/>
      <c r="N8" s="2342"/>
      <c r="O8" s="2342"/>
      <c r="P8" s="3652" t="s">
        <v>431</v>
      </c>
      <c r="Q8" s="3653"/>
      <c r="R8" s="1317" t="s">
        <v>64</v>
      </c>
      <c r="S8" s="1318">
        <f t="shared" si="0"/>
        <v>100</v>
      </c>
      <c r="T8" s="1317" t="s">
        <v>64</v>
      </c>
      <c r="U8" s="1318">
        <f t="shared" si="1"/>
        <v>100</v>
      </c>
      <c r="V8" s="1317" t="s">
        <v>64</v>
      </c>
      <c r="W8" s="1318">
        <f t="shared" si="2"/>
        <v>100</v>
      </c>
      <c r="X8" s="1319"/>
      <c r="Y8" s="3652" t="s">
        <v>431</v>
      </c>
      <c r="Z8" s="3653"/>
      <c r="AA8" s="1320">
        <f t="shared" ref="AA8:AA45" si="3">D8/F8</f>
        <v>1</v>
      </c>
      <c r="AB8" s="1320">
        <f t="shared" ref="AB8:AB45" si="4">D8/H8</f>
        <v>1</v>
      </c>
      <c r="AC8" s="1320">
        <f t="shared" ref="AC8:AC45" si="5">D8/J8</f>
        <v>1</v>
      </c>
    </row>
    <row r="9" spans="1:30" s="406" customFormat="1">
      <c r="A9" s="757" t="s">
        <v>397</v>
      </c>
      <c r="B9" s="361" t="s">
        <v>415</v>
      </c>
      <c r="C9" s="1020" t="s">
        <v>3186</v>
      </c>
      <c r="D9" s="424">
        <v>100</v>
      </c>
      <c r="E9" s="1020" t="s">
        <v>3186</v>
      </c>
      <c r="F9" s="424">
        <f>SUMIF(75:75,E9,76:76)-SUMIF(75:75,C9,76:76)+100</f>
        <v>100</v>
      </c>
      <c r="G9" s="1020" t="s">
        <v>3186</v>
      </c>
      <c r="H9" s="424">
        <f>SUMIF(75:75,G9,76:76)-SUMIF(75:75,C9,76:76)+100</f>
        <v>100</v>
      </c>
      <c r="I9" s="1020" t="s">
        <v>3186</v>
      </c>
      <c r="J9" s="424">
        <f>SUMIF(75:75,I9,76:76)-SUMIF(75:75,C9,76:76)+100</f>
        <v>100</v>
      </c>
      <c r="K9" s="952"/>
      <c r="L9" s="2341"/>
      <c r="M9" s="2342"/>
      <c r="N9" s="2342"/>
      <c r="O9" s="2343"/>
      <c r="P9" s="3666" t="s">
        <v>398</v>
      </c>
      <c r="Q9" s="296" t="str">
        <f t="shared" ref="Q9:Q15" si="6">B9</f>
        <v>用途</v>
      </c>
      <c r="R9" s="1317" t="s">
        <v>64</v>
      </c>
      <c r="S9" s="1318">
        <f t="shared" si="0"/>
        <v>100</v>
      </c>
      <c r="T9" s="1317" t="s">
        <v>64</v>
      </c>
      <c r="U9" s="1318">
        <f t="shared" si="1"/>
        <v>100</v>
      </c>
      <c r="V9" s="1317" t="s">
        <v>64</v>
      </c>
      <c r="W9" s="1318">
        <f t="shared" si="2"/>
        <v>100</v>
      </c>
      <c r="X9" s="1319"/>
      <c r="Y9" s="3534" t="s">
        <v>399</v>
      </c>
      <c r="Z9" s="344" t="str">
        <f t="shared" ref="Z9:Z15" si="7">Q9</f>
        <v>用途</v>
      </c>
      <c r="AA9" s="1320">
        <f t="shared" si="3"/>
        <v>1</v>
      </c>
      <c r="AB9" s="1320">
        <f t="shared" si="4"/>
        <v>1</v>
      </c>
      <c r="AC9" s="1320">
        <f t="shared" si="5"/>
        <v>1</v>
      </c>
    </row>
    <row r="10" spans="1:30" s="769" customFormat="1" ht="27">
      <c r="A10" s="763"/>
      <c r="B10" s="764" t="s">
        <v>400</v>
      </c>
      <c r="C10" s="3358" t="s">
        <v>3187</v>
      </c>
      <c r="D10" s="425">
        <v>100</v>
      </c>
      <c r="E10" s="806" t="s">
        <v>3188</v>
      </c>
      <c r="F10" s="425">
        <f>ROUND(100/'数据-取费表'!G16,0)</f>
        <v>103</v>
      </c>
      <c r="G10" s="806" t="s">
        <v>3188</v>
      </c>
      <c r="H10" s="425">
        <f>ROUND(100/'数据-取费表'!G16,0)</f>
        <v>103</v>
      </c>
      <c r="I10" s="806" t="s">
        <v>3188</v>
      </c>
      <c r="J10" s="425">
        <f>ROUND(100/'数据-取费表'!G16,0)</f>
        <v>103</v>
      </c>
      <c r="K10" s="1079"/>
      <c r="L10" s="2344"/>
      <c r="M10" s="2345"/>
      <c r="N10" s="2345"/>
      <c r="O10" s="2346"/>
      <c r="P10" s="3666"/>
      <c r="Q10" s="296" t="str">
        <f t="shared" si="6"/>
        <v>土地使用年限（年）</v>
      </c>
      <c r="R10" s="1317" t="s">
        <v>64</v>
      </c>
      <c r="S10" s="1318">
        <f t="shared" si="0"/>
        <v>103</v>
      </c>
      <c r="T10" s="1317" t="s">
        <v>64</v>
      </c>
      <c r="U10" s="1318">
        <f t="shared" si="1"/>
        <v>103</v>
      </c>
      <c r="V10" s="1317" t="s">
        <v>64</v>
      </c>
      <c r="W10" s="1318">
        <f t="shared" si="2"/>
        <v>103</v>
      </c>
      <c r="X10" s="1319"/>
      <c r="Y10" s="3534"/>
      <c r="Z10" s="344" t="str">
        <f t="shared" si="7"/>
        <v>土地使用年限（年）</v>
      </c>
      <c r="AA10" s="1320">
        <f t="shared" si="3"/>
        <v>0.970873786407767</v>
      </c>
      <c r="AB10" s="1320">
        <f t="shared" si="4"/>
        <v>0.970873786407767</v>
      </c>
      <c r="AC10" s="1320">
        <f t="shared" si="5"/>
        <v>0.970873786407767</v>
      </c>
    </row>
    <row r="11" spans="1:30" ht="15">
      <c r="A11" s="770"/>
      <c r="B11" s="764" t="s">
        <v>401</v>
      </c>
      <c r="C11" s="771">
        <f>'数据-汇总表'!I6</f>
        <v>3.62</v>
      </c>
      <c r="D11" s="425">
        <v>100</v>
      </c>
      <c r="E11" s="771">
        <f>Sheet1!H11</f>
        <v>7.49</v>
      </c>
      <c r="F11" s="425">
        <f>LOOKUP(E11,80:80,81:81)-LOOKUP(C11,80:80,81:81)+100</f>
        <v>96</v>
      </c>
      <c r="G11" s="772">
        <f>Sheet1!H14</f>
        <v>7.52</v>
      </c>
      <c r="H11" s="425">
        <f>LOOKUP(G11,80:80,81:81)-LOOKUP(C11,80:80,81:81)+100</f>
        <v>96</v>
      </c>
      <c r="I11" s="771">
        <f>Sheet1!H16</f>
        <v>7.51</v>
      </c>
      <c r="J11" s="425">
        <f>LOOKUP(I11,80:80,81:81)-LOOKUP(C11,80:80,81:81)+100</f>
        <v>96</v>
      </c>
      <c r="K11" s="1080">
        <v>1</v>
      </c>
      <c r="L11" s="2347"/>
      <c r="M11" s="2340"/>
      <c r="N11" s="2340"/>
      <c r="O11" s="2348"/>
      <c r="P11" s="3666"/>
      <c r="Q11" s="296" t="str">
        <f t="shared" si="6"/>
        <v>容积率</v>
      </c>
      <c r="R11" s="1317" t="s">
        <v>64</v>
      </c>
      <c r="S11" s="1318">
        <f t="shared" si="0"/>
        <v>96</v>
      </c>
      <c r="T11" s="1317" t="s">
        <v>64</v>
      </c>
      <c r="U11" s="1318">
        <f t="shared" si="1"/>
        <v>96</v>
      </c>
      <c r="V11" s="1317" t="s">
        <v>64</v>
      </c>
      <c r="W11" s="1318">
        <f t="shared" si="2"/>
        <v>96</v>
      </c>
      <c r="X11" s="1319"/>
      <c r="Y11" s="3534"/>
      <c r="Z11" s="344" t="str">
        <f t="shared" si="7"/>
        <v>容积率</v>
      </c>
      <c r="AA11" s="1320">
        <f t="shared" si="3"/>
        <v>1.0416666666666667</v>
      </c>
      <c r="AB11" s="1320">
        <f t="shared" si="4"/>
        <v>1.0416666666666667</v>
      </c>
      <c r="AC11" s="1320">
        <f t="shared" si="5"/>
        <v>1.0416666666666667</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66"/>
      <c r="Q12" s="296">
        <f t="shared" si="6"/>
        <v>0</v>
      </c>
      <c r="R12" s="1317" t="s">
        <v>64</v>
      </c>
      <c r="S12" s="1318">
        <f t="shared" si="0"/>
        <v>100</v>
      </c>
      <c r="T12" s="1317" t="s">
        <v>64</v>
      </c>
      <c r="U12" s="1318">
        <f t="shared" si="1"/>
        <v>100</v>
      </c>
      <c r="V12" s="1317" t="s">
        <v>64</v>
      </c>
      <c r="W12" s="1318">
        <f t="shared" si="2"/>
        <v>100</v>
      </c>
      <c r="X12" s="1319"/>
      <c r="Y12" s="3534"/>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66"/>
      <c r="Q13" s="296">
        <f t="shared" si="6"/>
        <v>0</v>
      </c>
      <c r="R13" s="1317" t="s">
        <v>64</v>
      </c>
      <c r="S13" s="1318">
        <f t="shared" si="0"/>
        <v>100</v>
      </c>
      <c r="T13" s="1317" t="s">
        <v>64</v>
      </c>
      <c r="U13" s="1318">
        <f t="shared" si="1"/>
        <v>100</v>
      </c>
      <c r="V13" s="1317" t="s">
        <v>64</v>
      </c>
      <c r="W13" s="1318">
        <f t="shared" si="2"/>
        <v>100</v>
      </c>
      <c r="X13" s="1319"/>
      <c r="Y13" s="3534"/>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66"/>
      <c r="Q14" s="296">
        <f t="shared" si="6"/>
        <v>0</v>
      </c>
      <c r="R14" s="1317" t="s">
        <v>64</v>
      </c>
      <c r="S14" s="1318">
        <f t="shared" si="0"/>
        <v>100</v>
      </c>
      <c r="T14" s="1317" t="s">
        <v>64</v>
      </c>
      <c r="U14" s="1318">
        <f t="shared" si="1"/>
        <v>100</v>
      </c>
      <c r="V14" s="1317" t="s">
        <v>64</v>
      </c>
      <c r="W14" s="1318">
        <f t="shared" si="2"/>
        <v>100</v>
      </c>
      <c r="X14" s="1319"/>
      <c r="Y14" s="3534"/>
      <c r="Z14" s="344">
        <f t="shared" si="7"/>
        <v>0</v>
      </c>
      <c r="AA14" s="1320">
        <f>D14/F14</f>
        <v>1</v>
      </c>
      <c r="AB14" s="1320">
        <f>D14/H14</f>
        <v>1</v>
      </c>
      <c r="AC14" s="1320">
        <f>D14/J14</f>
        <v>1</v>
      </c>
    </row>
    <row r="15" spans="1:30" ht="94.5">
      <c r="A15" s="782" t="s">
        <v>402</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81" t="s">
        <v>403</v>
      </c>
      <c r="Q15" s="1321" t="str">
        <f t="shared" si="6"/>
        <v>居住社区成熟度</v>
      </c>
      <c r="R15" s="1322" t="s">
        <v>64</v>
      </c>
      <c r="S15" s="1323">
        <f t="shared" si="0"/>
        <v>100</v>
      </c>
      <c r="T15" s="1322" t="s">
        <v>64</v>
      </c>
      <c r="U15" s="1323">
        <f t="shared" si="1"/>
        <v>100</v>
      </c>
      <c r="V15" s="1322" t="s">
        <v>64</v>
      </c>
      <c r="W15" s="1323">
        <f t="shared" si="2"/>
        <v>100</v>
      </c>
      <c r="X15" s="1316"/>
      <c r="Y15" s="3681" t="s">
        <v>403</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82"/>
      <c r="Q16" s="1321"/>
      <c r="R16" s="1322"/>
      <c r="S16" s="1323"/>
      <c r="T16" s="1322"/>
      <c r="U16" s="1323"/>
      <c r="V16" s="1322"/>
      <c r="W16" s="1323"/>
      <c r="X16" s="1316"/>
      <c r="Y16" s="3682"/>
      <c r="Z16" s="1324"/>
      <c r="AA16" s="1325">
        <v>1</v>
      </c>
      <c r="AB16" s="1325">
        <v>1</v>
      </c>
      <c r="AC16" s="1325">
        <v>1</v>
      </c>
    </row>
    <row r="17" spans="1:29" ht="81">
      <c r="A17" s="770"/>
      <c r="B17" s="793" t="s">
        <v>432</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82"/>
      <c r="Q17" s="1321" t="str">
        <f>B17</f>
        <v>商业繁华度</v>
      </c>
      <c r="R17" s="1322" t="s">
        <v>64</v>
      </c>
      <c r="S17" s="1323">
        <f>F17</f>
        <v>100</v>
      </c>
      <c r="T17" s="1322" t="s">
        <v>64</v>
      </c>
      <c r="U17" s="1323">
        <f>H17</f>
        <v>100</v>
      </c>
      <c r="V17" s="1322" t="s">
        <v>64</v>
      </c>
      <c r="W17" s="1323">
        <f>J17</f>
        <v>100</v>
      </c>
      <c r="X17" s="1316"/>
      <c r="Y17" s="3682"/>
      <c r="Z17" s="1324" t="str">
        <f>Q17</f>
        <v>商业繁华度</v>
      </c>
      <c r="AA17" s="1325">
        <f t="shared" si="3"/>
        <v>1</v>
      </c>
      <c r="AB17" s="1325">
        <f t="shared" si="4"/>
        <v>1</v>
      </c>
      <c r="AC17" s="1325">
        <f t="shared" si="5"/>
        <v>1</v>
      </c>
    </row>
    <row r="18" spans="1:29" ht="15">
      <c r="A18" s="770"/>
      <c r="B18" s="798"/>
      <c r="C18" s="102" t="s">
        <v>3189</v>
      </c>
      <c r="D18" s="792"/>
      <c r="E18" s="103" t="s">
        <v>3189</v>
      </c>
      <c r="F18" s="792"/>
      <c r="G18" s="103" t="s">
        <v>3189</v>
      </c>
      <c r="H18" s="790"/>
      <c r="I18" s="104" t="s">
        <v>3189</v>
      </c>
      <c r="J18" s="790"/>
      <c r="K18" s="1079"/>
      <c r="L18" s="2349"/>
      <c r="M18" s="2340"/>
      <c r="N18" s="2340"/>
      <c r="O18" s="2348"/>
      <c r="P18" s="3682"/>
      <c r="Q18" s="1321"/>
      <c r="R18" s="1322"/>
      <c r="S18" s="1323"/>
      <c r="T18" s="1322"/>
      <c r="U18" s="1323"/>
      <c r="V18" s="1322"/>
      <c r="W18" s="1323"/>
      <c r="X18" s="1316"/>
      <c r="Y18" s="3682"/>
      <c r="Z18" s="1324"/>
      <c r="AA18" s="1325">
        <v>1</v>
      </c>
      <c r="AB18" s="1325">
        <v>1</v>
      </c>
      <c r="AC18" s="1325">
        <v>1</v>
      </c>
    </row>
    <row r="19" spans="1:29" ht="81">
      <c r="A19" s="770"/>
      <c r="B19" s="793" t="s">
        <v>437</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82"/>
      <c r="Q19" s="1321" t="str">
        <f>B19</f>
        <v>办公集聚程度</v>
      </c>
      <c r="R19" s="1322" t="s">
        <v>64</v>
      </c>
      <c r="S19" s="1323">
        <f>F19</f>
        <v>100</v>
      </c>
      <c r="T19" s="1322" t="s">
        <v>64</v>
      </c>
      <c r="U19" s="1323">
        <f>H19</f>
        <v>100</v>
      </c>
      <c r="V19" s="1322" t="s">
        <v>64</v>
      </c>
      <c r="W19" s="1323">
        <f>J19</f>
        <v>100</v>
      </c>
      <c r="X19" s="1316"/>
      <c r="Y19" s="3682"/>
      <c r="Z19" s="1324" t="str">
        <f>Q19</f>
        <v>办公集聚程度</v>
      </c>
      <c r="AA19" s="1325">
        <f t="shared" si="3"/>
        <v>1</v>
      </c>
      <c r="AB19" s="1325">
        <f t="shared" si="4"/>
        <v>1</v>
      </c>
      <c r="AC19" s="1325">
        <f t="shared" si="5"/>
        <v>1</v>
      </c>
    </row>
    <row r="20" spans="1:29" ht="15">
      <c r="A20" s="770"/>
      <c r="B20" s="798"/>
      <c r="C20" s="97" t="s">
        <v>3189</v>
      </c>
      <c r="D20" s="790"/>
      <c r="E20" s="98" t="s">
        <v>3189</v>
      </c>
      <c r="F20" s="790"/>
      <c r="G20" s="98" t="s">
        <v>3189</v>
      </c>
      <c r="H20" s="790"/>
      <c r="I20" s="99" t="s">
        <v>3189</v>
      </c>
      <c r="J20" s="790"/>
      <c r="K20" s="1079"/>
      <c r="L20" s="2349"/>
      <c r="M20" s="2340"/>
      <c r="N20" s="2340"/>
      <c r="O20" s="2348"/>
      <c r="P20" s="3682"/>
      <c r="Q20" s="1321"/>
      <c r="R20" s="1322"/>
      <c r="S20" s="1323"/>
      <c r="T20" s="1322"/>
      <c r="U20" s="1323"/>
      <c r="V20" s="1322"/>
      <c r="W20" s="1323"/>
      <c r="X20" s="1316"/>
      <c r="Y20" s="3682"/>
      <c r="Z20" s="1324"/>
      <c r="AA20" s="1325">
        <v>1</v>
      </c>
      <c r="AB20" s="1325">
        <v>1</v>
      </c>
      <c r="AC20" s="1325">
        <v>1</v>
      </c>
    </row>
    <row r="21" spans="1:29" ht="94.5">
      <c r="A21" s="770"/>
      <c r="B21" s="793" t="s">
        <v>452</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82"/>
      <c r="Q21" s="1321" t="str">
        <f>B21</f>
        <v>交通便捷度</v>
      </c>
      <c r="R21" s="1322" t="s">
        <v>64</v>
      </c>
      <c r="S21" s="1323">
        <f>F21</f>
        <v>100</v>
      </c>
      <c r="T21" s="1322" t="s">
        <v>64</v>
      </c>
      <c r="U21" s="1323">
        <f>H21</f>
        <v>100</v>
      </c>
      <c r="V21" s="1322" t="s">
        <v>64</v>
      </c>
      <c r="W21" s="1323">
        <f>J21</f>
        <v>100</v>
      </c>
      <c r="X21" s="1316"/>
      <c r="Y21" s="3682"/>
      <c r="Z21" s="1324" t="str">
        <f>Q21</f>
        <v>交通便捷度</v>
      </c>
      <c r="AA21" s="1325">
        <f t="shared" si="3"/>
        <v>1</v>
      </c>
      <c r="AB21" s="1325">
        <f t="shared" si="4"/>
        <v>1</v>
      </c>
      <c r="AC21" s="1325">
        <f t="shared" si="5"/>
        <v>1</v>
      </c>
    </row>
    <row r="22" spans="1:29" ht="15">
      <c r="A22" s="770"/>
      <c r="B22" s="2760"/>
      <c r="C22" s="97" t="s">
        <v>3190</v>
      </c>
      <c r="D22" s="792"/>
      <c r="E22" s="98" t="s">
        <v>3190</v>
      </c>
      <c r="F22" s="790"/>
      <c r="G22" s="98" t="s">
        <v>3190</v>
      </c>
      <c r="H22" s="790"/>
      <c r="I22" s="99" t="s">
        <v>3190</v>
      </c>
      <c r="J22" s="790"/>
      <c r="K22" s="1079"/>
      <c r="L22" s="2349"/>
      <c r="M22" s="2340"/>
      <c r="N22" s="2340"/>
      <c r="O22" s="2348"/>
      <c r="P22" s="3682"/>
      <c r="Q22" s="1321"/>
      <c r="R22" s="1322"/>
      <c r="S22" s="1323"/>
      <c r="T22" s="1322"/>
      <c r="U22" s="1323"/>
      <c r="V22" s="1322"/>
      <c r="W22" s="1323"/>
      <c r="X22" s="1316"/>
      <c r="Y22" s="3682"/>
      <c r="Z22" s="1324"/>
      <c r="AA22" s="1325">
        <v>1</v>
      </c>
      <c r="AB22" s="1325">
        <v>1</v>
      </c>
      <c r="AC22" s="1325">
        <v>1</v>
      </c>
    </row>
    <row r="23" spans="1:29" ht="27">
      <c r="A23" s="746"/>
      <c r="B23" s="793" t="s">
        <v>479</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82"/>
      <c r="Q23" s="1321" t="str">
        <f t="shared" ref="Q23:Q37" si="8">B23</f>
        <v>区域土地利用方向</v>
      </c>
      <c r="R23" s="1322" t="s">
        <v>64</v>
      </c>
      <c r="S23" s="1323">
        <f>F23</f>
        <v>100</v>
      </c>
      <c r="T23" s="1322" t="s">
        <v>64</v>
      </c>
      <c r="U23" s="1323">
        <f>H23</f>
        <v>100</v>
      </c>
      <c r="V23" s="1322" t="s">
        <v>64</v>
      </c>
      <c r="W23" s="1323">
        <f>J23</f>
        <v>100</v>
      </c>
      <c r="X23" s="1316"/>
      <c r="Y23" s="3682"/>
      <c r="Z23" s="1324" t="str">
        <f>Q23</f>
        <v>区域土地利用方向</v>
      </c>
      <c r="AA23" s="1325">
        <f t="shared" si="3"/>
        <v>1</v>
      </c>
      <c r="AB23" s="1325">
        <f t="shared" si="4"/>
        <v>1</v>
      </c>
      <c r="AC23" s="1325">
        <f t="shared" si="5"/>
        <v>1</v>
      </c>
    </row>
    <row r="24" spans="1:29" ht="15">
      <c r="A24" s="746"/>
      <c r="B24" s="798"/>
      <c r="C24" s="182" t="s">
        <v>3190</v>
      </c>
      <c r="D24" s="790"/>
      <c r="E24" s="98" t="s">
        <v>3190</v>
      </c>
      <c r="F24" s="790"/>
      <c r="G24" s="99" t="s">
        <v>3190</v>
      </c>
      <c r="H24" s="790"/>
      <c r="I24" s="99" t="s">
        <v>3190</v>
      </c>
      <c r="J24" s="790"/>
      <c r="K24" s="1478"/>
      <c r="L24" s="2349"/>
      <c r="M24" s="2340"/>
      <c r="N24" s="2340"/>
      <c r="O24" s="2348"/>
      <c r="P24" s="3682"/>
      <c r="Q24" s="1468"/>
      <c r="R24" s="1322"/>
      <c r="S24" s="1323"/>
      <c r="T24" s="1322"/>
      <c r="U24" s="1323"/>
      <c r="V24" s="1322"/>
      <c r="W24" s="1323"/>
      <c r="X24" s="1467"/>
      <c r="Y24" s="3682"/>
      <c r="Z24" s="1469"/>
      <c r="AA24" s="1325"/>
      <c r="AB24" s="1325"/>
      <c r="AC24" s="1325"/>
    </row>
    <row r="25" spans="1:29" ht="54">
      <c r="A25" s="746"/>
      <c r="B25" s="2760" t="s">
        <v>480</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82"/>
      <c r="Q25" s="1321" t="str">
        <f t="shared" si="8"/>
        <v>自然及人文环境状况</v>
      </c>
      <c r="R25" s="1322" t="s">
        <v>64</v>
      </c>
      <c r="S25" s="1323">
        <f>F25</f>
        <v>100</v>
      </c>
      <c r="T25" s="1322" t="s">
        <v>64</v>
      </c>
      <c r="U25" s="1323">
        <f>H25</f>
        <v>100</v>
      </c>
      <c r="V25" s="1322" t="s">
        <v>64</v>
      </c>
      <c r="W25" s="1323">
        <f>J25</f>
        <v>100</v>
      </c>
      <c r="X25" s="1316"/>
      <c r="Y25" s="3682"/>
      <c r="Z25" s="1324" t="str">
        <f>Q25</f>
        <v>自然及人文环境状况</v>
      </c>
      <c r="AA25" s="1325">
        <f t="shared" si="3"/>
        <v>1</v>
      </c>
      <c r="AB25" s="1325">
        <f t="shared" si="4"/>
        <v>1</v>
      </c>
      <c r="AC25" s="1325">
        <f t="shared" si="5"/>
        <v>1</v>
      </c>
    </row>
    <row r="26" spans="1:29" ht="15">
      <c r="A26" s="746"/>
      <c r="B26" s="798"/>
      <c r="C26" s="97" t="s">
        <v>3190</v>
      </c>
      <c r="D26" s="790"/>
      <c r="E26" s="192" t="s">
        <v>3190</v>
      </c>
      <c r="F26" s="790"/>
      <c r="G26" s="192" t="s">
        <v>3190</v>
      </c>
      <c r="H26" s="790"/>
      <c r="I26" s="192" t="s">
        <v>3190</v>
      </c>
      <c r="J26" s="790"/>
      <c r="K26" s="1079"/>
      <c r="L26" s="2349"/>
      <c r="M26" s="2340"/>
      <c r="N26" s="2340"/>
      <c r="O26" s="2348"/>
      <c r="P26" s="3682"/>
      <c r="Q26" s="1321"/>
      <c r="R26" s="1322"/>
      <c r="S26" s="1323"/>
      <c r="T26" s="1322"/>
      <c r="U26" s="1323"/>
      <c r="V26" s="1322"/>
      <c r="W26" s="1323"/>
      <c r="X26" s="1316"/>
      <c r="Y26" s="3682"/>
      <c r="Z26" s="1324"/>
      <c r="AA26" s="1325">
        <v>1</v>
      </c>
      <c r="AB26" s="1325">
        <v>1</v>
      </c>
      <c r="AC26" s="1325">
        <v>1</v>
      </c>
    </row>
    <row r="27" spans="1:29" s="406" customFormat="1" ht="40.5">
      <c r="A27" s="990"/>
      <c r="B27" s="1410" t="s">
        <v>2668</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82"/>
      <c r="Q27" s="296" t="str">
        <f t="shared" si="8"/>
        <v>公共配套设施</v>
      </c>
      <c r="R27" s="1317" t="s">
        <v>64</v>
      </c>
      <c r="S27" s="1318">
        <f>F27</f>
        <v>100</v>
      </c>
      <c r="T27" s="1317" t="s">
        <v>64</v>
      </c>
      <c r="U27" s="1318">
        <f>H27</f>
        <v>100</v>
      </c>
      <c r="V27" s="1317" t="s">
        <v>64</v>
      </c>
      <c r="W27" s="1318">
        <f>J27</f>
        <v>100</v>
      </c>
      <c r="X27" s="1319"/>
      <c r="Y27" s="3682"/>
      <c r="Z27" s="344" t="str">
        <f>Q27</f>
        <v>公共配套设施</v>
      </c>
      <c r="AA27" s="1325">
        <f>D27/F27</f>
        <v>1</v>
      </c>
      <c r="AB27" s="1325">
        <f>D27/H27</f>
        <v>1</v>
      </c>
      <c r="AC27" s="1325">
        <f>D27/J27</f>
        <v>1</v>
      </c>
    </row>
    <row r="28" spans="1:29" s="406" customFormat="1" ht="15">
      <c r="A28" s="990"/>
      <c r="B28" s="798"/>
      <c r="C28" s="2766" t="s">
        <v>3190</v>
      </c>
      <c r="D28" s="790"/>
      <c r="E28" s="192" t="s">
        <v>3190</v>
      </c>
      <c r="F28" s="790"/>
      <c r="G28" s="192" t="s">
        <v>3190</v>
      </c>
      <c r="H28" s="790"/>
      <c r="I28" s="192" t="s">
        <v>3190</v>
      </c>
      <c r="J28" s="790"/>
      <c r="K28" s="1079"/>
      <c r="L28" s="2341"/>
      <c r="M28" s="2342"/>
      <c r="N28" s="2342"/>
      <c r="O28" s="2343"/>
      <c r="P28" s="3682"/>
      <c r="Q28" s="296"/>
      <c r="R28" s="1317"/>
      <c r="S28" s="1318"/>
      <c r="T28" s="1317"/>
      <c r="U28" s="1318"/>
      <c r="V28" s="1317"/>
      <c r="W28" s="1318"/>
      <c r="X28" s="1319"/>
      <c r="Y28" s="3682"/>
      <c r="Z28" s="344"/>
      <c r="AA28" s="1325">
        <v>1</v>
      </c>
      <c r="AB28" s="1325">
        <v>1</v>
      </c>
      <c r="AC28" s="1325">
        <v>1</v>
      </c>
    </row>
    <row r="29" spans="1:29" s="406" customFormat="1" ht="40.5">
      <c r="A29" s="990"/>
      <c r="B29" s="1410" t="s">
        <v>2669</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82"/>
      <c r="Q29" s="2735" t="str">
        <f t="shared" ref="Q29" si="9">B29</f>
        <v>基础设施水平</v>
      </c>
      <c r="R29" s="1317" t="s">
        <v>64</v>
      </c>
      <c r="S29" s="1318">
        <f>F29</f>
        <v>100</v>
      </c>
      <c r="T29" s="1317" t="s">
        <v>64</v>
      </c>
      <c r="U29" s="1318">
        <f>H29</f>
        <v>100</v>
      </c>
      <c r="V29" s="1317" t="s">
        <v>64</v>
      </c>
      <c r="W29" s="1318">
        <f>J29</f>
        <v>100</v>
      </c>
      <c r="X29" s="1319"/>
      <c r="Y29" s="3682"/>
      <c r="Z29" s="344" t="str">
        <f>Q29</f>
        <v>基础设施水平</v>
      </c>
      <c r="AA29" s="1325">
        <f>D29/F29</f>
        <v>1</v>
      </c>
      <c r="AB29" s="1325">
        <f>D29/H29</f>
        <v>1</v>
      </c>
      <c r="AC29" s="1325">
        <f>D29/J29</f>
        <v>1</v>
      </c>
    </row>
    <row r="30" spans="1:29" s="406" customFormat="1" ht="15">
      <c r="A30" s="990"/>
      <c r="B30" s="798"/>
      <c r="C30" s="2766" t="s">
        <v>3191</v>
      </c>
      <c r="D30" s="790"/>
      <c r="E30" s="1035" t="s">
        <v>3191</v>
      </c>
      <c r="F30" s="790"/>
      <c r="G30" s="1035" t="s">
        <v>3191</v>
      </c>
      <c r="H30" s="790"/>
      <c r="I30" s="1035" t="s">
        <v>3191</v>
      </c>
      <c r="J30" s="790"/>
      <c r="K30" s="1079"/>
      <c r="L30" s="2341"/>
      <c r="M30" s="2342"/>
      <c r="N30" s="2342"/>
      <c r="O30" s="2343"/>
      <c r="P30" s="3682"/>
      <c r="Q30" s="2735"/>
      <c r="R30" s="1317"/>
      <c r="S30" s="1318"/>
      <c r="T30" s="1317"/>
      <c r="U30" s="1318"/>
      <c r="V30" s="1317"/>
      <c r="W30" s="1318"/>
      <c r="X30" s="1319"/>
      <c r="Y30" s="3682"/>
      <c r="Z30" s="344"/>
      <c r="AA30" s="1325">
        <v>1</v>
      </c>
      <c r="AB30" s="1325">
        <v>1</v>
      </c>
      <c r="AC30" s="1325">
        <v>1</v>
      </c>
    </row>
    <row r="31" spans="1:29" ht="15">
      <c r="A31" s="770"/>
      <c r="B31" s="798" t="s">
        <v>433</v>
      </c>
      <c r="C31" s="182" t="s">
        <v>3192</v>
      </c>
      <c r="D31" s="777">
        <v>100</v>
      </c>
      <c r="E31" s="195" t="s">
        <v>3192</v>
      </c>
      <c r="F31" s="777">
        <f>SUMIF(104:104,E31,105:105)-SUMIF(104:104,C31,105:105)+100</f>
        <v>100</v>
      </c>
      <c r="G31" s="195" t="s">
        <v>3192</v>
      </c>
      <c r="H31" s="777">
        <f>SUMIF(104:104,G31,105:105)-SUMIF(104:104,C31,105:105)+100</f>
        <v>100</v>
      </c>
      <c r="I31" s="195" t="s">
        <v>3192</v>
      </c>
      <c r="J31" s="777">
        <f>SUMIF(104:104,I31,105:105)-SUMIF(104:104,C31,105:105)+100</f>
        <v>100</v>
      </c>
      <c r="K31" s="1080">
        <v>2</v>
      </c>
      <c r="L31" s="2349"/>
      <c r="M31" s="2340"/>
      <c r="N31" s="2340"/>
      <c r="O31" s="2348"/>
      <c r="P31" s="3682"/>
      <c r="Q31" s="1321" t="str">
        <f t="shared" si="8"/>
        <v>临街状况</v>
      </c>
      <c r="R31" s="1322" t="s">
        <v>64</v>
      </c>
      <c r="S31" s="1323">
        <f t="shared" ref="S31:S45" si="10">F31</f>
        <v>100</v>
      </c>
      <c r="T31" s="1322" t="s">
        <v>64</v>
      </c>
      <c r="U31" s="1323">
        <f t="shared" ref="U31:U45" si="11">H31</f>
        <v>100</v>
      </c>
      <c r="V31" s="1322" t="s">
        <v>64</v>
      </c>
      <c r="W31" s="1323">
        <f t="shared" ref="W31:W45" si="12">J31</f>
        <v>100</v>
      </c>
      <c r="X31" s="1316"/>
      <c r="Y31" s="3682"/>
      <c r="Z31" s="1324" t="str">
        <f t="shared" ref="Z31:Z45" si="13">Q31</f>
        <v>临街状况</v>
      </c>
      <c r="AA31" s="1325">
        <f t="shared" si="3"/>
        <v>1</v>
      </c>
      <c r="AB31" s="1325">
        <f t="shared" si="4"/>
        <v>1</v>
      </c>
      <c r="AC31" s="1325">
        <f t="shared" si="5"/>
        <v>1</v>
      </c>
    </row>
    <row r="32" spans="1:29" ht="27.75">
      <c r="A32" s="770"/>
      <c r="B32" s="2760" t="s">
        <v>438</v>
      </c>
      <c r="C32" s="794" t="s">
        <v>3198</v>
      </c>
      <c r="D32" s="792">
        <v>100</v>
      </c>
      <c r="E32" s="794" t="s">
        <v>3200</v>
      </c>
      <c r="F32" s="792">
        <f>SUMIF(106:106,E33,107:107)-SUMIF(106:106,C33,107:107)+100</f>
        <v>100</v>
      </c>
      <c r="G32" s="794" t="s">
        <v>3200</v>
      </c>
      <c r="H32" s="792">
        <f>SUMIF(106:106,G33,107:107)-SUMIF(106:106,C33,107:107)+100</f>
        <v>100</v>
      </c>
      <c r="I32" s="794" t="s">
        <v>3200</v>
      </c>
      <c r="J32" s="792">
        <f>SUMIF(106:106,I33,107:107)-SUMIF(106:106,C33,107:107)+100</f>
        <v>100</v>
      </c>
      <c r="K32" s="1080">
        <v>1</v>
      </c>
      <c r="L32" s="2349"/>
      <c r="M32" s="2340"/>
      <c r="N32" s="2340"/>
      <c r="O32" s="2348"/>
      <c r="P32" s="3682"/>
      <c r="Q32" s="1321" t="str">
        <f t="shared" si="8"/>
        <v>毗邻道路的类型与等级</v>
      </c>
      <c r="R32" s="1322" t="s">
        <v>64</v>
      </c>
      <c r="S32" s="1323">
        <f t="shared" si="10"/>
        <v>100</v>
      </c>
      <c r="T32" s="1322" t="s">
        <v>64</v>
      </c>
      <c r="U32" s="1323">
        <f t="shared" si="11"/>
        <v>100</v>
      </c>
      <c r="V32" s="1322" t="s">
        <v>64</v>
      </c>
      <c r="W32" s="1323">
        <f t="shared" si="12"/>
        <v>100</v>
      </c>
      <c r="X32" s="1316"/>
      <c r="Y32" s="3682"/>
      <c r="Z32" s="1324" t="str">
        <f t="shared" si="13"/>
        <v>毗邻道路的类型与等级</v>
      </c>
      <c r="AA32" s="1325">
        <f t="shared" si="3"/>
        <v>1</v>
      </c>
      <c r="AB32" s="1325">
        <f t="shared" si="4"/>
        <v>1</v>
      </c>
      <c r="AC32" s="1325">
        <f t="shared" si="5"/>
        <v>1</v>
      </c>
    </row>
    <row r="33" spans="1:29" ht="15">
      <c r="A33" s="770"/>
      <c r="B33" s="798"/>
      <c r="C33" s="3359" t="s">
        <v>3199</v>
      </c>
      <c r="D33" s="790"/>
      <c r="E33" s="3359" t="s">
        <v>3199</v>
      </c>
      <c r="F33" s="790"/>
      <c r="G33" s="3359" t="s">
        <v>3199</v>
      </c>
      <c r="H33" s="790"/>
      <c r="I33" s="3359" t="s">
        <v>3199</v>
      </c>
      <c r="J33" s="790"/>
      <c r="K33" s="954"/>
      <c r="L33" s="2349"/>
      <c r="M33" s="2340"/>
      <c r="N33" s="2340"/>
      <c r="O33" s="2348"/>
      <c r="P33" s="3682"/>
      <c r="Q33" s="1321"/>
      <c r="R33" s="1322"/>
      <c r="S33" s="1323"/>
      <c r="T33" s="1322"/>
      <c r="U33" s="1323"/>
      <c r="V33" s="1322"/>
      <c r="W33" s="1323"/>
      <c r="X33" s="1316"/>
      <c r="Y33" s="3682"/>
      <c r="Z33" s="1324"/>
      <c r="AA33" s="1325">
        <v>1</v>
      </c>
      <c r="AB33" s="1325">
        <v>1</v>
      </c>
      <c r="AC33" s="1325">
        <v>1</v>
      </c>
    </row>
    <row r="34" spans="1:29" ht="15">
      <c r="A34" s="770"/>
      <c r="B34" s="764" t="s">
        <v>481</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82"/>
      <c r="Q34" s="1321" t="str">
        <f t="shared" si="8"/>
        <v>土地级别</v>
      </c>
      <c r="R34" s="1322" t="s">
        <v>64</v>
      </c>
      <c r="S34" s="1323">
        <f t="shared" si="10"/>
        <v>100</v>
      </c>
      <c r="T34" s="1322" t="s">
        <v>64</v>
      </c>
      <c r="U34" s="1323">
        <f t="shared" si="11"/>
        <v>100</v>
      </c>
      <c r="V34" s="1322" t="s">
        <v>64</v>
      </c>
      <c r="W34" s="1323">
        <f t="shared" si="12"/>
        <v>100</v>
      </c>
      <c r="X34" s="1316"/>
      <c r="Y34" s="3682"/>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82"/>
      <c r="Q35" s="1321">
        <f t="shared" si="8"/>
        <v>111</v>
      </c>
      <c r="R35" s="1322" t="s">
        <v>64</v>
      </c>
      <c r="S35" s="1323">
        <f t="shared" si="10"/>
        <v>100</v>
      </c>
      <c r="T35" s="1322" t="s">
        <v>64</v>
      </c>
      <c r="U35" s="1323">
        <f t="shared" si="11"/>
        <v>100</v>
      </c>
      <c r="V35" s="1322" t="s">
        <v>64</v>
      </c>
      <c r="W35" s="1323">
        <f t="shared" si="12"/>
        <v>100</v>
      </c>
      <c r="X35" s="1316"/>
      <c r="Y35" s="3682"/>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83" t="s">
        <v>405</v>
      </c>
      <c r="Q36" s="1321">
        <f t="shared" si="8"/>
        <v>111</v>
      </c>
      <c r="R36" s="1322" t="s">
        <v>64</v>
      </c>
      <c r="S36" s="1323">
        <f t="shared" si="10"/>
        <v>100</v>
      </c>
      <c r="T36" s="1322" t="s">
        <v>64</v>
      </c>
      <c r="U36" s="1323">
        <f t="shared" si="11"/>
        <v>100</v>
      </c>
      <c r="V36" s="1322" t="s">
        <v>64</v>
      </c>
      <c r="W36" s="1323">
        <f t="shared" si="12"/>
        <v>100</v>
      </c>
      <c r="X36" s="1316"/>
      <c r="Y36" s="3684" t="s">
        <v>405</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84"/>
      <c r="Q37" s="1321">
        <f t="shared" si="8"/>
        <v>111</v>
      </c>
      <c r="R37" s="1327" t="s">
        <v>64</v>
      </c>
      <c r="S37" s="1328">
        <f t="shared" si="10"/>
        <v>100</v>
      </c>
      <c r="T37" s="1327" t="s">
        <v>64</v>
      </c>
      <c r="U37" s="1328">
        <f t="shared" si="11"/>
        <v>100</v>
      </c>
      <c r="V37" s="1327" t="s">
        <v>64</v>
      </c>
      <c r="W37" s="1328">
        <f t="shared" si="12"/>
        <v>100</v>
      </c>
      <c r="X37" s="1329"/>
      <c r="Y37" s="3684"/>
      <c r="Z37" s="1330">
        <f t="shared" si="13"/>
        <v>111</v>
      </c>
      <c r="AA37" s="1325">
        <f t="shared" si="3"/>
        <v>1</v>
      </c>
      <c r="AB37" s="1325">
        <f t="shared" si="4"/>
        <v>1</v>
      </c>
      <c r="AC37" s="1325">
        <f t="shared" si="5"/>
        <v>1</v>
      </c>
    </row>
    <row r="38" spans="1:29" ht="15">
      <c r="A38" s="813" t="s">
        <v>404</v>
      </c>
      <c r="B38" s="798" t="s">
        <v>482</v>
      </c>
      <c r="C38" s="1086">
        <f>'数据-汇总表'!D3</f>
        <v>15644.81</v>
      </c>
      <c r="D38" s="808">
        <v>100</v>
      </c>
      <c r="E38" s="1086">
        <f>Sheet1!F11</f>
        <v>17815</v>
      </c>
      <c r="F38" s="808">
        <f>LOOKUP(E38,117:117,118:118)-LOOKUP(C38,117:117,118:118)+100</f>
        <v>100</v>
      </c>
      <c r="G38" s="1086">
        <f>Sheet1!F14</f>
        <v>17064</v>
      </c>
      <c r="H38" s="808">
        <f>LOOKUP(G38,117:117,118:118)-LOOKUP(C38,117:117,118:118)+100</f>
        <v>100</v>
      </c>
      <c r="I38" s="871">
        <f>Sheet1!F16</f>
        <v>17086</v>
      </c>
      <c r="J38" s="808">
        <f>LOOKUP(I38,117:117,118:118)-LOOKUP(C38,117:117,118:118)+100</f>
        <v>100</v>
      </c>
      <c r="K38" s="954"/>
      <c r="L38" s="2349"/>
      <c r="M38" s="2340"/>
      <c r="N38" s="2340"/>
      <c r="O38" s="2348"/>
      <c r="P38" s="3684"/>
      <c r="Q38" s="1321" t="str">
        <f>B38</f>
        <v>宗地面积</v>
      </c>
      <c r="R38" s="1322" t="s">
        <v>64</v>
      </c>
      <c r="S38" s="1323">
        <f t="shared" si="10"/>
        <v>100</v>
      </c>
      <c r="T38" s="1322" t="s">
        <v>64</v>
      </c>
      <c r="U38" s="1323">
        <f t="shared" si="11"/>
        <v>100</v>
      </c>
      <c r="V38" s="1322" t="s">
        <v>64</v>
      </c>
      <c r="W38" s="1323">
        <f t="shared" si="12"/>
        <v>100</v>
      </c>
      <c r="X38" s="1316"/>
      <c r="Y38" s="3684"/>
      <c r="Z38" s="1324" t="str">
        <f t="shared" si="13"/>
        <v>宗地面积</v>
      </c>
      <c r="AA38" s="1325">
        <f t="shared" si="3"/>
        <v>1</v>
      </c>
      <c r="AB38" s="1325">
        <f t="shared" si="4"/>
        <v>1</v>
      </c>
      <c r="AC38" s="1325">
        <f t="shared" si="5"/>
        <v>1</v>
      </c>
    </row>
    <row r="39" spans="1:29" ht="15">
      <c r="A39" s="813"/>
      <c r="B39" s="764" t="s">
        <v>483</v>
      </c>
      <c r="C39" s="109" t="s">
        <v>3205</v>
      </c>
      <c r="D39" s="777">
        <v>100</v>
      </c>
      <c r="E39" s="109" t="s">
        <v>3205</v>
      </c>
      <c r="F39" s="777">
        <f>SUMIF(119:119,E39,120:120)-SUMIF(119:119,C39,120:120)+100</f>
        <v>100</v>
      </c>
      <c r="G39" s="109" t="s">
        <v>3205</v>
      </c>
      <c r="H39" s="777">
        <f>SUMIF(119:119,G39,120:120)-SUMIF(119:119,C39,120:120)+100</f>
        <v>100</v>
      </c>
      <c r="I39" s="109" t="s">
        <v>3205</v>
      </c>
      <c r="J39" s="777">
        <f>SUMIF(119:119,I39,120:120)-SUMIF(119:119,C39,120:120)+100</f>
        <v>100</v>
      </c>
      <c r="K39" s="953">
        <v>3</v>
      </c>
      <c r="L39" s="2349"/>
      <c r="M39" s="2340"/>
      <c r="N39" s="2340"/>
      <c r="O39" s="2348"/>
      <c r="P39" s="3684"/>
      <c r="Q39" s="1321" t="str">
        <f t="shared" ref="Q39:Q45" si="14">B39</f>
        <v>宗地形状</v>
      </c>
      <c r="R39" s="1322" t="s">
        <v>64</v>
      </c>
      <c r="S39" s="1323">
        <f t="shared" si="10"/>
        <v>100</v>
      </c>
      <c r="T39" s="1322" t="s">
        <v>64</v>
      </c>
      <c r="U39" s="1323">
        <f t="shared" si="11"/>
        <v>100</v>
      </c>
      <c r="V39" s="1322" t="s">
        <v>64</v>
      </c>
      <c r="W39" s="1323">
        <f t="shared" si="12"/>
        <v>100</v>
      </c>
      <c r="X39" s="1316"/>
      <c r="Y39" s="3684"/>
      <c r="Z39" s="1324" t="str">
        <f t="shared" si="13"/>
        <v>宗地形状</v>
      </c>
      <c r="AA39" s="1325">
        <f t="shared" si="3"/>
        <v>1</v>
      </c>
      <c r="AB39" s="1325">
        <f t="shared" si="4"/>
        <v>1</v>
      </c>
      <c r="AC39" s="1325">
        <f t="shared" si="5"/>
        <v>1</v>
      </c>
    </row>
    <row r="40" spans="1:29" ht="15">
      <c r="A40" s="813"/>
      <c r="B40" s="764" t="s">
        <v>484</v>
      </c>
      <c r="C40" s="109" t="s">
        <v>3219</v>
      </c>
      <c r="D40" s="777">
        <v>100</v>
      </c>
      <c r="E40" s="109" t="s">
        <v>3219</v>
      </c>
      <c r="F40" s="777">
        <f>SUMIF(121:121,E40,122:122)-SUMIF(121:121,C40,122:122)+100</f>
        <v>100</v>
      </c>
      <c r="G40" s="109" t="s">
        <v>3219</v>
      </c>
      <c r="H40" s="777">
        <f>SUMIF(121:121,G40,122:122)-SUMIF(121:121,C40,122:122)+100</f>
        <v>100</v>
      </c>
      <c r="I40" s="109" t="s">
        <v>3219</v>
      </c>
      <c r="J40" s="777">
        <f>SUMIF(121:121,I40,122:122)-SUMIF(121:121,C40,122:122)+100</f>
        <v>100</v>
      </c>
      <c r="K40" s="953">
        <v>2</v>
      </c>
      <c r="L40" s="2349"/>
      <c r="M40" s="2340"/>
      <c r="N40" s="2340"/>
      <c r="O40" s="2348"/>
      <c r="P40" s="3684"/>
      <c r="Q40" s="1321" t="str">
        <f t="shared" si="14"/>
        <v>临街宽度及深度</v>
      </c>
      <c r="R40" s="1322" t="s">
        <v>64</v>
      </c>
      <c r="S40" s="1323">
        <f t="shared" si="10"/>
        <v>100</v>
      </c>
      <c r="T40" s="1322" t="s">
        <v>64</v>
      </c>
      <c r="U40" s="1323">
        <f t="shared" si="11"/>
        <v>100</v>
      </c>
      <c r="V40" s="1322" t="s">
        <v>64</v>
      </c>
      <c r="W40" s="1323">
        <f t="shared" si="12"/>
        <v>100</v>
      </c>
      <c r="X40" s="1316"/>
      <c r="Y40" s="3684"/>
      <c r="Z40" s="1324" t="str">
        <f t="shared" si="13"/>
        <v>临街宽度及深度</v>
      </c>
      <c r="AA40" s="1325">
        <f t="shared" si="3"/>
        <v>1</v>
      </c>
      <c r="AB40" s="1325">
        <f t="shared" si="4"/>
        <v>1</v>
      </c>
      <c r="AC40" s="1325">
        <f t="shared" si="5"/>
        <v>1</v>
      </c>
    </row>
    <row r="41" spans="1:29" s="406" customFormat="1" ht="15">
      <c r="A41" s="814"/>
      <c r="B41" s="2601" t="s">
        <v>2500</v>
      </c>
      <c r="C41" s="1040" t="s">
        <v>3191</v>
      </c>
      <c r="D41" s="425">
        <v>100</v>
      </c>
      <c r="E41" s="1040" t="s">
        <v>3191</v>
      </c>
      <c r="F41" s="777">
        <f>SUMIF(123:123,E41,124:124)-SUMIF(123:123,C41,124:124)+100</f>
        <v>100</v>
      </c>
      <c r="G41" s="1040" t="s">
        <v>3191</v>
      </c>
      <c r="H41" s="777">
        <f>SUMIF(123:123,G41,124:124)-SUMIF(123:123,C41,124:124)+100</f>
        <v>100</v>
      </c>
      <c r="I41" s="1040" t="s">
        <v>3191</v>
      </c>
      <c r="J41" s="777">
        <f>SUMIF(123:123,I41,124:124)-SUMIF(123:123,C41,124:124)+100</f>
        <v>100</v>
      </c>
      <c r="K41" s="953">
        <v>2</v>
      </c>
      <c r="L41" s="2341"/>
      <c r="M41" s="2342"/>
      <c r="N41" s="2342"/>
      <c r="O41" s="2343"/>
      <c r="P41" s="3684"/>
      <c r="Q41" s="1321" t="str">
        <f t="shared" si="14"/>
        <v>宗地开发程度</v>
      </c>
      <c r="R41" s="1317" t="s">
        <v>64</v>
      </c>
      <c r="S41" s="1318">
        <f t="shared" si="10"/>
        <v>100</v>
      </c>
      <c r="T41" s="1317" t="s">
        <v>64</v>
      </c>
      <c r="U41" s="1318">
        <f t="shared" si="11"/>
        <v>100</v>
      </c>
      <c r="V41" s="1317" t="s">
        <v>64</v>
      </c>
      <c r="W41" s="1318">
        <f t="shared" si="12"/>
        <v>100</v>
      </c>
      <c r="X41" s="1319"/>
      <c r="Y41" s="3684"/>
      <c r="Z41" s="344" t="str">
        <f t="shared" si="13"/>
        <v>宗地开发程度</v>
      </c>
      <c r="AA41" s="1320">
        <f t="shared" si="3"/>
        <v>1</v>
      </c>
      <c r="AB41" s="1320">
        <f t="shared" si="4"/>
        <v>1</v>
      </c>
      <c r="AC41" s="1320">
        <f t="shared" si="5"/>
        <v>1</v>
      </c>
    </row>
    <row r="42" spans="1:29" ht="15">
      <c r="A42" s="813"/>
      <c r="B42" s="764" t="s">
        <v>485</v>
      </c>
      <c r="C42" s="109" t="s">
        <v>3190</v>
      </c>
      <c r="D42" s="777">
        <v>100</v>
      </c>
      <c r="E42" s="109" t="s">
        <v>3190</v>
      </c>
      <c r="F42" s="777">
        <f>SUMIF(125:125,E42,126:126)-SUMIF(125:125,C42,126:126)+100</f>
        <v>100</v>
      </c>
      <c r="G42" s="109" t="s">
        <v>3190</v>
      </c>
      <c r="H42" s="777">
        <f>SUMIF(125:125,G42,126:126)-SUMIF(125:125,C42,126:126)+100</f>
        <v>100</v>
      </c>
      <c r="I42" s="109" t="s">
        <v>3190</v>
      </c>
      <c r="J42" s="777">
        <f>SUMIF(125:125,I42,126:126)-SUMIF(125:125,C42,126:126)+100</f>
        <v>100</v>
      </c>
      <c r="K42" s="953">
        <v>2</v>
      </c>
      <c r="L42" s="2349"/>
      <c r="M42" s="2340"/>
      <c r="N42" s="2340"/>
      <c r="O42" s="2348"/>
      <c r="P42" s="3684" t="s">
        <v>405</v>
      </c>
      <c r="Q42" s="1321" t="str">
        <f t="shared" si="14"/>
        <v>工程地质条件</v>
      </c>
      <c r="R42" s="1322" t="s">
        <v>64</v>
      </c>
      <c r="S42" s="1323">
        <f t="shared" si="10"/>
        <v>100</v>
      </c>
      <c r="T42" s="1322" t="s">
        <v>64</v>
      </c>
      <c r="U42" s="1323">
        <f t="shared" si="11"/>
        <v>100</v>
      </c>
      <c r="V42" s="1322" t="s">
        <v>64</v>
      </c>
      <c r="W42" s="1323">
        <f t="shared" si="12"/>
        <v>100</v>
      </c>
      <c r="X42" s="1316"/>
      <c r="Y42" s="3684" t="s">
        <v>405</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84"/>
      <c r="Q43" s="1321">
        <f t="shared" si="14"/>
        <v>111</v>
      </c>
      <c r="R43" s="1322" t="s">
        <v>64</v>
      </c>
      <c r="S43" s="1323">
        <f t="shared" si="10"/>
        <v>100</v>
      </c>
      <c r="T43" s="1322" t="s">
        <v>64</v>
      </c>
      <c r="U43" s="1323">
        <f t="shared" si="11"/>
        <v>100</v>
      </c>
      <c r="V43" s="1322" t="s">
        <v>64</v>
      </c>
      <c r="W43" s="1323">
        <f t="shared" si="12"/>
        <v>100</v>
      </c>
      <c r="X43" s="1316"/>
      <c r="Y43" s="3684"/>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84"/>
      <c r="Q44" s="1321">
        <f t="shared" si="14"/>
        <v>111</v>
      </c>
      <c r="R44" s="1322" t="s">
        <v>64</v>
      </c>
      <c r="S44" s="1323">
        <f t="shared" si="10"/>
        <v>100</v>
      </c>
      <c r="T44" s="1322" t="s">
        <v>64</v>
      </c>
      <c r="U44" s="1323">
        <f t="shared" si="11"/>
        <v>100</v>
      </c>
      <c r="V44" s="1322" t="s">
        <v>64</v>
      </c>
      <c r="W44" s="1323">
        <f t="shared" si="12"/>
        <v>100</v>
      </c>
      <c r="X44" s="1316"/>
      <c r="Y44" s="3684"/>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84"/>
      <c r="Q45" s="1321">
        <f t="shared" si="14"/>
        <v>111</v>
      </c>
      <c r="R45" s="1327" t="s">
        <v>64</v>
      </c>
      <c r="S45" s="1328">
        <f t="shared" si="10"/>
        <v>100</v>
      </c>
      <c r="T45" s="1327" t="s">
        <v>64</v>
      </c>
      <c r="U45" s="1328">
        <f t="shared" si="11"/>
        <v>100</v>
      </c>
      <c r="V45" s="1327" t="s">
        <v>64</v>
      </c>
      <c r="W45" s="1328">
        <f t="shared" si="12"/>
        <v>100</v>
      </c>
      <c r="X45" s="1329"/>
      <c r="Y45" s="3684"/>
      <c r="Z45" s="1330">
        <f t="shared" si="13"/>
        <v>111</v>
      </c>
      <c r="AA45" s="1325">
        <f t="shared" si="3"/>
        <v>1</v>
      </c>
      <c r="AB45" s="1325">
        <f t="shared" si="4"/>
        <v>1</v>
      </c>
      <c r="AC45" s="1325">
        <f t="shared" si="5"/>
        <v>1</v>
      </c>
    </row>
    <row r="46" spans="1:29" ht="15">
      <c r="A46" s="820" t="s">
        <v>486</v>
      </c>
      <c r="B46" s="207" t="s">
        <v>157</v>
      </c>
      <c r="C46" s="1089" t="s">
        <v>23</v>
      </c>
      <c r="D46" s="822"/>
      <c r="E46" s="823">
        <f>ROUND(Sheet1!N11,0)</f>
        <v>13371</v>
      </c>
      <c r="F46" s="824"/>
      <c r="G46" s="825">
        <f>ROUND(Sheet1!N14,0)</f>
        <v>13016</v>
      </c>
      <c r="H46" s="826"/>
      <c r="I46" s="823">
        <f>ROUND(Sheet1!N16,0)</f>
        <v>12600</v>
      </c>
      <c r="J46" s="826"/>
      <c r="K46" s="1398"/>
      <c r="L46" s="2352"/>
      <c r="M46" s="2353"/>
      <c r="N46" s="2340"/>
      <c r="O46" s="2353"/>
      <c r="P46" s="3666" t="str">
        <f>A46</f>
        <v>成交单价</v>
      </c>
      <c r="Q46" s="3666"/>
      <c r="R46" s="3679">
        <f>E46</f>
        <v>13371</v>
      </c>
      <c r="S46" s="3679"/>
      <c r="T46" s="3679">
        <f>G46</f>
        <v>13016</v>
      </c>
      <c r="U46" s="3679"/>
      <c r="V46" s="3679">
        <f>I46</f>
        <v>12600</v>
      </c>
      <c r="W46" s="3679"/>
      <c r="X46" s="1305"/>
      <c r="Y46" s="1331"/>
      <c r="Z46" s="1305"/>
      <c r="AA46" s="1305"/>
      <c r="AB46" s="1305"/>
      <c r="AC46" s="1305"/>
    </row>
    <row r="47" spans="1:29" ht="15.75" thickBot="1">
      <c r="A47" s="827" t="s">
        <v>407</v>
      </c>
      <c r="B47" s="1090"/>
      <c r="C47" s="831">
        <f>R48</f>
        <v>14081</v>
      </c>
      <c r="D47" s="830"/>
      <c r="E47" s="831">
        <f>R47</f>
        <v>14463</v>
      </c>
      <c r="F47" s="832"/>
      <c r="G47" s="829">
        <f>T47</f>
        <v>14079</v>
      </c>
      <c r="H47" s="830"/>
      <c r="I47" s="831">
        <f>V47</f>
        <v>13702</v>
      </c>
      <c r="J47" s="830"/>
      <c r="K47" s="1399"/>
      <c r="L47" s="2352"/>
      <c r="M47" s="2353"/>
      <c r="N47" s="2353"/>
      <c r="O47" s="2353"/>
      <c r="P47" s="3666" t="str">
        <f>A47</f>
        <v>比较价值（元/平方米）</v>
      </c>
      <c r="Q47" s="3666"/>
      <c r="R47" s="3689">
        <f>ROUND(PRODUCT(R46,AA7:AA45),0)</f>
        <v>14463</v>
      </c>
      <c r="S47" s="3689"/>
      <c r="T47" s="3689">
        <f>ROUND(PRODUCT(T46,AB7:AB45),0)</f>
        <v>14079</v>
      </c>
      <c r="U47" s="3689"/>
      <c r="V47" s="3689">
        <f>ROUND(PRODUCT(V46,AC7:AC45),0)</f>
        <v>13702</v>
      </c>
      <c r="W47" s="3689"/>
      <c r="X47" s="1305"/>
      <c r="Y47" s="1305"/>
      <c r="Z47" s="1305"/>
      <c r="AA47" s="1305"/>
      <c r="AB47" s="1305"/>
      <c r="AC47" s="1305"/>
    </row>
    <row r="48" spans="1:29" ht="15.75" thickBot="1">
      <c r="A48" s="115" t="s">
        <v>512</v>
      </c>
      <c r="B48" s="834"/>
      <c r="C48" s="835">
        <f>R48</f>
        <v>14081</v>
      </c>
      <c r="D48" s="835"/>
      <c r="E48" s="835"/>
      <c r="F48" s="835"/>
      <c r="G48" s="835"/>
      <c r="H48" s="835"/>
      <c r="I48" s="835"/>
      <c r="J48" s="835"/>
      <c r="K48" s="1400"/>
      <c r="L48" s="2352"/>
      <c r="M48" s="2353"/>
      <c r="N48" s="2353"/>
      <c r="O48" s="2353"/>
      <c r="P48" s="3686" t="str">
        <f>A48</f>
        <v>估价对象XX用房的比较价值（楼面单价，元/平方米）</v>
      </c>
      <c r="Q48" s="3687"/>
      <c r="R48" s="3690">
        <f>ROUND(AVERAGE(R47:V47),0)</f>
        <v>14081</v>
      </c>
      <c r="S48" s="3690"/>
      <c r="T48" s="3690"/>
      <c r="U48" s="3690"/>
      <c r="V48" s="3690"/>
      <c r="W48" s="3690"/>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408</v>
      </c>
      <c r="D51" s="839"/>
      <c r="E51" s="840">
        <f>IF(E46&lt;E47,E47/E46-1,E46/E47-1)</f>
        <v>8.1669284271931764E-2</v>
      </c>
      <c r="F51" s="841" t="str">
        <f>IF(OR(E51&gt;=0.3,E51&lt;=-0.3),"超过30%","")</f>
        <v/>
      </c>
      <c r="G51" s="840">
        <f>IF(G46&lt;G47,G47/G46-1,G46/G47-1)</f>
        <v>8.1668715427166472E-2</v>
      </c>
      <c r="H51" s="841" t="str">
        <f>IF(OR(G51&gt;=0.3,G51&lt;=-0.3),"超过30%","")</f>
        <v/>
      </c>
      <c r="I51" s="840">
        <f>IF(I46&lt;I47,I47/I46-1,I46/I47-1)</f>
        <v>8.746031746031746E-2</v>
      </c>
      <c r="J51" s="841" t="str">
        <f>IF(OR(I51&gt;=0.3,I51&lt;=-0.3),"超过30%","")</f>
        <v/>
      </c>
      <c r="K51" s="2181"/>
      <c r="L51" s="2182"/>
      <c r="M51" s="2353"/>
      <c r="N51" s="2353"/>
      <c r="O51" s="2353"/>
    </row>
    <row r="52" spans="1:15" ht="13.5" customHeight="1">
      <c r="A52" s="2353"/>
      <c r="B52" s="2353"/>
      <c r="C52" s="838" t="s">
        <v>409</v>
      </c>
      <c r="D52" s="842"/>
      <c r="E52" s="840">
        <f>IF(E47&lt;G47,G47/E47-1,E47/G47-1)</f>
        <v>2.7274664393778014E-2</v>
      </c>
      <c r="F52" s="841" t="str">
        <f>IF(OR(E52&gt;=0.2,E52&lt;=-0.2),"超过20%","")</f>
        <v/>
      </c>
      <c r="G52" s="840">
        <f>IF(G47&lt;I47,I47/G47-1,G47/I47-1)</f>
        <v>2.75142314990513E-2</v>
      </c>
      <c r="H52" s="841" t="str">
        <f>IF(OR(G52&gt;=0.2,G52&lt;=-0.2),"超过20%","")</f>
        <v/>
      </c>
      <c r="I52" s="840">
        <f>IF(I47&lt;E47,E47/I47-1,I47/E47-1)</f>
        <v>5.5539337323018634E-2</v>
      </c>
      <c r="J52" s="841" t="str">
        <f>IF(OR(I52&gt;=0.2,I52&lt;=-0.2),"超过20%","")</f>
        <v/>
      </c>
      <c r="K52" s="2181"/>
      <c r="L52" s="2182"/>
      <c r="M52" s="2353"/>
      <c r="N52" s="2353"/>
      <c r="O52" s="2353"/>
    </row>
    <row r="53" spans="1:15" s="843" customFormat="1" ht="13.5" customHeight="1">
      <c r="A53" s="2354"/>
      <c r="B53" s="2354"/>
      <c r="C53" s="838" t="s">
        <v>410</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487</v>
      </c>
      <c r="B55" s="1092" t="s">
        <v>488</v>
      </c>
      <c r="C55" s="1769" t="s">
        <v>1890</v>
      </c>
      <c r="D55" s="2384" t="s">
        <v>2324</v>
      </c>
      <c r="E55" s="1093" t="s">
        <v>489</v>
      </c>
      <c r="F55" s="2183" t="s">
        <v>490</v>
      </c>
      <c r="G55" s="3691" t="s">
        <v>2317</v>
      </c>
      <c r="H55" s="3692"/>
      <c r="I55" s="2184" t="s">
        <v>1889</v>
      </c>
      <c r="J55" s="2188">
        <f>项目基本情况!F35</f>
        <v>0</v>
      </c>
      <c r="K55" s="2367" t="s">
        <v>1891</v>
      </c>
      <c r="L55" s="2182"/>
      <c r="M55" s="2353"/>
      <c r="N55" s="2353"/>
      <c r="O55" s="2353"/>
    </row>
    <row r="56" spans="1:15" s="1099" customFormat="1">
      <c r="A56" s="1095" t="s">
        <v>491</v>
      </c>
      <c r="B56" s="1096">
        <f>C48</f>
        <v>14081</v>
      </c>
      <c r="C56" s="1097">
        <v>1</v>
      </c>
      <c r="D56" s="2385">
        <v>1</v>
      </c>
      <c r="E56" s="1097">
        <f>'数据-汇总表'!E8+'数据-汇总表'!E9</f>
        <v>54642.68</v>
      </c>
      <c r="F56" s="2179">
        <f t="shared" ref="F56:F65" si="15">ROUND(B56*E56/10000,0)</f>
        <v>76942</v>
      </c>
      <c r="G56" s="3693"/>
      <c r="H56" s="3694"/>
      <c r="I56" s="2185">
        <v>1</v>
      </c>
      <c r="J56" s="2189">
        <v>1</v>
      </c>
      <c r="K56" s="2354"/>
      <c r="L56" s="1766"/>
      <c r="M56" s="1766"/>
      <c r="N56" s="1766"/>
      <c r="O56" s="1766"/>
    </row>
    <row r="57" spans="1:15" s="1099" customFormat="1">
      <c r="A57" s="1100" t="s">
        <v>492</v>
      </c>
      <c r="B57" s="593">
        <f>ROUND($C$48*C57*D57,0)</f>
        <v>2816</v>
      </c>
      <c r="C57" s="531">
        <f t="shared" ref="C57:C65" si="16">IF($C$55="北京市系数",I57,J57)</f>
        <v>0.8</v>
      </c>
      <c r="D57" s="2386">
        <v>0.25</v>
      </c>
      <c r="E57" s="1101">
        <f>'数据-汇总表'!G20</f>
        <v>13156.32</v>
      </c>
      <c r="F57" s="2179">
        <f t="shared" si="15"/>
        <v>3705</v>
      </c>
      <c r="G57" s="3695" t="s">
        <v>2318</v>
      </c>
      <c r="H57" s="2180" t="str">
        <f>项目基本情况!B37</f>
        <v>二级</v>
      </c>
      <c r="I57" s="2185">
        <f>SUMIF(修正!A45:A56,H57,修正!B45:B56)</f>
        <v>0.8</v>
      </c>
      <c r="J57" s="1768"/>
      <c r="K57" s="2353"/>
      <c r="L57" s="1766"/>
      <c r="M57" s="1766"/>
      <c r="N57" s="1766"/>
      <c r="O57" s="1766"/>
    </row>
    <row r="58" spans="1:15" s="1099" customFormat="1">
      <c r="A58" s="1100" t="s">
        <v>493</v>
      </c>
      <c r="B58" s="593">
        <f t="shared" ref="B58:B65" si="17">ROUND($C$48*C58*D58,0)</f>
        <v>1760</v>
      </c>
      <c r="C58" s="531">
        <f t="shared" si="16"/>
        <v>0.5</v>
      </c>
      <c r="D58" s="2386">
        <v>0.25</v>
      </c>
      <c r="E58" s="1101"/>
      <c r="F58" s="2179">
        <f t="shared" si="15"/>
        <v>0</v>
      </c>
      <c r="G58" s="3695"/>
      <c r="H58" s="2180" t="str">
        <f>项目基本情况!B37</f>
        <v>二级</v>
      </c>
      <c r="I58" s="2185">
        <f>SUMIF(修正!A45:A56,H58,修正!C45:C56)</f>
        <v>0.5</v>
      </c>
      <c r="J58" s="1768"/>
      <c r="K58" s="2354"/>
      <c r="L58" s="1766"/>
      <c r="M58" s="1766"/>
      <c r="N58" s="1766"/>
      <c r="O58" s="1766"/>
    </row>
    <row r="59" spans="1:15" s="1099" customFormat="1">
      <c r="A59" s="1100" t="s">
        <v>494</v>
      </c>
      <c r="B59" s="593">
        <f t="shared" si="17"/>
        <v>1267</v>
      </c>
      <c r="C59" s="531">
        <f t="shared" si="16"/>
        <v>0.36</v>
      </c>
      <c r="D59" s="2386">
        <v>0.25</v>
      </c>
      <c r="E59" s="1101"/>
      <c r="F59" s="2179">
        <f t="shared" si="15"/>
        <v>0</v>
      </c>
      <c r="G59" s="3695"/>
      <c r="H59" s="2180" t="str">
        <f>项目基本情况!B37</f>
        <v>二级</v>
      </c>
      <c r="I59" s="2185">
        <f>SUMIF(修正!A45:A56,H59,修正!D45:D56)</f>
        <v>0.36</v>
      </c>
      <c r="J59" s="1768"/>
      <c r="K59" s="2353"/>
      <c r="L59" s="1766"/>
      <c r="M59" s="1766"/>
      <c r="N59" s="1766"/>
      <c r="O59" s="1766"/>
    </row>
    <row r="60" spans="1:15" s="1099" customFormat="1">
      <c r="A60" s="1100" t="s">
        <v>495</v>
      </c>
      <c r="B60" s="593">
        <f t="shared" si="17"/>
        <v>1056</v>
      </c>
      <c r="C60" s="531">
        <f t="shared" si="16"/>
        <v>0.3</v>
      </c>
      <c r="D60" s="2386">
        <v>0.25</v>
      </c>
      <c r="E60" s="1101"/>
      <c r="F60" s="2179">
        <f t="shared" si="15"/>
        <v>0</v>
      </c>
      <c r="G60" s="3695"/>
      <c r="H60" s="2180" t="str">
        <f>项目基本情况!B37</f>
        <v>二级</v>
      </c>
      <c r="I60" s="2185">
        <f>SUMIF(修正!A45:A56,H60,修正!E45:E56)</f>
        <v>0.3</v>
      </c>
      <c r="J60" s="1768"/>
      <c r="K60" s="2354"/>
      <c r="L60" s="1766"/>
      <c r="M60" s="1766"/>
      <c r="N60" s="1766"/>
      <c r="O60" s="1766"/>
    </row>
    <row r="61" spans="1:15" s="1099" customFormat="1">
      <c r="A61" s="2506" t="s">
        <v>2399</v>
      </c>
      <c r="B61" s="593">
        <f t="shared" si="17"/>
        <v>1056</v>
      </c>
      <c r="C61" s="531">
        <f t="shared" si="16"/>
        <v>0.3</v>
      </c>
      <c r="D61" s="2386">
        <v>0.25</v>
      </c>
      <c r="E61" s="592">
        <f>'数据-汇总表'!E11</f>
        <v>0</v>
      </c>
      <c r="F61" s="2179">
        <f t="shared" si="15"/>
        <v>0</v>
      </c>
      <c r="G61" s="2190" t="s">
        <v>2319</v>
      </c>
      <c r="H61" s="2180" t="str">
        <f>项目基本情况!C37</f>
        <v>二级</v>
      </c>
      <c r="I61" s="2185">
        <f>SUMIF(修正!A45:A56,H61,修正!F45:F56)</f>
        <v>0.3</v>
      </c>
      <c r="J61" s="1768"/>
      <c r="K61" s="2353"/>
      <c r="L61" s="1766"/>
      <c r="M61" s="1766"/>
      <c r="N61" s="1766"/>
      <c r="O61" s="1766"/>
    </row>
    <row r="62" spans="1:15" s="1099" customFormat="1">
      <c r="A62" s="1100" t="s">
        <v>496</v>
      </c>
      <c r="B62" s="593">
        <f t="shared" si="17"/>
        <v>1056</v>
      </c>
      <c r="C62" s="531">
        <f t="shared" si="16"/>
        <v>0.3</v>
      </c>
      <c r="D62" s="2386">
        <v>0.25</v>
      </c>
      <c r="E62" s="592">
        <f>'数据-汇总表'!E12</f>
        <v>0</v>
      </c>
      <c r="F62" s="2179">
        <f t="shared" si="15"/>
        <v>0</v>
      </c>
      <c r="G62" s="2186" t="s">
        <v>140</v>
      </c>
      <c r="H62" s="2180" t="str">
        <f>IF(G62="商业",项目基本情况!B37,IF(G62="办公",项目基本情况!C37,IF(G62="住宅",项目基本情况!D37,项目基本情况!E37)))</f>
        <v>二级</v>
      </c>
      <c r="I62" s="2185">
        <f>SUMIF(修正!A45:A56,H62,修正!G45:G56)</f>
        <v>0.3</v>
      </c>
      <c r="J62" s="1768"/>
      <c r="K62" s="2354"/>
      <c r="L62" s="1766"/>
      <c r="M62" s="1766"/>
      <c r="N62" s="1766"/>
      <c r="O62" s="1766"/>
    </row>
    <row r="63" spans="1:15" s="1099" customFormat="1">
      <c r="A63" s="1100" t="s">
        <v>497</v>
      </c>
      <c r="B63" s="593">
        <f t="shared" si="17"/>
        <v>880</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498</v>
      </c>
      <c r="B64" s="593">
        <f t="shared" si="17"/>
        <v>880</v>
      </c>
      <c r="C64" s="531">
        <f t="shared" si="16"/>
        <v>0.25</v>
      </c>
      <c r="D64" s="2386">
        <v>0.25</v>
      </c>
      <c r="E64" s="592">
        <f>'数据-汇总表'!E14</f>
        <v>0</v>
      </c>
      <c r="F64" s="2179">
        <f t="shared" si="15"/>
        <v>0</v>
      </c>
      <c r="G64" s="2190" t="s">
        <v>2320</v>
      </c>
      <c r="H64" s="2180" t="str">
        <f>项目基本情况!B37</f>
        <v>二级</v>
      </c>
      <c r="I64" s="2185">
        <f>SUMIF(修正!A45:A56,H64,修正!H45:H56)</f>
        <v>0.25</v>
      </c>
      <c r="J64" s="1768"/>
      <c r="K64" s="2354"/>
      <c r="L64" s="1766"/>
      <c r="M64" s="1766"/>
      <c r="N64" s="1766"/>
      <c r="O64" s="1766"/>
    </row>
    <row r="65" spans="1:19" s="1099" customFormat="1" ht="15" thickBot="1">
      <c r="A65" s="1100" t="s">
        <v>499</v>
      </c>
      <c r="B65" s="593">
        <f t="shared" si="17"/>
        <v>880</v>
      </c>
      <c r="C65" s="531">
        <f t="shared" si="16"/>
        <v>0.25</v>
      </c>
      <c r="D65" s="2386">
        <v>0.25</v>
      </c>
      <c r="E65" s="592">
        <f>'数据-汇总表'!E15</f>
        <v>18631.559999999998</v>
      </c>
      <c r="F65" s="2179">
        <f t="shared" si="15"/>
        <v>1640</v>
      </c>
      <c r="G65" s="2191" t="s">
        <v>2319</v>
      </c>
      <c r="H65" s="2192" t="str">
        <f>项目基本情况!C37</f>
        <v>二级</v>
      </c>
      <c r="I65" s="2187">
        <f>SUMIF(修正!A45:A56,H65,修正!H45:H56)</f>
        <v>0.25</v>
      </c>
      <c r="J65" s="1768"/>
      <c r="K65" s="2353"/>
      <c r="L65" s="1766"/>
      <c r="M65" s="1766"/>
      <c r="N65" s="1766"/>
      <c r="O65" s="1766"/>
    </row>
    <row r="66" spans="1:19" s="1099" customFormat="1" ht="13.5" thickBot="1">
      <c r="A66" s="1102" t="s">
        <v>500</v>
      </c>
      <c r="B66" s="1103" t="s">
        <v>155</v>
      </c>
      <c r="C66" s="1103" t="s">
        <v>156</v>
      </c>
      <c r="D66" s="1103" t="s">
        <v>2325</v>
      </c>
      <c r="E66" s="1103">
        <f>IF(B46="楼面地价",SUM(E56:E65),'数据-汇总表'!D3)</f>
        <v>86430.56</v>
      </c>
      <c r="F66" s="1104">
        <f>IF(B46="楼面地价",SUM(F56:F65),ROUND(C48*E66/10000,0))</f>
        <v>82287</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411</v>
      </c>
      <c r="B69" s="1305"/>
      <c r="C69" s="1310"/>
      <c r="D69" s="1310"/>
      <c r="E69" s="1310"/>
      <c r="F69" s="1311"/>
      <c r="G69" s="1311"/>
      <c r="H69" s="1310"/>
      <c r="I69" s="1310"/>
      <c r="J69" s="2369"/>
      <c r="K69" s="2370"/>
      <c r="L69" s="2371"/>
      <c r="M69" s="2369"/>
      <c r="N69" s="2369"/>
      <c r="O69" s="2369"/>
      <c r="P69" s="844"/>
      <c r="Q69" s="845"/>
    </row>
    <row r="70" spans="1:19" s="849" customFormat="1" ht="28.5">
      <c r="A70" s="2697" t="s">
        <v>2791</v>
      </c>
      <c r="B70" s="2698"/>
      <c r="C70" s="3028" t="str">
        <f>YEAR(C68)&amp;"-"&amp;ROUNDUP(MONTH(C68)/3,0)</f>
        <v>2017-3</v>
      </c>
      <c r="D70" s="3028" t="str">
        <f>YEAR(D68)&amp;"-"&amp;ROUNDUP(MONTH(D68)/3,0)</f>
        <v>2017-2</v>
      </c>
      <c r="E70" s="3028" t="str">
        <f t="shared" ref="E70:S70" si="23">YEAR(E68)&amp;"-"&amp;ROUNDUP(MONTH(E68)/3,0)</f>
        <v>2017-1</v>
      </c>
      <c r="F70" s="3028" t="str">
        <f t="shared" si="23"/>
        <v>2016-4</v>
      </c>
      <c r="G70" s="3028" t="str">
        <f t="shared" si="23"/>
        <v>2016-3</v>
      </c>
      <c r="H70" s="3028" t="str">
        <f t="shared" si="23"/>
        <v>2016-2</v>
      </c>
      <c r="I70" s="3028" t="str">
        <f t="shared" si="23"/>
        <v>2016-1</v>
      </c>
      <c r="J70" s="3028" t="str">
        <f t="shared" si="23"/>
        <v>2015-4</v>
      </c>
      <c r="K70" s="3028" t="str">
        <f t="shared" si="23"/>
        <v>2015-3</v>
      </c>
      <c r="L70" s="3028" t="str">
        <f t="shared" si="23"/>
        <v>2015-2</v>
      </c>
      <c r="M70" s="3028" t="str">
        <f t="shared" si="23"/>
        <v>2015-1</v>
      </c>
      <c r="N70" s="3028" t="str">
        <f t="shared" si="23"/>
        <v>2014-4</v>
      </c>
      <c r="O70" s="3028" t="str">
        <f t="shared" si="23"/>
        <v>2014-3</v>
      </c>
      <c r="P70" s="3360" t="str">
        <f t="shared" si="23"/>
        <v>2014-2</v>
      </c>
      <c r="Q70" s="3360" t="str">
        <f t="shared" si="23"/>
        <v>2014-1</v>
      </c>
      <c r="R70" s="3360" t="str">
        <f t="shared" si="23"/>
        <v>2013-4</v>
      </c>
      <c r="S70" s="3360" t="str">
        <f t="shared" si="23"/>
        <v>2013-3</v>
      </c>
    </row>
    <row r="71" spans="1:19" s="406" customFormat="1" ht="30" customHeight="1">
      <c r="A71" s="3031"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3022">
        <v>95</v>
      </c>
      <c r="N71" s="936">
        <v>94.5</v>
      </c>
      <c r="O71" s="3023">
        <v>94</v>
      </c>
      <c r="P71" s="3023">
        <v>93.5</v>
      </c>
      <c r="Q71" s="3023">
        <v>93</v>
      </c>
      <c r="R71" s="3023">
        <v>92.5</v>
      </c>
      <c r="S71" s="406">
        <v>92</v>
      </c>
    </row>
    <row r="72" spans="1:19" s="406" customFormat="1" ht="15.75" thickBot="1">
      <c r="A72" s="856" t="s">
        <v>412</v>
      </c>
      <c r="B72" s="857"/>
      <c r="C72" s="858"/>
      <c r="D72" s="859"/>
      <c r="E72" s="859"/>
      <c r="F72" s="859"/>
      <c r="G72" s="859"/>
      <c r="H72" s="859"/>
      <c r="I72" s="859"/>
      <c r="J72" s="859"/>
      <c r="K72" s="859"/>
      <c r="L72" s="859"/>
      <c r="M72" s="860"/>
      <c r="N72" s="859"/>
      <c r="O72" s="2372"/>
      <c r="P72" s="845"/>
      <c r="Q72" s="845"/>
    </row>
    <row r="73" spans="1:19" s="406" customFormat="1" ht="15">
      <c r="A73" s="862" t="s">
        <v>396</v>
      </c>
      <c r="B73" s="851"/>
      <c r="C73" s="863" t="s">
        <v>413</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414</v>
      </c>
      <c r="B75" s="869" t="s">
        <v>415</v>
      </c>
      <c r="C75" s="3357" t="s">
        <v>3185</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400</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401</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402</v>
      </c>
      <c r="B88" s="869" t="s">
        <v>420</v>
      </c>
      <c r="C88" s="914" t="s">
        <v>421</v>
      </c>
      <c r="D88" s="914" t="s">
        <v>422</v>
      </c>
      <c r="E88" s="914" t="s">
        <v>423</v>
      </c>
      <c r="F88" s="914" t="s">
        <v>424</v>
      </c>
      <c r="G88" s="914" t="s">
        <v>425</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501</v>
      </c>
      <c r="C90" s="919" t="s">
        <v>421</v>
      </c>
      <c r="D90" s="919" t="s">
        <v>422</v>
      </c>
      <c r="E90" s="919" t="s">
        <v>423</v>
      </c>
      <c r="F90" s="919" t="s">
        <v>424</v>
      </c>
      <c r="G90" s="919" t="s">
        <v>425</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439</v>
      </c>
      <c r="C92" s="919" t="s">
        <v>421</v>
      </c>
      <c r="D92" s="919" t="s">
        <v>422</v>
      </c>
      <c r="E92" s="919" t="s">
        <v>423</v>
      </c>
      <c r="F92" s="919" t="s">
        <v>424</v>
      </c>
      <c r="G92" s="919" t="s">
        <v>425</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426</v>
      </c>
      <c r="C94" s="919" t="s">
        <v>421</v>
      </c>
      <c r="D94" s="919" t="s">
        <v>422</v>
      </c>
      <c r="E94" s="919" t="s">
        <v>423</v>
      </c>
      <c r="F94" s="919" t="s">
        <v>424</v>
      </c>
      <c r="G94" s="919" t="s">
        <v>425</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502</v>
      </c>
      <c r="C96" s="919" t="s">
        <v>421</v>
      </c>
      <c r="D96" s="919" t="s">
        <v>422</v>
      </c>
      <c r="E96" s="919" t="s">
        <v>423</v>
      </c>
      <c r="F96" s="919" t="s">
        <v>424</v>
      </c>
      <c r="G96" s="919" t="s">
        <v>425</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503</v>
      </c>
      <c r="C98" s="914" t="s">
        <v>421</v>
      </c>
      <c r="D98" s="914" t="s">
        <v>422</v>
      </c>
      <c r="E98" s="914" t="s">
        <v>423</v>
      </c>
      <c r="F98" s="914" t="s">
        <v>424</v>
      </c>
      <c r="G98" s="914" t="s">
        <v>425</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2668</v>
      </c>
      <c r="C100" s="914" t="s">
        <v>421</v>
      </c>
      <c r="D100" s="914" t="s">
        <v>422</v>
      </c>
      <c r="E100" s="914" t="s">
        <v>423</v>
      </c>
      <c r="F100" s="914" t="s">
        <v>424</v>
      </c>
      <c r="G100" s="914" t="s">
        <v>425</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2655</v>
      </c>
      <c r="C102" s="213" t="s">
        <v>2656</v>
      </c>
      <c r="D102" s="213" t="s">
        <v>2657</v>
      </c>
      <c r="E102" s="213" t="s">
        <v>2658</v>
      </c>
      <c r="F102" s="213" t="s">
        <v>2659</v>
      </c>
      <c r="G102" s="213" t="s">
        <v>2660</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504</v>
      </c>
      <c r="D104" s="880" t="s">
        <v>505</v>
      </c>
      <c r="E104" s="880" t="s">
        <v>506</v>
      </c>
      <c r="F104" s="880" t="s">
        <v>507</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438</v>
      </c>
      <c r="C106" s="895" t="s">
        <v>3193</v>
      </c>
      <c r="D106" s="895" t="s">
        <v>3194</v>
      </c>
      <c r="E106" s="895" t="s">
        <v>3195</v>
      </c>
      <c r="F106" s="895" t="s">
        <v>3196</v>
      </c>
      <c r="G106" s="895" t="s">
        <v>3197</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481</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404</v>
      </c>
      <c r="B116" s="869" t="s">
        <v>508</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509</v>
      </c>
      <c r="C119" s="924" t="s">
        <v>3201</v>
      </c>
      <c r="D119" s="924" t="s">
        <v>3202</v>
      </c>
      <c r="E119" s="924" t="s">
        <v>3203</v>
      </c>
      <c r="F119" s="924" t="s">
        <v>3204</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510</v>
      </c>
      <c r="C121" s="895" t="s">
        <v>3206</v>
      </c>
      <c r="D121" s="895" t="s">
        <v>3207</v>
      </c>
      <c r="E121" s="895" t="s">
        <v>3208</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2499</v>
      </c>
      <c r="C123" s="895" t="s">
        <v>3209</v>
      </c>
      <c r="D123" s="895" t="s">
        <v>3210</v>
      </c>
      <c r="E123" s="895" t="s">
        <v>3211</v>
      </c>
      <c r="F123" s="895" t="s">
        <v>3212</v>
      </c>
      <c r="G123" s="895" t="s">
        <v>3213</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511</v>
      </c>
      <c r="C125" s="895" t="s">
        <v>3214</v>
      </c>
      <c r="D125" s="895" t="s">
        <v>3215</v>
      </c>
      <c r="E125" s="924" t="s">
        <v>3216</v>
      </c>
      <c r="F125" s="924" t="s">
        <v>3217</v>
      </c>
      <c r="G125" s="924" t="s">
        <v>3218</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477</v>
      </c>
      <c r="B1" s="737"/>
      <c r="C1" s="738" t="s">
        <v>513</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341</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342</v>
      </c>
      <c r="B3" s="950" t="e">
        <f>ROUND(IF(D3="",B2*10000/'数据-汇总表'!E3,B2*10000/D3),0)</f>
        <v>#DIV/0!</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386</v>
      </c>
      <c r="B4" s="744"/>
      <c r="C4" s="3667" t="s">
        <v>387</v>
      </c>
      <c r="D4" s="3668"/>
      <c r="E4" s="3669" t="s">
        <v>388</v>
      </c>
      <c r="F4" s="3670"/>
      <c r="G4" s="3667" t="s">
        <v>389</v>
      </c>
      <c r="H4" s="3668"/>
      <c r="I4" s="3667" t="s">
        <v>390</v>
      </c>
      <c r="J4" s="3668"/>
      <c r="K4" s="951" t="s">
        <v>391</v>
      </c>
      <c r="L4" s="2339"/>
      <c r="M4" s="2340"/>
      <c r="N4" s="2340"/>
      <c r="O4" s="2340"/>
      <c r="P4" s="3671" t="s">
        <v>392</v>
      </c>
      <c r="Q4" s="3672"/>
      <c r="R4" s="3654" t="s">
        <v>388</v>
      </c>
      <c r="S4" s="3655"/>
      <c r="T4" s="3654" t="s">
        <v>389</v>
      </c>
      <c r="U4" s="3655"/>
      <c r="V4" s="3679" t="s">
        <v>390</v>
      </c>
      <c r="W4" s="3679"/>
      <c r="X4" s="1316"/>
      <c r="Y4" s="3654" t="s">
        <v>392</v>
      </c>
      <c r="Z4" s="3655"/>
      <c r="AA4" s="3649" t="s">
        <v>388</v>
      </c>
      <c r="AB4" s="3650" t="s">
        <v>389</v>
      </c>
      <c r="AC4" s="3649" t="s">
        <v>390</v>
      </c>
    </row>
    <row r="5" spans="1:29" ht="15">
      <c r="A5" s="746"/>
      <c r="B5" s="747"/>
      <c r="C5" s="3598" t="s">
        <v>1129</v>
      </c>
      <c r="D5" s="3599"/>
      <c r="E5" s="3596" t="s">
        <v>1130</v>
      </c>
      <c r="F5" s="3597"/>
      <c r="G5" s="3598" t="s">
        <v>1133</v>
      </c>
      <c r="H5" s="3599"/>
      <c r="I5" s="3598" t="s">
        <v>1131</v>
      </c>
      <c r="J5" s="3599"/>
      <c r="K5" s="951"/>
      <c r="L5" s="2339"/>
      <c r="M5" s="2340"/>
      <c r="N5" s="2340"/>
      <c r="O5" s="2340"/>
      <c r="P5" s="3673"/>
      <c r="Q5" s="3674"/>
      <c r="R5" s="3656"/>
      <c r="S5" s="3657"/>
      <c r="T5" s="3656"/>
      <c r="U5" s="3657"/>
      <c r="V5" s="3679"/>
      <c r="W5" s="3679"/>
      <c r="X5" s="1316"/>
      <c r="Y5" s="3656"/>
      <c r="Z5" s="3657"/>
      <c r="AA5" s="3650"/>
      <c r="AB5" s="3650"/>
      <c r="AC5" s="3650"/>
    </row>
    <row r="6" spans="1:29" ht="15.75" thickBot="1">
      <c r="A6" s="748"/>
      <c r="B6" s="749"/>
      <c r="C6" s="3696" t="s">
        <v>1132</v>
      </c>
      <c r="D6" s="3697"/>
      <c r="E6" s="3698" t="s">
        <v>1132</v>
      </c>
      <c r="F6" s="3699"/>
      <c r="G6" s="3696" t="s">
        <v>1132</v>
      </c>
      <c r="H6" s="3697"/>
      <c r="I6" s="3696" t="s">
        <v>1132</v>
      </c>
      <c r="J6" s="3697"/>
      <c r="K6" s="951" t="s">
        <v>393</v>
      </c>
      <c r="L6" s="2339"/>
      <c r="M6" s="2340"/>
      <c r="N6" s="2340"/>
      <c r="O6" s="2340"/>
      <c r="P6" s="3675"/>
      <c r="Q6" s="3676"/>
      <c r="R6" s="3656"/>
      <c r="S6" s="3657"/>
      <c r="T6" s="3677"/>
      <c r="U6" s="3678"/>
      <c r="V6" s="3679"/>
      <c r="W6" s="3679"/>
      <c r="X6" s="1316"/>
      <c r="Y6" s="3677"/>
      <c r="Z6" s="3678"/>
      <c r="AA6" s="3651"/>
      <c r="AB6" s="3651"/>
      <c r="AC6" s="3651"/>
    </row>
    <row r="7" spans="1:29" s="406" customFormat="1" ht="15.75" thickBot="1">
      <c r="A7" s="750" t="s">
        <v>394</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52" t="s">
        <v>395</v>
      </c>
      <c r="Q7" s="3680"/>
      <c r="R7" s="1317" t="s">
        <v>64</v>
      </c>
      <c r="S7" s="1318">
        <f t="shared" ref="S7:S15" si="0">F7</f>
        <v>0</v>
      </c>
      <c r="T7" s="1317" t="s">
        <v>64</v>
      </c>
      <c r="U7" s="1318">
        <f t="shared" ref="U7:U15" si="1">H7</f>
        <v>0</v>
      </c>
      <c r="V7" s="1317" t="s">
        <v>64</v>
      </c>
      <c r="W7" s="1318">
        <f t="shared" ref="W7:W15" si="2">J7</f>
        <v>0</v>
      </c>
      <c r="X7" s="1319"/>
      <c r="Y7" s="3652" t="s">
        <v>395</v>
      </c>
      <c r="Z7" s="3653"/>
      <c r="AA7" s="1320" t="e">
        <f>D7/F7</f>
        <v>#DIV/0!</v>
      </c>
      <c r="AB7" s="1320" t="e">
        <f>D7/H7</f>
        <v>#DIV/0!</v>
      </c>
      <c r="AC7" s="1320" t="e">
        <f>D7/J7</f>
        <v>#DIV/0!</v>
      </c>
    </row>
    <row r="8" spans="1:29" s="406" customFormat="1" ht="15.75" thickBot="1">
      <c r="A8" s="750" t="s">
        <v>396</v>
      </c>
      <c r="B8" s="751"/>
      <c r="C8" s="1018" t="s">
        <v>154</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40" si="3">D8/F8</f>
        <v>#DIV/0!</v>
      </c>
      <c r="AB8" s="1320" t="e">
        <f t="shared" ref="AB8:AB40" si="4">D8/H8</f>
        <v>#DIV/0!</v>
      </c>
      <c r="AC8" s="1320" t="e">
        <f t="shared" ref="AC8:AC40" si="5">D8/J8</f>
        <v>#DIV/0!</v>
      </c>
    </row>
    <row r="9" spans="1:29" s="406" customFormat="1">
      <c r="A9" s="757" t="s">
        <v>397</v>
      </c>
      <c r="B9" s="361" t="s">
        <v>415</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66" t="s">
        <v>398</v>
      </c>
      <c r="Q9" s="296" t="str">
        <f t="shared" ref="Q9:Q15" si="6">B9</f>
        <v>用途</v>
      </c>
      <c r="R9" s="1317" t="s">
        <v>64</v>
      </c>
      <c r="S9" s="1318">
        <f t="shared" si="0"/>
        <v>100</v>
      </c>
      <c r="T9" s="1317" t="s">
        <v>64</v>
      </c>
      <c r="U9" s="1318">
        <f t="shared" si="1"/>
        <v>100</v>
      </c>
      <c r="V9" s="1317" t="s">
        <v>64</v>
      </c>
      <c r="W9" s="1318">
        <f t="shared" si="2"/>
        <v>100</v>
      </c>
      <c r="X9" s="1319"/>
      <c r="Y9" s="3534" t="s">
        <v>399</v>
      </c>
      <c r="Z9" s="344" t="str">
        <f t="shared" ref="Z9:Z15" si="7">Q9</f>
        <v>用途</v>
      </c>
      <c r="AA9" s="1320">
        <f t="shared" si="3"/>
        <v>1</v>
      </c>
      <c r="AB9" s="1320">
        <f t="shared" si="4"/>
        <v>1</v>
      </c>
      <c r="AC9" s="1320">
        <f t="shared" si="5"/>
        <v>1</v>
      </c>
    </row>
    <row r="10" spans="1:29" s="769" customFormat="1" ht="27">
      <c r="A10" s="763"/>
      <c r="B10" s="764" t="s">
        <v>400</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66"/>
      <c r="Q10" s="296" t="str">
        <f t="shared" si="6"/>
        <v>土地使用年限（年）</v>
      </c>
      <c r="R10" s="1317" t="s">
        <v>64</v>
      </c>
      <c r="S10" s="1318">
        <f t="shared" si="0"/>
        <v>103</v>
      </c>
      <c r="T10" s="1317" t="s">
        <v>64</v>
      </c>
      <c r="U10" s="1318">
        <f t="shared" si="1"/>
        <v>103</v>
      </c>
      <c r="V10" s="1317" t="s">
        <v>64</v>
      </c>
      <c r="W10" s="1318">
        <f t="shared" si="2"/>
        <v>103</v>
      </c>
      <c r="X10" s="1319"/>
      <c r="Y10" s="3534"/>
      <c r="Z10" s="344" t="str">
        <f t="shared" si="7"/>
        <v>土地使用年限（年）</v>
      </c>
      <c r="AA10" s="1320">
        <f t="shared" si="3"/>
        <v>0.970873786407767</v>
      </c>
      <c r="AB10" s="1320">
        <f t="shared" si="4"/>
        <v>0.970873786407767</v>
      </c>
      <c r="AC10" s="1320">
        <f t="shared" si="5"/>
        <v>0.970873786407767</v>
      </c>
    </row>
    <row r="11" spans="1:29" ht="15">
      <c r="A11" s="770"/>
      <c r="B11" s="764" t="s">
        <v>401</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66"/>
      <c r="Q11" s="296" t="str">
        <f t="shared" si="6"/>
        <v>容积率</v>
      </c>
      <c r="R11" s="1317" t="s">
        <v>64</v>
      </c>
      <c r="S11" s="1318" t="e">
        <f t="shared" si="0"/>
        <v>#N/A</v>
      </c>
      <c r="T11" s="1317" t="s">
        <v>64</v>
      </c>
      <c r="U11" s="1318" t="e">
        <f t="shared" si="1"/>
        <v>#N/A</v>
      </c>
      <c r="V11" s="1317" t="s">
        <v>64</v>
      </c>
      <c r="W11" s="1318" t="e">
        <f t="shared" si="2"/>
        <v>#N/A</v>
      </c>
      <c r="X11" s="1319"/>
      <c r="Y11" s="3534"/>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66"/>
      <c r="Q12" s="296">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66"/>
      <c r="Q13" s="296">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66"/>
      <c r="Q14" s="296">
        <f t="shared" si="6"/>
        <v>111</v>
      </c>
      <c r="R14" s="1317" t="s">
        <v>64</v>
      </c>
      <c r="S14" s="1318">
        <f t="shared" si="0"/>
        <v>100</v>
      </c>
      <c r="T14" s="1317" t="s">
        <v>64</v>
      </c>
      <c r="U14" s="1318">
        <f t="shared" si="1"/>
        <v>100</v>
      </c>
      <c r="V14" s="1317" t="s">
        <v>64</v>
      </c>
      <c r="W14" s="1318">
        <f t="shared" si="2"/>
        <v>100</v>
      </c>
      <c r="X14" s="1319"/>
      <c r="Y14" s="3534"/>
      <c r="Z14" s="344">
        <f t="shared" si="7"/>
        <v>111</v>
      </c>
      <c r="AA14" s="1320">
        <f t="shared" si="3"/>
        <v>1</v>
      </c>
      <c r="AB14" s="1320">
        <f t="shared" si="4"/>
        <v>1</v>
      </c>
      <c r="AC14" s="1320">
        <f t="shared" si="5"/>
        <v>1</v>
      </c>
    </row>
    <row r="15" spans="1:29" ht="67.5">
      <c r="A15" s="782" t="s">
        <v>402</v>
      </c>
      <c r="B15" s="970" t="s">
        <v>514</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81" t="s">
        <v>403</v>
      </c>
      <c r="Q15" s="1321" t="str">
        <f t="shared" si="6"/>
        <v>产业集聚程度</v>
      </c>
      <c r="R15" s="1322" t="s">
        <v>64</v>
      </c>
      <c r="S15" s="1323">
        <f t="shared" si="0"/>
        <v>100</v>
      </c>
      <c r="T15" s="1322" t="s">
        <v>64</v>
      </c>
      <c r="U15" s="1323">
        <f t="shared" si="1"/>
        <v>100</v>
      </c>
      <c r="V15" s="1322" t="s">
        <v>64</v>
      </c>
      <c r="W15" s="1323">
        <f t="shared" si="2"/>
        <v>100</v>
      </c>
      <c r="X15" s="1316"/>
      <c r="Y15" s="3681" t="s">
        <v>403</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82"/>
      <c r="Q16" s="1321"/>
      <c r="R16" s="1322"/>
      <c r="S16" s="1323"/>
      <c r="T16" s="1322"/>
      <c r="U16" s="1323"/>
      <c r="V16" s="1322"/>
      <c r="W16" s="1323"/>
      <c r="X16" s="1316"/>
      <c r="Y16" s="3682"/>
      <c r="Z16" s="1324"/>
      <c r="AA16" s="1325">
        <v>1</v>
      </c>
      <c r="AB16" s="1325">
        <v>1</v>
      </c>
      <c r="AC16" s="1325">
        <v>1</v>
      </c>
    </row>
    <row r="17" spans="1:29" ht="94.5">
      <c r="A17" s="770"/>
      <c r="B17" s="972" t="s">
        <v>452</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82"/>
      <c r="Q17" s="1321" t="str">
        <f>B17</f>
        <v>交通便捷度</v>
      </c>
      <c r="R17" s="1322" t="s">
        <v>64</v>
      </c>
      <c r="S17" s="1323">
        <f>F17</f>
        <v>100</v>
      </c>
      <c r="T17" s="1322" t="s">
        <v>64</v>
      </c>
      <c r="U17" s="1323">
        <f>H17</f>
        <v>100</v>
      </c>
      <c r="V17" s="1322" t="s">
        <v>64</v>
      </c>
      <c r="W17" s="1323">
        <f>J17</f>
        <v>100</v>
      </c>
      <c r="X17" s="1316"/>
      <c r="Y17" s="3682"/>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82"/>
      <c r="Q18" s="1321"/>
      <c r="R18" s="1322"/>
      <c r="S18" s="1323"/>
      <c r="T18" s="1322"/>
      <c r="U18" s="1323"/>
      <c r="V18" s="1322"/>
      <c r="W18" s="1323"/>
      <c r="X18" s="1316"/>
      <c r="Y18" s="3682"/>
      <c r="Z18" s="1324"/>
      <c r="AA18" s="1325">
        <v>1</v>
      </c>
      <c r="AB18" s="1325">
        <v>1</v>
      </c>
      <c r="AC18" s="1325">
        <v>1</v>
      </c>
    </row>
    <row r="19" spans="1:29" ht="27">
      <c r="A19" s="770"/>
      <c r="B19" s="972"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82"/>
      <c r="Q19" s="1321" t="str">
        <f t="shared" ref="Q19:Q33" si="8">B19</f>
        <v>区域土地利用方向</v>
      </c>
      <c r="R19" s="1322" t="s">
        <v>64</v>
      </c>
      <c r="S19" s="1323">
        <f>F19</f>
        <v>100</v>
      </c>
      <c r="T19" s="1322" t="s">
        <v>64</v>
      </c>
      <c r="U19" s="1323">
        <f>H19</f>
        <v>100</v>
      </c>
      <c r="V19" s="1322" t="s">
        <v>64</v>
      </c>
      <c r="W19" s="1323">
        <f>J19</f>
        <v>100</v>
      </c>
      <c r="X19" s="1316"/>
      <c r="Y19" s="3682"/>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82"/>
      <c r="Q20" s="1468"/>
      <c r="R20" s="1322"/>
      <c r="S20" s="1323"/>
      <c r="T20" s="1322"/>
      <c r="U20" s="1323"/>
      <c r="V20" s="1322"/>
      <c r="W20" s="1323"/>
      <c r="X20" s="1467"/>
      <c r="Y20" s="3682"/>
      <c r="Z20" s="1469"/>
      <c r="AA20" s="1325"/>
      <c r="AB20" s="1325"/>
      <c r="AC20" s="1325"/>
    </row>
    <row r="21" spans="1:29" ht="81">
      <c r="A21" s="746"/>
      <c r="B21" s="972" t="s">
        <v>515</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82"/>
      <c r="Q21" s="1321" t="str">
        <f t="shared" si="8"/>
        <v>环境状况</v>
      </c>
      <c r="R21" s="1322" t="s">
        <v>64</v>
      </c>
      <c r="S21" s="1323">
        <f>F21</f>
        <v>100</v>
      </c>
      <c r="T21" s="1322" t="s">
        <v>64</v>
      </c>
      <c r="U21" s="1323">
        <f>H21</f>
        <v>100</v>
      </c>
      <c r="V21" s="1322" t="s">
        <v>64</v>
      </c>
      <c r="W21" s="1323">
        <f>J21</f>
        <v>100</v>
      </c>
      <c r="X21" s="1316"/>
      <c r="Y21" s="3682"/>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82"/>
      <c r="Q22" s="1321"/>
      <c r="R22" s="1322"/>
      <c r="S22" s="1323"/>
      <c r="T22" s="1322"/>
      <c r="U22" s="1323"/>
      <c r="V22" s="1322"/>
      <c r="W22" s="1323"/>
      <c r="X22" s="1316"/>
      <c r="Y22" s="3682"/>
      <c r="Z22" s="1324"/>
      <c r="AA22" s="1325">
        <v>1</v>
      </c>
      <c r="AB22" s="1325">
        <v>1</v>
      </c>
      <c r="AC22" s="1325">
        <v>1</v>
      </c>
    </row>
    <row r="23" spans="1:29" s="406" customFormat="1" ht="40.5">
      <c r="A23" s="990"/>
      <c r="B23" s="1034" t="s">
        <v>2668</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82"/>
      <c r="Q23" s="296" t="str">
        <f t="shared" si="8"/>
        <v>公共配套设施</v>
      </c>
      <c r="R23" s="1317" t="s">
        <v>64</v>
      </c>
      <c r="S23" s="1318">
        <f>F23</f>
        <v>100</v>
      </c>
      <c r="T23" s="1317" t="s">
        <v>64</v>
      </c>
      <c r="U23" s="1318">
        <f>H23</f>
        <v>100</v>
      </c>
      <c r="V23" s="1317" t="s">
        <v>64</v>
      </c>
      <c r="W23" s="1318">
        <f>J23</f>
        <v>100</v>
      </c>
      <c r="X23" s="1319"/>
      <c r="Y23" s="3682"/>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82"/>
      <c r="Q24" s="296"/>
      <c r="R24" s="1317"/>
      <c r="S24" s="1318"/>
      <c r="T24" s="1317"/>
      <c r="U24" s="1318"/>
      <c r="V24" s="1317"/>
      <c r="W24" s="1318"/>
      <c r="X24" s="1319"/>
      <c r="Y24" s="3682"/>
      <c r="Z24" s="344"/>
      <c r="AA24" s="1320">
        <v>1</v>
      </c>
      <c r="AB24" s="1320">
        <v>1</v>
      </c>
      <c r="AC24" s="1320">
        <v>1</v>
      </c>
    </row>
    <row r="25" spans="1:29" s="406" customFormat="1" ht="40.5">
      <c r="A25" s="990"/>
      <c r="B25" s="1034" t="s">
        <v>2669</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82"/>
      <c r="Q25" s="2735" t="str">
        <f t="shared" ref="Q25" si="9">B25</f>
        <v>基础设施水平</v>
      </c>
      <c r="R25" s="1317" t="s">
        <v>64</v>
      </c>
      <c r="S25" s="1318">
        <f>F25</f>
        <v>100</v>
      </c>
      <c r="T25" s="1317" t="s">
        <v>64</v>
      </c>
      <c r="U25" s="1318">
        <f>H25</f>
        <v>100</v>
      </c>
      <c r="V25" s="1317" t="s">
        <v>64</v>
      </c>
      <c r="W25" s="1318">
        <f>J25</f>
        <v>100</v>
      </c>
      <c r="X25" s="1319"/>
      <c r="Y25" s="3682"/>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82"/>
      <c r="Q26" s="2735"/>
      <c r="R26" s="1317"/>
      <c r="S26" s="1318"/>
      <c r="T26" s="1317"/>
      <c r="U26" s="1318"/>
      <c r="V26" s="1317"/>
      <c r="W26" s="1318"/>
      <c r="X26" s="1319"/>
      <c r="Y26" s="3682"/>
      <c r="Z26" s="344"/>
      <c r="AA26" s="1320">
        <v>1</v>
      </c>
      <c r="AB26" s="1320">
        <v>1</v>
      </c>
      <c r="AC26" s="1320">
        <v>1</v>
      </c>
    </row>
    <row r="27" spans="1:29" ht="15">
      <c r="A27" s="770"/>
      <c r="B27" s="973" t="s">
        <v>433</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82"/>
      <c r="Q27" s="1321" t="str">
        <f t="shared" si="8"/>
        <v>临街状况</v>
      </c>
      <c r="R27" s="1322" t="s">
        <v>64</v>
      </c>
      <c r="S27" s="1323">
        <f t="shared" ref="S27:S40" si="10">F27</f>
        <v>100</v>
      </c>
      <c r="T27" s="1322" t="s">
        <v>64</v>
      </c>
      <c r="U27" s="1323">
        <f t="shared" ref="U27:U40" si="11">H27</f>
        <v>100</v>
      </c>
      <c r="V27" s="1322" t="s">
        <v>64</v>
      </c>
      <c r="W27" s="1323">
        <f t="shared" ref="W27:W40" si="12">J27</f>
        <v>100</v>
      </c>
      <c r="X27" s="1316"/>
      <c r="Y27" s="3682"/>
      <c r="Z27" s="1324" t="str">
        <f t="shared" ref="Z27:Z40" si="13">Q27</f>
        <v>临街状况</v>
      </c>
      <c r="AA27" s="1325">
        <f t="shared" si="3"/>
        <v>1</v>
      </c>
      <c r="AB27" s="1325">
        <f t="shared" si="4"/>
        <v>1</v>
      </c>
      <c r="AC27" s="1325">
        <f t="shared" si="5"/>
        <v>1</v>
      </c>
    </row>
    <row r="28" spans="1:29" ht="27">
      <c r="A28" s="770"/>
      <c r="B28" s="974" t="s">
        <v>438</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82"/>
      <c r="Q28" s="1321" t="str">
        <f t="shared" si="8"/>
        <v>毗邻道路的类型与等级</v>
      </c>
      <c r="R28" s="1322" t="s">
        <v>64</v>
      </c>
      <c r="S28" s="1323">
        <f t="shared" si="10"/>
        <v>100</v>
      </c>
      <c r="T28" s="1322" t="s">
        <v>64</v>
      </c>
      <c r="U28" s="1323">
        <f t="shared" si="11"/>
        <v>100</v>
      </c>
      <c r="V28" s="1322" t="s">
        <v>64</v>
      </c>
      <c r="W28" s="1323">
        <f t="shared" si="12"/>
        <v>100</v>
      </c>
      <c r="X28" s="1316"/>
      <c r="Y28" s="3682"/>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82"/>
      <c r="Q29" s="1321"/>
      <c r="R29" s="1322"/>
      <c r="S29" s="1323"/>
      <c r="T29" s="1322"/>
      <c r="U29" s="1323"/>
      <c r="V29" s="1322"/>
      <c r="W29" s="1323"/>
      <c r="X29" s="1316"/>
      <c r="Y29" s="3682"/>
      <c r="Z29" s="1324"/>
      <c r="AA29" s="1325">
        <v>1</v>
      </c>
      <c r="AB29" s="1325">
        <v>1</v>
      </c>
      <c r="AC29" s="1325">
        <v>1</v>
      </c>
    </row>
    <row r="30" spans="1:29" ht="15">
      <c r="A30" s="770"/>
      <c r="B30" s="995" t="s">
        <v>481</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82"/>
      <c r="Q30" s="1321" t="str">
        <f t="shared" si="8"/>
        <v>土地级别</v>
      </c>
      <c r="R30" s="1322" t="s">
        <v>64</v>
      </c>
      <c r="S30" s="1323">
        <f t="shared" si="10"/>
        <v>100</v>
      </c>
      <c r="T30" s="1322" t="s">
        <v>64</v>
      </c>
      <c r="U30" s="1323">
        <f t="shared" si="11"/>
        <v>100</v>
      </c>
      <c r="V30" s="1322" t="s">
        <v>64</v>
      </c>
      <c r="W30" s="1323">
        <f t="shared" si="12"/>
        <v>100</v>
      </c>
      <c r="X30" s="1316"/>
      <c r="Y30" s="3682"/>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82"/>
      <c r="Q31" s="1321">
        <f t="shared" si="8"/>
        <v>111</v>
      </c>
      <c r="R31" s="1322" t="s">
        <v>64</v>
      </c>
      <c r="S31" s="1323">
        <f t="shared" si="10"/>
        <v>100</v>
      </c>
      <c r="T31" s="1322" t="s">
        <v>64</v>
      </c>
      <c r="U31" s="1323">
        <f t="shared" si="11"/>
        <v>100</v>
      </c>
      <c r="V31" s="1322" t="s">
        <v>64</v>
      </c>
      <c r="W31" s="1323">
        <f t="shared" si="12"/>
        <v>100</v>
      </c>
      <c r="X31" s="1316"/>
      <c r="Y31" s="3682"/>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83" t="s">
        <v>405</v>
      </c>
      <c r="Q32" s="1321">
        <f t="shared" si="8"/>
        <v>111</v>
      </c>
      <c r="R32" s="1322" t="s">
        <v>64</v>
      </c>
      <c r="S32" s="1323">
        <f t="shared" si="10"/>
        <v>100</v>
      </c>
      <c r="T32" s="1322" t="s">
        <v>64</v>
      </c>
      <c r="U32" s="1323">
        <f t="shared" si="11"/>
        <v>100</v>
      </c>
      <c r="V32" s="1322" t="s">
        <v>64</v>
      </c>
      <c r="W32" s="1323">
        <f t="shared" si="12"/>
        <v>100</v>
      </c>
      <c r="X32" s="1316"/>
      <c r="Y32" s="3684" t="s">
        <v>405</v>
      </c>
      <c r="Z32" s="1324">
        <f t="shared" si="13"/>
        <v>111</v>
      </c>
      <c r="AA32" s="1325">
        <f t="shared" si="3"/>
        <v>1</v>
      </c>
      <c r="AB32" s="1325">
        <f t="shared" si="4"/>
        <v>1</v>
      </c>
      <c r="AC32" s="1325">
        <f t="shared" si="5"/>
        <v>1</v>
      </c>
    </row>
    <row r="33" spans="1:29" s="812" customFormat="1" ht="15.75" thickBot="1">
      <c r="A33" s="1083"/>
      <c r="B33" s="3290">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84"/>
      <c r="Q33" s="1321">
        <f t="shared" si="8"/>
        <v>111</v>
      </c>
      <c r="R33" s="1327" t="s">
        <v>64</v>
      </c>
      <c r="S33" s="1328">
        <f t="shared" si="10"/>
        <v>100</v>
      </c>
      <c r="T33" s="1327" t="s">
        <v>64</v>
      </c>
      <c r="U33" s="1328">
        <f t="shared" si="11"/>
        <v>100</v>
      </c>
      <c r="V33" s="1327" t="s">
        <v>64</v>
      </c>
      <c r="W33" s="1328">
        <f t="shared" si="12"/>
        <v>100</v>
      </c>
      <c r="X33" s="1329"/>
      <c r="Y33" s="3684"/>
      <c r="Z33" s="1330">
        <f t="shared" si="13"/>
        <v>111</v>
      </c>
      <c r="AA33" s="1325">
        <f t="shared" si="3"/>
        <v>1</v>
      </c>
      <c r="AB33" s="1325">
        <f t="shared" si="4"/>
        <v>1</v>
      </c>
      <c r="AC33" s="1325">
        <f t="shared" si="5"/>
        <v>1</v>
      </c>
    </row>
    <row r="34" spans="1:29" ht="15">
      <c r="A34" s="782" t="s">
        <v>2794</v>
      </c>
      <c r="B34" s="798" t="s">
        <v>482</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84"/>
      <c r="Q34" s="1321" t="str">
        <f>B34</f>
        <v>宗地面积</v>
      </c>
      <c r="R34" s="1322" t="s">
        <v>64</v>
      </c>
      <c r="S34" s="1323" t="e">
        <f t="shared" si="10"/>
        <v>#N/A</v>
      </c>
      <c r="T34" s="1322" t="s">
        <v>64</v>
      </c>
      <c r="U34" s="1323" t="e">
        <f t="shared" si="11"/>
        <v>#N/A</v>
      </c>
      <c r="V34" s="1322" t="s">
        <v>64</v>
      </c>
      <c r="W34" s="1323" t="e">
        <f t="shared" si="12"/>
        <v>#N/A</v>
      </c>
      <c r="X34" s="1316"/>
      <c r="Y34" s="3684"/>
      <c r="Z34" s="1324" t="str">
        <f t="shared" si="13"/>
        <v>宗地面积</v>
      </c>
      <c r="AA34" s="1325" t="e">
        <f t="shared" si="3"/>
        <v>#N/A</v>
      </c>
      <c r="AB34" s="1325" t="e">
        <f t="shared" si="4"/>
        <v>#N/A</v>
      </c>
      <c r="AC34" s="1325" t="e">
        <f t="shared" si="5"/>
        <v>#N/A</v>
      </c>
    </row>
    <row r="35" spans="1:29" ht="15">
      <c r="A35" s="813"/>
      <c r="B35" s="764" t="s">
        <v>483</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84"/>
      <c r="Q35" s="1321" t="str">
        <f t="shared" ref="Q35:Q40" si="14">B35</f>
        <v>宗地形状</v>
      </c>
      <c r="R35" s="1322" t="s">
        <v>64</v>
      </c>
      <c r="S35" s="1323">
        <f t="shared" si="10"/>
        <v>100</v>
      </c>
      <c r="T35" s="1322" t="s">
        <v>64</v>
      </c>
      <c r="U35" s="1323">
        <f t="shared" si="11"/>
        <v>100</v>
      </c>
      <c r="V35" s="1322" t="s">
        <v>64</v>
      </c>
      <c r="W35" s="1323">
        <f t="shared" si="12"/>
        <v>100</v>
      </c>
      <c r="X35" s="1316"/>
      <c r="Y35" s="3684"/>
      <c r="Z35" s="1324" t="str">
        <f t="shared" si="13"/>
        <v>宗地形状</v>
      </c>
      <c r="AA35" s="1325">
        <f t="shared" si="3"/>
        <v>1</v>
      </c>
      <c r="AB35" s="1325">
        <f t="shared" si="4"/>
        <v>1</v>
      </c>
      <c r="AC35" s="1325">
        <f t="shared" si="5"/>
        <v>1</v>
      </c>
    </row>
    <row r="36" spans="1:29" s="406" customFormat="1" ht="15">
      <c r="A36" s="814"/>
      <c r="B36" s="2601" t="s">
        <v>2501</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84"/>
      <c r="Q36" s="1321" t="str">
        <f t="shared" si="14"/>
        <v>宗地开发程度</v>
      </c>
      <c r="R36" s="1317" t="s">
        <v>64</v>
      </c>
      <c r="S36" s="1318">
        <f t="shared" si="10"/>
        <v>100</v>
      </c>
      <c r="T36" s="1317" t="s">
        <v>64</v>
      </c>
      <c r="U36" s="1318">
        <f t="shared" si="11"/>
        <v>100</v>
      </c>
      <c r="V36" s="1317" t="s">
        <v>64</v>
      </c>
      <c r="W36" s="1318">
        <f t="shared" si="12"/>
        <v>100</v>
      </c>
      <c r="X36" s="1319"/>
      <c r="Y36" s="3684"/>
      <c r="Z36" s="344" t="str">
        <f t="shared" si="13"/>
        <v>宗地开发程度</v>
      </c>
      <c r="AA36" s="1320">
        <f t="shared" si="3"/>
        <v>1</v>
      </c>
      <c r="AB36" s="1320">
        <f t="shared" si="4"/>
        <v>1</v>
      </c>
      <c r="AC36" s="1320">
        <f t="shared" si="5"/>
        <v>1</v>
      </c>
    </row>
    <row r="37" spans="1:29" ht="15">
      <c r="A37" s="813"/>
      <c r="B37" s="764" t="s">
        <v>485</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84" t="s">
        <v>516</v>
      </c>
      <c r="Q37" s="1321" t="str">
        <f t="shared" si="14"/>
        <v>工程地质条件</v>
      </c>
      <c r="R37" s="1322" t="s">
        <v>64</v>
      </c>
      <c r="S37" s="1323">
        <f t="shared" si="10"/>
        <v>100</v>
      </c>
      <c r="T37" s="1322" t="s">
        <v>64</v>
      </c>
      <c r="U37" s="1323">
        <f t="shared" si="11"/>
        <v>100</v>
      </c>
      <c r="V37" s="1322" t="s">
        <v>64</v>
      </c>
      <c r="W37" s="1323">
        <f t="shared" si="12"/>
        <v>100</v>
      </c>
      <c r="X37" s="1316"/>
      <c r="Y37" s="3684" t="s">
        <v>516</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84"/>
      <c r="Q38" s="1321">
        <f t="shared" si="14"/>
        <v>111</v>
      </c>
      <c r="R38" s="1322" t="s">
        <v>64</v>
      </c>
      <c r="S38" s="1323">
        <f t="shared" si="10"/>
        <v>100</v>
      </c>
      <c r="T38" s="1322" t="s">
        <v>64</v>
      </c>
      <c r="U38" s="1323">
        <f t="shared" si="11"/>
        <v>100</v>
      </c>
      <c r="V38" s="1322" t="s">
        <v>64</v>
      </c>
      <c r="W38" s="1323">
        <f t="shared" si="12"/>
        <v>100</v>
      </c>
      <c r="X38" s="1316"/>
      <c r="Y38" s="3684"/>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84"/>
      <c r="Q39" s="1321">
        <f t="shared" si="14"/>
        <v>111</v>
      </c>
      <c r="R39" s="1322" t="s">
        <v>64</v>
      </c>
      <c r="S39" s="1323">
        <f t="shared" si="10"/>
        <v>100</v>
      </c>
      <c r="T39" s="1322" t="s">
        <v>64</v>
      </c>
      <c r="U39" s="1323">
        <f t="shared" si="11"/>
        <v>100</v>
      </c>
      <c r="V39" s="1322" t="s">
        <v>64</v>
      </c>
      <c r="W39" s="1323">
        <f t="shared" si="12"/>
        <v>100</v>
      </c>
      <c r="X39" s="1316"/>
      <c r="Y39" s="3684"/>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84"/>
      <c r="Q40" s="1321">
        <f t="shared" si="14"/>
        <v>111</v>
      </c>
      <c r="R40" s="1327" t="s">
        <v>64</v>
      </c>
      <c r="S40" s="1328">
        <f t="shared" si="10"/>
        <v>100</v>
      </c>
      <c r="T40" s="1327" t="s">
        <v>64</v>
      </c>
      <c r="U40" s="1328">
        <f t="shared" si="11"/>
        <v>100</v>
      </c>
      <c r="V40" s="1327" t="s">
        <v>64</v>
      </c>
      <c r="W40" s="1328">
        <f t="shared" si="12"/>
        <v>100</v>
      </c>
      <c r="X40" s="1329"/>
      <c r="Y40" s="3684"/>
      <c r="Z40" s="1330">
        <f t="shared" si="13"/>
        <v>111</v>
      </c>
      <c r="AA40" s="1325">
        <f t="shared" si="3"/>
        <v>1</v>
      </c>
      <c r="AB40" s="1325">
        <f t="shared" si="4"/>
        <v>1</v>
      </c>
      <c r="AC40" s="1325">
        <f t="shared" si="5"/>
        <v>1</v>
      </c>
    </row>
    <row r="41" spans="1:29" ht="15">
      <c r="A41" s="820" t="s">
        <v>486</v>
      </c>
      <c r="B41" s="207" t="s">
        <v>3024</v>
      </c>
      <c r="C41" s="1089" t="s">
        <v>23</v>
      </c>
      <c r="D41" s="822"/>
      <c r="E41" s="823"/>
      <c r="F41" s="824"/>
      <c r="G41" s="825"/>
      <c r="H41" s="826"/>
      <c r="I41" s="823"/>
      <c r="J41" s="826"/>
      <c r="K41" s="1398"/>
      <c r="L41" s="2352"/>
      <c r="M41" s="2340"/>
      <c r="N41" s="2340"/>
      <c r="O41" s="2353"/>
      <c r="P41" s="3666" t="str">
        <f>A41</f>
        <v>成交单价</v>
      </c>
      <c r="Q41" s="3666"/>
      <c r="R41" s="3679">
        <f>E41</f>
        <v>0</v>
      </c>
      <c r="S41" s="3679"/>
      <c r="T41" s="3679">
        <f>G41</f>
        <v>0</v>
      </c>
      <c r="U41" s="3679"/>
      <c r="V41" s="3679">
        <f>I41</f>
        <v>0</v>
      </c>
      <c r="W41" s="3679"/>
      <c r="X41" s="1305"/>
      <c r="Y41" s="1331"/>
      <c r="Z41" s="1305"/>
      <c r="AA41" s="1305"/>
      <c r="AB41" s="1305"/>
      <c r="AC41" s="1305"/>
    </row>
    <row r="42" spans="1:29" ht="15.75" thickBot="1">
      <c r="A42" s="827" t="s">
        <v>407</v>
      </c>
      <c r="B42" s="1090"/>
      <c r="C42" s="831" t="e">
        <f>R43</f>
        <v>#DIV/0!</v>
      </c>
      <c r="D42" s="830"/>
      <c r="E42" s="831" t="e">
        <f>R42</f>
        <v>#DIV/0!</v>
      </c>
      <c r="F42" s="832"/>
      <c r="G42" s="829" t="e">
        <f>T42</f>
        <v>#DIV/0!</v>
      </c>
      <c r="H42" s="830"/>
      <c r="I42" s="831" t="e">
        <f>V42</f>
        <v>#DIV/0!</v>
      </c>
      <c r="J42" s="830"/>
      <c r="K42" s="1399"/>
      <c r="L42" s="2352"/>
      <c r="M42" s="2340"/>
      <c r="N42" s="2340"/>
      <c r="O42" s="2353"/>
      <c r="P42" s="3666" t="str">
        <f>A42</f>
        <v>比较价值（元/平方米）</v>
      </c>
      <c r="Q42" s="3666"/>
      <c r="R42" s="3689" t="e">
        <f>ROUND(PRODUCT(R41,AA7:AA40),0)</f>
        <v>#DIV/0!</v>
      </c>
      <c r="S42" s="3689"/>
      <c r="T42" s="3689" t="e">
        <f>ROUND(PRODUCT(T41,AB7:AB40),0)</f>
        <v>#DIV/0!</v>
      </c>
      <c r="U42" s="3689"/>
      <c r="V42" s="3689" t="e">
        <f>ROUND(PRODUCT(V41,AC7:AC40),0)</f>
        <v>#DIV/0!</v>
      </c>
      <c r="W42" s="3689"/>
      <c r="X42" s="1305"/>
      <c r="Y42" s="1305"/>
      <c r="Z42" s="1305"/>
      <c r="AA42" s="1305"/>
      <c r="AB42" s="1305"/>
      <c r="AC42" s="1305"/>
    </row>
    <row r="43" spans="1:29" ht="15.75" thickBot="1">
      <c r="A43" s="115" t="s">
        <v>3017</v>
      </c>
      <c r="B43" s="834"/>
      <c r="C43" s="835" t="e">
        <f>R43</f>
        <v>#DIV/0!</v>
      </c>
      <c r="D43" s="835"/>
      <c r="E43" s="835"/>
      <c r="F43" s="835"/>
      <c r="G43" s="835"/>
      <c r="H43" s="835"/>
      <c r="I43" s="835"/>
      <c r="J43" s="835"/>
      <c r="K43" s="1400"/>
      <c r="L43" s="2352"/>
      <c r="M43" s="2340"/>
      <c r="N43" s="2340"/>
      <c r="O43" s="2353"/>
      <c r="P43" s="3686" t="str">
        <f>A43</f>
        <v>估价对象XX用房的比较价值（楼面单价，元/平方米）</v>
      </c>
      <c r="Q43" s="3687"/>
      <c r="R43" s="3690" t="e">
        <f>ROUND(AVERAGE(R42:V42),0)</f>
        <v>#DIV/0!</v>
      </c>
      <c r="S43" s="3690"/>
      <c r="T43" s="3690"/>
      <c r="U43" s="3690"/>
      <c r="V43" s="3690"/>
      <c r="W43" s="3690"/>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409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487</v>
      </c>
      <c r="B50" s="1092" t="s">
        <v>488</v>
      </c>
      <c r="C50" s="1769" t="s">
        <v>1890</v>
      </c>
      <c r="D50" s="2384" t="s">
        <v>2324</v>
      </c>
      <c r="E50" s="1093" t="s">
        <v>489</v>
      </c>
      <c r="F50" s="1094" t="s">
        <v>490</v>
      </c>
      <c r="G50" s="3691" t="s">
        <v>2317</v>
      </c>
      <c r="H50" s="3692"/>
      <c r="I50" s="2176" t="s">
        <v>1889</v>
      </c>
      <c r="J50" s="1759">
        <f>项目基本情况!F35</f>
        <v>0</v>
      </c>
      <c r="K50" s="2367" t="s">
        <v>1891</v>
      </c>
      <c r="L50" s="2182"/>
      <c r="M50" s="2353"/>
      <c r="N50" s="2353"/>
      <c r="O50" s="2353"/>
    </row>
    <row r="51" spans="1:17" s="1099" customFormat="1">
      <c r="A51" s="1095" t="s">
        <v>491</v>
      </c>
      <c r="B51" s="1096" t="e">
        <f>C43</f>
        <v>#DIV/0!</v>
      </c>
      <c r="C51" s="1097">
        <v>1</v>
      </c>
      <c r="D51" s="2385">
        <v>1</v>
      </c>
      <c r="E51" s="1097">
        <f>'数据-汇总表'!E8+'数据-汇总表'!E9</f>
        <v>54642.68</v>
      </c>
      <c r="F51" s="1098" t="e">
        <f t="shared" ref="F51:F60" si="15">ROUND(B51*E51/10000,0)</f>
        <v>#DIV/0!</v>
      </c>
      <c r="G51" s="3693"/>
      <c r="H51" s="3694"/>
      <c r="I51" s="1767">
        <v>1</v>
      </c>
      <c r="J51" s="1767">
        <v>1</v>
      </c>
      <c r="K51" s="2354"/>
      <c r="L51" s="1766"/>
      <c r="M51" s="1766"/>
      <c r="N51" s="1766"/>
      <c r="O51" s="1766"/>
    </row>
    <row r="52" spans="1:17" s="1099" customFormat="1">
      <c r="A52" s="1100" t="s">
        <v>492</v>
      </c>
      <c r="B52" s="593" t="e">
        <f>ROUND($C$43*C52*D52,0)</f>
        <v>#DIV/0!</v>
      </c>
      <c r="C52" s="531">
        <f t="shared" ref="C52:C60" si="16">IF($C$50="北京市系数",I52,J52)</f>
        <v>0.8</v>
      </c>
      <c r="D52" s="2386">
        <v>0.25</v>
      </c>
      <c r="E52" s="1101"/>
      <c r="F52" s="1098" t="e">
        <f t="shared" si="15"/>
        <v>#DIV/0!</v>
      </c>
      <c r="G52" s="3695" t="s">
        <v>2318</v>
      </c>
      <c r="H52" s="2180" t="str">
        <f>项目基本情况!B37</f>
        <v>二级</v>
      </c>
      <c r="I52" s="1767">
        <f>SUMIF(修正!A45:A56,H52,修正!B45:B56)</f>
        <v>0.8</v>
      </c>
      <c r="J52" s="1768"/>
      <c r="K52" s="2353"/>
      <c r="L52" s="1766"/>
      <c r="M52" s="1766"/>
      <c r="N52" s="1766"/>
      <c r="O52" s="1766"/>
    </row>
    <row r="53" spans="1:17" s="1099" customFormat="1">
      <c r="A53" s="1100" t="s">
        <v>493</v>
      </c>
      <c r="B53" s="593" t="e">
        <f t="shared" ref="B53:B60" si="17">ROUND($C$43*C53*D53,0)</f>
        <v>#DIV/0!</v>
      </c>
      <c r="C53" s="531">
        <f t="shared" si="16"/>
        <v>0.5</v>
      </c>
      <c r="D53" s="2386">
        <v>0.25</v>
      </c>
      <c r="E53" s="1101"/>
      <c r="F53" s="1098" t="e">
        <f t="shared" si="15"/>
        <v>#DIV/0!</v>
      </c>
      <c r="G53" s="3695"/>
      <c r="H53" s="2180" t="str">
        <f>项目基本情况!B37</f>
        <v>二级</v>
      </c>
      <c r="I53" s="1767">
        <f>SUMIF(修正!A45:A56,H53,修正!C45:C56)</f>
        <v>0.5</v>
      </c>
      <c r="J53" s="1768"/>
      <c r="K53" s="2354"/>
      <c r="L53" s="1766"/>
      <c r="M53" s="1766"/>
      <c r="N53" s="1766"/>
      <c r="O53" s="1766"/>
    </row>
    <row r="54" spans="1:17" s="1099" customFormat="1">
      <c r="A54" s="1100" t="s">
        <v>494</v>
      </c>
      <c r="B54" s="593" t="e">
        <f t="shared" si="17"/>
        <v>#DIV/0!</v>
      </c>
      <c r="C54" s="531">
        <f t="shared" si="16"/>
        <v>0.36</v>
      </c>
      <c r="D54" s="2386">
        <v>0.25</v>
      </c>
      <c r="E54" s="1101"/>
      <c r="F54" s="1098" t="e">
        <f t="shared" si="15"/>
        <v>#DIV/0!</v>
      </c>
      <c r="G54" s="3695"/>
      <c r="H54" s="2180" t="str">
        <f>项目基本情况!B37</f>
        <v>二级</v>
      </c>
      <c r="I54" s="1767">
        <f>SUMIF(修正!A45:A56,H54,修正!D45:D56)</f>
        <v>0.36</v>
      </c>
      <c r="J54" s="1768"/>
      <c r="K54" s="2353"/>
      <c r="L54" s="1766"/>
      <c r="M54" s="1766"/>
      <c r="N54" s="1766"/>
      <c r="O54" s="1766"/>
    </row>
    <row r="55" spans="1:17" s="1099" customFormat="1">
      <c r="A55" s="1100" t="s">
        <v>495</v>
      </c>
      <c r="B55" s="593" t="e">
        <f t="shared" si="17"/>
        <v>#DIV/0!</v>
      </c>
      <c r="C55" s="531">
        <f t="shared" si="16"/>
        <v>0.3</v>
      </c>
      <c r="D55" s="2386">
        <v>0.25</v>
      </c>
      <c r="E55" s="1101"/>
      <c r="F55" s="1098" t="e">
        <f t="shared" si="15"/>
        <v>#DIV/0!</v>
      </c>
      <c r="G55" s="3695"/>
      <c r="H55" s="2180" t="str">
        <f>项目基本情况!B37</f>
        <v>二级</v>
      </c>
      <c r="I55" s="1767">
        <f>SUMIF(修正!A45:A56,H55,修正!E45:E56)</f>
        <v>0.3</v>
      </c>
      <c r="J55" s="1768"/>
      <c r="K55" s="2354"/>
      <c r="L55" s="1766"/>
      <c r="M55" s="1766"/>
      <c r="N55" s="1766"/>
      <c r="O55" s="1766"/>
    </row>
    <row r="56" spans="1:17" s="1099" customFormat="1">
      <c r="A56" s="2506" t="s">
        <v>2400</v>
      </c>
      <c r="B56" s="593" t="e">
        <f t="shared" si="17"/>
        <v>#DIV/0!</v>
      </c>
      <c r="C56" s="531">
        <f t="shared" si="16"/>
        <v>0.3</v>
      </c>
      <c r="D56" s="2386">
        <v>0.25</v>
      </c>
      <c r="E56" s="592">
        <f>'数据-汇总表'!E11</f>
        <v>0</v>
      </c>
      <c r="F56" s="1098" t="e">
        <f t="shared" si="15"/>
        <v>#DIV/0!</v>
      </c>
      <c r="G56" s="2190" t="s">
        <v>2319</v>
      </c>
      <c r="H56" s="2180" t="str">
        <f>项目基本情况!C37</f>
        <v>二级</v>
      </c>
      <c r="I56" s="1767">
        <f>SUMIF(修正!A45:A56,H56,修正!F45:F56)</f>
        <v>0.3</v>
      </c>
      <c r="J56" s="1768"/>
      <c r="K56" s="2353"/>
      <c r="L56" s="1766"/>
      <c r="M56" s="1766"/>
      <c r="N56" s="1766"/>
      <c r="O56" s="1766"/>
    </row>
    <row r="57" spans="1:17" s="1099" customFormat="1">
      <c r="A57" s="1100" t="s">
        <v>496</v>
      </c>
      <c r="B57" s="593" t="e">
        <f t="shared" si="17"/>
        <v>#DIV/0!</v>
      </c>
      <c r="C57" s="531">
        <f t="shared" si="16"/>
        <v>0.3</v>
      </c>
      <c r="D57" s="2386">
        <v>0.25</v>
      </c>
      <c r="E57" s="592">
        <f>'数据-汇总表'!E12</f>
        <v>0</v>
      </c>
      <c r="F57" s="1098" t="e">
        <f t="shared" si="15"/>
        <v>#DIV/0!</v>
      </c>
      <c r="G57" s="2186" t="s">
        <v>140</v>
      </c>
      <c r="H57" s="2180" t="str">
        <f>IF(G57="商业",项目基本情况!B37,IF(G57="办公",项目基本情况!C37,IF(G57="住宅",项目基本情况!D37,项目基本情况!E37)))</f>
        <v>二级</v>
      </c>
      <c r="I57" s="1767">
        <f>SUMIF(修正!A45:A56,H57,修正!G45:G56)</f>
        <v>0.3</v>
      </c>
      <c r="J57" s="1768"/>
      <c r="K57" s="2354"/>
      <c r="L57" s="1766"/>
      <c r="M57" s="1766"/>
      <c r="N57" s="1766"/>
      <c r="O57" s="1766"/>
    </row>
    <row r="58" spans="1:17" s="1099" customFormat="1">
      <c r="A58" s="1100" t="s">
        <v>497</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498</v>
      </c>
      <c r="B59" s="593" t="e">
        <f t="shared" si="17"/>
        <v>#DIV/0!</v>
      </c>
      <c r="C59" s="531">
        <f t="shared" si="16"/>
        <v>0.25</v>
      </c>
      <c r="D59" s="2386">
        <v>0.25</v>
      </c>
      <c r="E59" s="592">
        <f>'数据-汇总表'!E14</f>
        <v>0</v>
      </c>
      <c r="F59" s="1098" t="e">
        <f t="shared" si="15"/>
        <v>#DIV/0!</v>
      </c>
      <c r="G59" s="2190" t="s">
        <v>2320</v>
      </c>
      <c r="H59" s="2180" t="str">
        <f>项目基本情况!B37</f>
        <v>二级</v>
      </c>
      <c r="I59" s="1767">
        <f>SUMIF(修正!A45:A56,H59,修正!H45:H56)</f>
        <v>0.25</v>
      </c>
      <c r="J59" s="1768"/>
      <c r="K59" s="2354"/>
      <c r="L59" s="1766"/>
      <c r="M59" s="1766"/>
      <c r="N59" s="1766"/>
      <c r="O59" s="1766"/>
    </row>
    <row r="60" spans="1:17" s="1099" customFormat="1" ht="15" thickBot="1">
      <c r="A60" s="1100" t="s">
        <v>499</v>
      </c>
      <c r="B60" s="593" t="e">
        <f t="shared" si="17"/>
        <v>#DIV/0!</v>
      </c>
      <c r="C60" s="531">
        <f t="shared" si="16"/>
        <v>0.25</v>
      </c>
      <c r="D60" s="2386">
        <v>0.25</v>
      </c>
      <c r="E60" s="592">
        <f>'数据-汇总表'!E15</f>
        <v>18631.559999999998</v>
      </c>
      <c r="F60" s="1098" t="e">
        <f t="shared" si="15"/>
        <v>#DIV/0!</v>
      </c>
      <c r="G60" s="2191" t="s">
        <v>2319</v>
      </c>
      <c r="H60" s="2192" t="str">
        <f>项目基本情况!C37</f>
        <v>二级</v>
      </c>
      <c r="I60" s="1767">
        <f>SUMIF(修正!A45:A56,H60,修正!H45:H56)</f>
        <v>0.25</v>
      </c>
      <c r="J60" s="1768"/>
      <c r="K60" s="2353"/>
      <c r="L60" s="1766"/>
      <c r="M60" s="1766"/>
      <c r="N60" s="1766"/>
      <c r="O60" s="1766"/>
    </row>
    <row r="61" spans="1:17" s="1099" customFormat="1" ht="15" thickBot="1">
      <c r="A61" s="1102" t="s">
        <v>500</v>
      </c>
      <c r="B61" s="1103" t="s">
        <v>155</v>
      </c>
      <c r="C61" s="1103" t="s">
        <v>156</v>
      </c>
      <c r="D61" s="1103" t="s">
        <v>2325</v>
      </c>
      <c r="E61" s="1103">
        <f>IF(B41="楼面地价",SUM(E51:E60),'数据-汇总表'!D3)</f>
        <v>15644.81</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411</v>
      </c>
      <c r="B64" s="1305"/>
      <c r="C64" s="1310"/>
      <c r="D64" s="1310"/>
      <c r="E64" s="1310"/>
      <c r="F64" s="1311"/>
      <c r="G64" s="1311"/>
      <c r="H64" s="1310"/>
      <c r="I64" s="1310"/>
      <c r="J64" s="1310"/>
      <c r="K64" s="1312"/>
      <c r="L64" s="1313"/>
      <c r="M64" s="1310"/>
      <c r="N64" s="1310"/>
      <c r="O64" s="2369"/>
      <c r="P64" s="844"/>
      <c r="Q64" s="845"/>
    </row>
    <row r="65" spans="1:17" s="849" customFormat="1" ht="15">
      <c r="A65" s="2697" t="s">
        <v>2791</v>
      </c>
      <c r="B65" s="2698"/>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8"/>
    </row>
    <row r="66" spans="1:17" s="406" customFormat="1" ht="30.75" customHeight="1">
      <c r="A66" s="3024" t="s">
        <v>2790</v>
      </c>
      <c r="B66" s="663" t="str">
        <f>"北京市平均增长率"&amp;TEXT(基准地价修正!P24,"0.00%")</f>
        <v>北京市平均增长率1.37%</v>
      </c>
      <c r="C66" s="944">
        <v>100</v>
      </c>
      <c r="D66" s="936"/>
      <c r="E66" s="936"/>
      <c r="F66" s="936"/>
      <c r="G66" s="936"/>
      <c r="H66" s="936"/>
      <c r="I66" s="936"/>
      <c r="J66" s="936"/>
      <c r="K66" s="936"/>
      <c r="L66" s="936"/>
      <c r="M66" s="3022"/>
      <c r="N66" s="3022"/>
      <c r="O66" s="3025"/>
      <c r="P66" s="845"/>
    </row>
    <row r="67" spans="1:17" s="406" customFormat="1" ht="15.75" thickBot="1">
      <c r="A67" s="856" t="s">
        <v>412</v>
      </c>
      <c r="B67" s="857"/>
      <c r="C67" s="858"/>
      <c r="D67" s="859"/>
      <c r="E67" s="859"/>
      <c r="F67" s="859"/>
      <c r="G67" s="859"/>
      <c r="H67" s="859"/>
      <c r="I67" s="859"/>
      <c r="J67" s="859"/>
      <c r="K67" s="859"/>
      <c r="L67" s="859"/>
      <c r="M67" s="860"/>
      <c r="N67" s="860"/>
      <c r="O67" s="861"/>
      <c r="P67" s="845"/>
      <c r="Q67" s="845"/>
    </row>
    <row r="68" spans="1:17" s="406" customFormat="1" ht="15">
      <c r="A68" s="862" t="s">
        <v>396</v>
      </c>
      <c r="B68" s="851"/>
      <c r="C68" s="863" t="s">
        <v>413</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414</v>
      </c>
      <c r="B70" s="869" t="s">
        <v>415</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400</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92</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402</v>
      </c>
      <c r="B83" s="286" t="s">
        <v>158</v>
      </c>
      <c r="C83" s="914" t="s">
        <v>421</v>
      </c>
      <c r="D83" s="914" t="s">
        <v>422</v>
      </c>
      <c r="E83" s="914" t="s">
        <v>423</v>
      </c>
      <c r="F83" s="914" t="s">
        <v>424</v>
      </c>
      <c r="G83" s="914" t="s">
        <v>425</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91</v>
      </c>
      <c r="C85" s="919" t="s">
        <v>421</v>
      </c>
      <c r="D85" s="919" t="s">
        <v>422</v>
      </c>
      <c r="E85" s="919" t="s">
        <v>423</v>
      </c>
      <c r="F85" s="919" t="s">
        <v>424</v>
      </c>
      <c r="G85" s="919" t="s">
        <v>425</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108</v>
      </c>
      <c r="C87" s="914" t="s">
        <v>421</v>
      </c>
      <c r="D87" s="914" t="s">
        <v>422</v>
      </c>
      <c r="E87" s="914" t="s">
        <v>423</v>
      </c>
      <c r="F87" s="914" t="s">
        <v>424</v>
      </c>
      <c r="G87" s="914" t="s">
        <v>425</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153</v>
      </c>
      <c r="C89" s="914" t="s">
        <v>421</v>
      </c>
      <c r="D89" s="914" t="s">
        <v>422</v>
      </c>
      <c r="E89" s="914" t="s">
        <v>423</v>
      </c>
      <c r="F89" s="914" t="s">
        <v>424</v>
      </c>
      <c r="G89" s="914" t="s">
        <v>425</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2668</v>
      </c>
      <c r="C91" s="914" t="s">
        <v>421</v>
      </c>
      <c r="D91" s="914" t="s">
        <v>422</v>
      </c>
      <c r="E91" s="914" t="s">
        <v>423</v>
      </c>
      <c r="F91" s="914" t="s">
        <v>424</v>
      </c>
      <c r="G91" s="914" t="s">
        <v>425</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2670</v>
      </c>
      <c r="C93" s="213" t="s">
        <v>2656</v>
      </c>
      <c r="D93" s="213" t="s">
        <v>2657</v>
      </c>
      <c r="E93" s="213" t="s">
        <v>2658</v>
      </c>
      <c r="F93" s="213" t="s">
        <v>2659</v>
      </c>
      <c r="G93" s="213" t="s">
        <v>2660</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504</v>
      </c>
      <c r="D95" s="880" t="s">
        <v>505</v>
      </c>
      <c r="E95" s="880" t="s">
        <v>506</v>
      </c>
      <c r="F95" s="880" t="s">
        <v>507</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143</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152</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404</v>
      </c>
      <c r="B107" s="286" t="s">
        <v>86</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1" t="str">
        <f t="shared" si="25"/>
        <v>(含)-</v>
      </c>
      <c r="L107" s="3291" t="str">
        <f t="shared" si="25"/>
        <v>(含)-</v>
      </c>
      <c r="M107" s="3292"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85</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2502</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84</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1796</v>
      </c>
      <c r="B1" s="1472"/>
      <c r="C1" s="86" t="s">
        <v>2503</v>
      </c>
      <c r="D1" s="1731">
        <f>SUM(D29:D30,D33:D39)</f>
        <v>0</v>
      </c>
      <c r="E1" s="1616"/>
      <c r="F1" s="1616"/>
      <c r="G1" s="1616"/>
      <c r="H1" s="1616"/>
      <c r="I1" s="1616"/>
      <c r="J1" s="1616"/>
      <c r="K1" s="2373"/>
      <c r="L1" s="1877" t="s">
        <v>1228</v>
      </c>
      <c r="M1" s="2130">
        <f>SUMPRODUCT((区片价!B5:B9=I2)*(区片价!C3:F3=E2)*(区片价!C5:F9))</f>
        <v>0</v>
      </c>
      <c r="N1" s="2133">
        <f>SUMPRODUCT((因素修正幅度!B5:B9=I2)*(因素修正幅度!C3:F3=E2)*(因素修正幅度!C5:F9))</f>
        <v>0</v>
      </c>
      <c r="O1" s="2377"/>
      <c r="P1" s="2377"/>
      <c r="Q1" s="2373"/>
      <c r="R1" s="3063" t="s">
        <v>2890</v>
      </c>
      <c r="S1" s="3063" t="s">
        <v>2891</v>
      </c>
      <c r="T1" s="3063" t="s">
        <v>2892</v>
      </c>
      <c r="U1" s="3063" t="s">
        <v>2893</v>
      </c>
      <c r="V1" s="3063" t="s">
        <v>2894</v>
      </c>
      <c r="W1" s="3064"/>
      <c r="X1" s="3064"/>
      <c r="Y1" s="3064"/>
      <c r="Z1" s="3064"/>
      <c r="AA1" s="3064"/>
      <c r="AB1" s="3064"/>
      <c r="AC1" s="3065"/>
      <c r="AD1" s="3066"/>
      <c r="AE1" s="3066"/>
      <c r="AF1" s="3066"/>
      <c r="AG1" s="3066"/>
      <c r="AH1" s="3066"/>
      <c r="AI1" s="3066"/>
      <c r="AJ1" s="3067"/>
    </row>
    <row r="2" spans="1:36" ht="15.75">
      <c r="A2" s="86" t="s">
        <v>1797</v>
      </c>
      <c r="B2" s="579" t="e">
        <f>C26</f>
        <v>#DIV/0!</v>
      </c>
      <c r="C2" s="1470" t="s">
        <v>1138</v>
      </c>
      <c r="D2" s="1621" t="s">
        <v>1798</v>
      </c>
      <c r="E2" s="1775"/>
      <c r="F2" s="1621" t="s">
        <v>1799</v>
      </c>
      <c r="G2" s="1598">
        <f>IF(E2="商业",项目基本情况!B37,IF(E2="办公",项目基本情况!C37,IF(E2="住宅",项目基本情况!D37,项目基本情况!E37)))</f>
        <v>0</v>
      </c>
      <c r="H2" s="1621" t="s">
        <v>1800</v>
      </c>
      <c r="I2" s="1598">
        <f>IF(E2="商业",项目基本情况!B38,IF(E2="办公",项目基本情况!C38,IF(E2="住宅",项目基本情况!D38,项目基本情况!E38)))</f>
        <v>0</v>
      </c>
      <c r="J2" s="1622"/>
      <c r="K2" s="2373"/>
      <c r="L2" s="1878" t="s">
        <v>1285</v>
      </c>
      <c r="M2" s="2131">
        <f>SUMPRODUCT((区片价!B10:B28=I2)*(区片价!C3:F3=E2)*(区片价!C10:F28))</f>
        <v>0</v>
      </c>
      <c r="N2" s="2133">
        <f>SUMPRODUCT((因素修正幅度!B10:B28=I2)*(因素修正幅度!C3:F3=E2)*(因素修正幅度!C10:F28))</f>
        <v>0</v>
      </c>
      <c r="O2" s="2373"/>
      <c r="P2" s="2373"/>
      <c r="Q2" s="2373"/>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1801</v>
      </c>
      <c r="B3" s="579" t="e">
        <f>ROUND(B2*10000/D1,0)</f>
        <v>#DIV/0!</v>
      </c>
      <c r="C3" s="1470" t="s">
        <v>1802</v>
      </c>
      <c r="D3" s="1621" t="s">
        <v>1141</v>
      </c>
      <c r="E3" s="1776"/>
      <c r="F3" s="1777" t="s">
        <v>3025</v>
      </c>
      <c r="G3" s="1623">
        <f>IF(F3="宗地容积率",'数据-汇总表'!I4,IF(F3="估价对象容积率",'数据-汇总表'!I6,'数据-汇总表'!I7))</f>
        <v>3.5</v>
      </c>
      <c r="H3" s="1624" t="s">
        <v>1142</v>
      </c>
      <c r="I3" s="1778"/>
      <c r="J3" s="1622" t="s">
        <v>1143</v>
      </c>
      <c r="K3" s="2373"/>
      <c r="L3" s="1878" t="s">
        <v>1458</v>
      </c>
      <c r="M3" s="2131">
        <f>SUMPRODUCT((区片价!B29:B48=I2)*(区片价!C3:F3=E2)*(区片价!C29:F48))</f>
        <v>0</v>
      </c>
      <c r="N3" s="2133">
        <f>SUMPRODUCT((因素修正幅度!B29:B48=I2)*(因素修正幅度!C3:F3=E2)*(因素修正幅度!C29:F48))</f>
        <v>0</v>
      </c>
      <c r="O3" s="2373"/>
      <c r="P3" s="2373"/>
      <c r="Q3" s="2373"/>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16"/>
      <c r="B4" s="3717"/>
      <c r="C4" s="3717"/>
      <c r="D4" s="3718"/>
      <c r="E4" s="3718"/>
      <c r="F4" s="3718"/>
      <c r="G4" s="3718"/>
      <c r="H4" s="3718"/>
      <c r="I4" s="3718"/>
      <c r="J4" s="3719"/>
      <c r="K4" s="2373"/>
      <c r="L4" s="1878" t="s">
        <v>1139</v>
      </c>
      <c r="M4" s="2131">
        <f>SUMPRODUCT((区片价!B49:B75=I2)*(区片价!C3:F3=E2)*(区片价!C49:F75))</f>
        <v>0</v>
      </c>
      <c r="N4" s="2133">
        <f>SUMPRODUCT((因素修正幅度!B49:B75=I2)*(因素修正幅度!C3:F3=E2)*(因素修正幅度!C49:F75))</f>
        <v>0</v>
      </c>
      <c r="O4" s="2373"/>
      <c r="P4" s="2373"/>
      <c r="Q4" s="2373"/>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1" customFormat="1" ht="15.75" thickBot="1">
      <c r="A5" s="1871" t="s">
        <v>1939</v>
      </c>
      <c r="B5" s="1625" t="s">
        <v>1803</v>
      </c>
      <c r="C5" s="1626" t="e">
        <f>ROUND(IF(E2="商业",IF(F16="增加",C6*C7+C16,C6*C7-C16),IF(E2="住宅",IF(F16="增加",C6*C12+C16,C6*C12-C16),IF(F16="增加",C6+C16,C6-C16))),0)</f>
        <v>#DIV/0!</v>
      </c>
      <c r="D5" s="3338">
        <f>ROUND(IF(E2="商业",IF(F16="增加",C6+C16,C6-C16)),0)</f>
        <v>0</v>
      </c>
      <c r="E5" s="1627"/>
      <c r="F5" s="1627"/>
      <c r="G5" s="1628"/>
      <c r="H5" s="1628"/>
      <c r="I5" s="1628"/>
      <c r="J5" s="1629"/>
      <c r="K5" s="2378"/>
      <c r="L5" s="1878" t="s">
        <v>1539</v>
      </c>
      <c r="M5" s="2131">
        <f>SUMPRODUCT((区片价!B76:B109=I2)*(区片价!C3:F3=E2)*(区片价!C76:F109))</f>
        <v>0</v>
      </c>
      <c r="N5" s="2133">
        <f>SUMPRODUCT((因素修正幅度!B76:B109=I2)*(因素修正幅度!C3:F3=E2)*(因素修正幅度!C76:F109))</f>
        <v>0</v>
      </c>
      <c r="O5" s="2373"/>
      <c r="P5" s="2373"/>
      <c r="Q5" s="2373"/>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5" t="s">
        <v>1946</v>
      </c>
      <c r="B6" s="1632" t="s">
        <v>1803</v>
      </c>
      <c r="C6" s="1633">
        <f>SUMIF(L1:L12,G2,M1:M12)</f>
        <v>0</v>
      </c>
      <c r="D6" s="1634" t="s">
        <v>1804</v>
      </c>
      <c r="E6" s="1635"/>
      <c r="F6" s="1635"/>
      <c r="G6" s="1636"/>
      <c r="H6" s="1636"/>
      <c r="I6" s="1636"/>
      <c r="J6" s="1637"/>
      <c r="K6" s="2379"/>
      <c r="L6" s="1878" t="s">
        <v>201</v>
      </c>
      <c r="M6" s="2131">
        <f>SUMPRODUCT((区片价!B110:B157=I2)*(区片价!C3:F3=E2)*(区片价!C110:F157))</f>
        <v>0</v>
      </c>
      <c r="N6" s="2133">
        <f>SUMPRODUCT((因素修正幅度!B110:B157=I2)*(因素修正幅度!C3:F3=E2)*(因素修正幅度!C110:F157))</f>
        <v>0</v>
      </c>
      <c r="O6" s="2373"/>
      <c r="P6" s="2373"/>
      <c r="Q6" s="2373"/>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0" t="str">
        <f>IF(E2="商业",IF(C8="不临58条商业街","",2),"")</f>
        <v/>
      </c>
      <c r="B7" s="1638" t="s">
        <v>1805</v>
      </c>
      <c r="C7" s="1639" t="e">
        <f>IF(C8="不临58条商业街",1,ROUND(1+(1.6*E8+1.2*E9+0.8*E10+0.4*E11)*C9,4))</f>
        <v>#DIV/0!</v>
      </c>
      <c r="D7" s="1640" t="s">
        <v>1806</v>
      </c>
      <c r="E7" s="1779"/>
      <c r="F7" s="1641"/>
      <c r="G7" s="1642"/>
      <c r="H7" s="1642"/>
      <c r="I7" s="1642"/>
      <c r="J7" s="1643"/>
      <c r="K7" s="2379"/>
      <c r="L7" s="1878" t="s">
        <v>1542</v>
      </c>
      <c r="M7" s="2131">
        <f>SUMPRODUCT((区片价!B158:B205=I2)*(区片价!C3:F3=E2)*(区片价!C158:F205))</f>
        <v>0</v>
      </c>
      <c r="N7" s="2133">
        <f>SUMPRODUCT((因素修正幅度!B158:B205=I2)*(因素修正幅度!C3:F3=E2)*(因素修正幅度!C158:F205))</f>
        <v>0</v>
      </c>
      <c r="O7" s="2373"/>
      <c r="P7" s="2373"/>
      <c r="Q7" s="2373"/>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2895</v>
      </c>
      <c r="X7" s="3074">
        <f>G2</f>
        <v>0</v>
      </c>
      <c r="Y7" s="3074" t="s">
        <v>2896</v>
      </c>
      <c r="Z7" s="3075">
        <f>G3</f>
        <v>3.5</v>
      </c>
      <c r="AA7" s="3076"/>
      <c r="AB7" s="3076"/>
      <c r="AC7" s="3077"/>
      <c r="AD7" s="3078"/>
      <c r="AE7" s="3078"/>
      <c r="AF7" s="3078"/>
      <c r="AG7" s="3078"/>
      <c r="AH7" s="3078"/>
      <c r="AI7" s="3078"/>
      <c r="AJ7" s="3079"/>
    </row>
    <row r="8" spans="1:36" ht="15">
      <c r="A8" s="3701"/>
      <c r="B8" s="1624" t="s">
        <v>1807</v>
      </c>
      <c r="C8" s="1780"/>
      <c r="D8" s="1644" t="s">
        <v>1144</v>
      </c>
      <c r="E8" s="1645" t="e">
        <f>ROUND(C11/E7,4)</f>
        <v>#DIV/0!</v>
      </c>
      <c r="F8" s="1646" t="s">
        <v>1808</v>
      </c>
      <c r="G8" s="1647"/>
      <c r="H8" s="1647"/>
      <c r="I8" s="1647"/>
      <c r="J8" s="1648"/>
      <c r="K8" s="2373"/>
      <c r="L8" s="1878" t="s">
        <v>1544</v>
      </c>
      <c r="M8" s="2131">
        <f>SUMPRODUCT((区片价!B206:B244=I2)*(区片价!C3:F3=E2)*(区片价!C206:F244))</f>
        <v>0</v>
      </c>
      <c r="N8" s="2133">
        <f>SUMPRODUCT((因素修正幅度!B206:B244=I2)*(因素修正幅度!C3:F3=E2)*(因素修正幅度!C206:F244))</f>
        <v>0</v>
      </c>
      <c r="O8" s="2373"/>
      <c r="P8" s="2373"/>
      <c r="Q8" s="2373"/>
      <c r="R8" s="3068">
        <v>7</v>
      </c>
      <c r="S8" s="3069"/>
      <c r="T8" s="3068" t="e">
        <f t="shared" si="0"/>
        <v>#DIV/0!</v>
      </c>
      <c r="U8" s="3069"/>
      <c r="V8" s="3068" t="e">
        <f t="shared" si="1"/>
        <v>#DIV/0!</v>
      </c>
      <c r="W8" s="3713" t="s">
        <v>2897</v>
      </c>
      <c r="X8" s="3714"/>
      <c r="Y8" s="3080" t="s">
        <v>163</v>
      </c>
      <c r="Z8" s="3080" t="s">
        <v>164</v>
      </c>
      <c r="AA8" s="3080" t="s">
        <v>159</v>
      </c>
      <c r="AB8" s="3080" t="s">
        <v>160</v>
      </c>
      <c r="AC8" s="3080" t="s">
        <v>161</v>
      </c>
      <c r="AD8" s="3080" t="s">
        <v>162</v>
      </c>
      <c r="AE8" s="3080" t="s">
        <v>1179</v>
      </c>
      <c r="AF8" s="3080" t="s">
        <v>1180</v>
      </c>
      <c r="AG8" s="3080" t="s">
        <v>1181</v>
      </c>
      <c r="AH8" s="3080" t="s">
        <v>1182</v>
      </c>
      <c r="AI8" s="3080" t="s">
        <v>1183</v>
      </c>
      <c r="AJ8" s="3080" t="s">
        <v>1184</v>
      </c>
    </row>
    <row r="9" spans="1:36" ht="15">
      <c r="A9" s="3701"/>
      <c r="B9" s="1624" t="s">
        <v>1809</v>
      </c>
      <c r="C9" s="1649">
        <f>SUMIF(修正!C59:C119,C8,修正!E59:E119)</f>
        <v>0</v>
      </c>
      <c r="D9" s="531" t="s">
        <v>1145</v>
      </c>
      <c r="E9" s="531" t="e">
        <f>ROUND(C11/E7,4)</f>
        <v>#DIV/0!</v>
      </c>
      <c r="F9" s="1646" t="s">
        <v>1810</v>
      </c>
      <c r="G9" s="1647"/>
      <c r="H9" s="1647"/>
      <c r="I9" s="1647"/>
      <c r="J9" s="1648"/>
      <c r="K9" s="2373"/>
      <c r="L9" s="1878" t="s">
        <v>1546</v>
      </c>
      <c r="M9" s="2131">
        <f>SUMPRODUCT((区片价!B245:B289=I2)*(区片价!C3:F3=E2)*(区片价!C245:F289))</f>
        <v>0</v>
      </c>
      <c r="N9" s="2133">
        <f>SUMPRODUCT((因素修正幅度!B245:B289=I2)*(因素修正幅度!C3:F3=E2)*(因素修正幅度!C245:F289))</f>
        <v>0</v>
      </c>
      <c r="O9" s="2373"/>
      <c r="P9" s="2373"/>
      <c r="Q9" s="2373"/>
      <c r="R9" s="3068">
        <v>8</v>
      </c>
      <c r="S9" s="3069"/>
      <c r="T9" s="3068" t="e">
        <f t="shared" si="0"/>
        <v>#DIV/0!</v>
      </c>
      <c r="U9" s="3069"/>
      <c r="V9" s="3068" t="e">
        <f t="shared" si="1"/>
        <v>#DIV/0!</v>
      </c>
      <c r="W9" s="3715" t="s">
        <v>2898</v>
      </c>
      <c r="X9" s="3081" t="s">
        <v>1766</v>
      </c>
      <c r="Y9" s="3305"/>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1"/>
      <c r="B10" s="1624" t="s">
        <v>1811</v>
      </c>
      <c r="C10" s="531">
        <f>SUMIF(修正!C59:C119,C8,修正!F59:F119)</f>
        <v>0</v>
      </c>
      <c r="D10" s="531" t="s">
        <v>1146</v>
      </c>
      <c r="E10" s="531" t="e">
        <f>ROUND(C11/E7,4)</f>
        <v>#DIV/0!</v>
      </c>
      <c r="F10" s="1646" t="s">
        <v>1812</v>
      </c>
      <c r="G10" s="1647"/>
      <c r="H10" s="1647"/>
      <c r="I10" s="1647"/>
      <c r="J10" s="1648"/>
      <c r="K10" s="2373"/>
      <c r="L10" s="1878" t="s">
        <v>1550</v>
      </c>
      <c r="M10" s="2131">
        <f>SUMPRODUCT((区片价!B290:B316=I2)*(区片价!C3:F3=E2)*(区片价!C290:F316))</f>
        <v>0</v>
      </c>
      <c r="N10" s="2133">
        <f>SUMPRODUCT((因素修正幅度!B290:B316=I2)*(因素修正幅度!C3:F3=E2)*(因素修正幅度!C290:F316))</f>
        <v>0</v>
      </c>
      <c r="O10" s="2373"/>
      <c r="P10" s="2373"/>
      <c r="Q10" s="2373"/>
      <c r="R10" s="3068">
        <v>9</v>
      </c>
      <c r="S10" s="3069"/>
      <c r="T10" s="3068" t="e">
        <f t="shared" si="0"/>
        <v>#DIV/0!</v>
      </c>
      <c r="U10" s="3069"/>
      <c r="V10" s="3068" t="e">
        <f t="shared" si="1"/>
        <v>#DIV/0!</v>
      </c>
      <c r="W10" s="3715"/>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1"/>
      <c r="B11" s="1650" t="s">
        <v>1813</v>
      </c>
      <c r="C11" s="1651">
        <f>C10/4</f>
        <v>0</v>
      </c>
      <c r="D11" s="1651" t="s">
        <v>1147</v>
      </c>
      <c r="E11" s="1651" t="e">
        <f>ROUND(C11/E7,4)</f>
        <v>#DIV/0!</v>
      </c>
      <c r="F11" s="1652" t="s">
        <v>1814</v>
      </c>
      <c r="G11" s="1653"/>
      <c r="H11" s="1653"/>
      <c r="I11" s="1653"/>
      <c r="J11" s="1654"/>
      <c r="K11" s="2373"/>
      <c r="L11" s="1878" t="s">
        <v>1949</v>
      </c>
      <c r="M11" s="2131">
        <f>SUMPRODUCT((区片价!B317:B337=I2)*(区片价!C3:F3=E2)*(区片价!C317:F337))</f>
        <v>0</v>
      </c>
      <c r="N11" s="2133">
        <f>SUMPRODUCT((因素修正幅度!B317:B337=I2)*(因素修正幅度!C3:F3=E2)*(因素修正幅度!C317:F337))</f>
        <v>0</v>
      </c>
      <c r="O11" s="2373"/>
      <c r="P11" s="2373"/>
      <c r="Q11" s="2373"/>
      <c r="R11" s="3068">
        <v>10</v>
      </c>
      <c r="S11" s="3069"/>
      <c r="T11" s="3068" t="e">
        <f t="shared" si="0"/>
        <v>#DIV/0!</v>
      </c>
      <c r="U11" s="3069"/>
      <c r="V11" s="3068" t="e">
        <f t="shared" si="1"/>
        <v>#DIV/0!</v>
      </c>
      <c r="W11" s="3715" t="s">
        <v>2899</v>
      </c>
      <c r="X11" s="3084" t="s">
        <v>2896</v>
      </c>
      <c r="Y11" s="3085">
        <f>$G$3</f>
        <v>3.5</v>
      </c>
      <c r="Z11" s="3085">
        <f t="shared" ref="Z11:AJ11" si="3">$G$3</f>
        <v>3.5</v>
      </c>
      <c r="AA11" s="3085">
        <f t="shared" si="3"/>
        <v>3.5</v>
      </c>
      <c r="AB11" s="3085">
        <f t="shared" si="3"/>
        <v>3.5</v>
      </c>
      <c r="AC11" s="3085">
        <f t="shared" si="3"/>
        <v>3.5</v>
      </c>
      <c r="AD11" s="3085">
        <f t="shared" si="3"/>
        <v>3.5</v>
      </c>
      <c r="AE11" s="3085">
        <f t="shared" si="3"/>
        <v>3.5</v>
      </c>
      <c r="AF11" s="3085">
        <f t="shared" si="3"/>
        <v>3.5</v>
      </c>
      <c r="AG11" s="3085">
        <f t="shared" si="3"/>
        <v>3.5</v>
      </c>
      <c r="AH11" s="3085">
        <f t="shared" si="3"/>
        <v>3.5</v>
      </c>
      <c r="AI11" s="3085">
        <f t="shared" si="3"/>
        <v>3.5</v>
      </c>
      <c r="AJ11" s="3085">
        <f t="shared" si="3"/>
        <v>3.5</v>
      </c>
    </row>
    <row r="12" spans="1:36" ht="26.25" thickBot="1">
      <c r="A12" s="3700" t="s">
        <v>1947</v>
      </c>
      <c r="B12" s="1655" t="s">
        <v>1815</v>
      </c>
      <c r="C12" s="1639">
        <f>ROUND(C15*D15*E15*F15*G15*H15*I15*J15,4)</f>
        <v>1</v>
      </c>
      <c r="D12" s="1656" t="s">
        <v>1816</v>
      </c>
      <c r="E12" s="1657"/>
      <c r="F12" s="1657"/>
      <c r="G12" s="1658"/>
      <c r="H12" s="1658"/>
      <c r="I12" s="1658"/>
      <c r="J12" s="1659"/>
      <c r="K12" s="2373"/>
      <c r="L12" s="1879" t="s">
        <v>1950</v>
      </c>
      <c r="M12" s="2132">
        <f>SUMPRODUCT((区片价!B338:B344=I2)*(区片价!C3:F3=E2)*(区片价!C338:F344))</f>
        <v>0</v>
      </c>
      <c r="N12" s="2133">
        <f>SUMPRODUCT((因素修正幅度!B338:B344=I2)*(因素修正幅度!C3:F3=E2)*(因素修正幅度!C338:F344))</f>
        <v>0</v>
      </c>
      <c r="O12" s="2373"/>
      <c r="P12" s="2373"/>
      <c r="Q12" s="2373"/>
      <c r="R12" s="3068">
        <v>11</v>
      </c>
      <c r="S12" s="3069"/>
      <c r="T12" s="3068" t="e">
        <f t="shared" si="0"/>
        <v>#DIV/0!</v>
      </c>
      <c r="U12" s="3069"/>
      <c r="V12" s="3068" t="e">
        <f t="shared" si="1"/>
        <v>#DIV/0!</v>
      </c>
      <c r="W12" s="3715"/>
      <c r="X12" s="3086" t="s">
        <v>1769</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20"/>
      <c r="B13" s="1660" t="s">
        <v>1817</v>
      </c>
      <c r="C13" s="1661" t="s">
        <v>1818</v>
      </c>
      <c r="D13" s="1662" t="s">
        <v>1819</v>
      </c>
      <c r="E13" s="1662" t="s">
        <v>1820</v>
      </c>
      <c r="F13" s="81" t="s">
        <v>1148</v>
      </c>
      <c r="G13" s="1781" t="s">
        <v>1871</v>
      </c>
      <c r="H13" s="1781" t="s">
        <v>1871</v>
      </c>
      <c r="I13" s="1781" t="s">
        <v>1871</v>
      </c>
      <c r="J13" s="1782" t="s">
        <v>1871</v>
      </c>
      <c r="K13" s="2373"/>
      <c r="L13" s="2373"/>
      <c r="M13" s="2373"/>
      <c r="N13" s="2373"/>
      <c r="O13" s="2373"/>
      <c r="P13" s="2373"/>
      <c r="Q13" s="2373"/>
      <c r="R13" s="3068">
        <v>12</v>
      </c>
      <c r="S13" s="3069"/>
      <c r="T13" s="3068" t="e">
        <f t="shared" si="0"/>
        <v>#DIV/0!</v>
      </c>
      <c r="U13" s="3069"/>
      <c r="V13" s="3068" t="e">
        <f t="shared" si="1"/>
        <v>#DIV/0!</v>
      </c>
      <c r="W13" s="3715"/>
      <c r="X13" s="3086"/>
      <c r="Y13" s="3083">
        <f>(-0.163*(Y12^2)-0.59*Y12+7617)*(10^(-4))/Y11</f>
        <v>0.21762857142857145</v>
      </c>
      <c r="Z13" s="3083">
        <f t="shared" ref="Z13:AJ13" si="5">(-0.163*(Z12^2)-0.59*Z12+7617)*(10^(-4))/Z11</f>
        <v>0.21762857142857145</v>
      </c>
      <c r="AA13" s="3083">
        <f t="shared" si="5"/>
        <v>0.21762857142857145</v>
      </c>
      <c r="AB13" s="3083">
        <f t="shared" si="5"/>
        <v>0.21762857142857145</v>
      </c>
      <c r="AC13" s="3083">
        <f t="shared" si="5"/>
        <v>0.21762857142857145</v>
      </c>
      <c r="AD13" s="3083">
        <f t="shared" si="5"/>
        <v>0.21762857142857145</v>
      </c>
      <c r="AE13" s="3083">
        <f t="shared" si="5"/>
        <v>0.21762857142857145</v>
      </c>
      <c r="AF13" s="3083">
        <f t="shared" si="5"/>
        <v>0.21762857142857145</v>
      </c>
      <c r="AG13" s="3083">
        <f t="shared" si="5"/>
        <v>0.21762857142857145</v>
      </c>
      <c r="AH13" s="3083">
        <f t="shared" si="5"/>
        <v>0.21762857142857145</v>
      </c>
      <c r="AI13" s="3083">
        <f t="shared" si="5"/>
        <v>0.21762857142857145</v>
      </c>
      <c r="AJ13" s="3083">
        <f t="shared" si="5"/>
        <v>0.21762857142857145</v>
      </c>
    </row>
    <row r="14" spans="1:36" ht="15">
      <c r="A14" s="3720"/>
      <c r="B14" s="1663"/>
      <c r="C14" s="1783"/>
      <c r="D14" s="1480"/>
      <c r="E14" s="1480"/>
      <c r="F14" s="1784"/>
      <c r="G14" s="1664" t="s">
        <v>1848</v>
      </c>
      <c r="H14" s="1665"/>
      <c r="I14" s="1666"/>
      <c r="J14" s="1667"/>
      <c r="K14" s="2373"/>
      <c r="L14" s="2373"/>
      <c r="M14" s="2373"/>
      <c r="N14" s="2373"/>
      <c r="O14" s="2373"/>
      <c r="P14" s="2373"/>
      <c r="Q14" s="2373"/>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21"/>
      <c r="B15" s="1668" t="s">
        <v>1821</v>
      </c>
      <c r="C15" s="560">
        <f>IF(C14="有",1.1,1)</f>
        <v>1</v>
      </c>
      <c r="D15" s="560">
        <f>IF(D14="有",1.1,1)</f>
        <v>1</v>
      </c>
      <c r="E15" s="560">
        <f>IF(E14="有",1.1,1)</f>
        <v>1</v>
      </c>
      <c r="F15" s="560">
        <f>IF(F14="500米范围内",1.2,IF(F14="500-1000米",1.1,1))</f>
        <v>1</v>
      </c>
      <c r="G15" s="1785">
        <v>1</v>
      </c>
      <c r="H15" s="1785">
        <v>1</v>
      </c>
      <c r="I15" s="1785">
        <v>1</v>
      </c>
      <c r="J15" s="1786">
        <v>1</v>
      </c>
      <c r="K15" s="2373"/>
      <c r="L15" s="1699" t="s">
        <v>1837</v>
      </c>
      <c r="M15" s="1700" t="s">
        <v>1838</v>
      </c>
      <c r="N15" s="1700" t="s">
        <v>1839</v>
      </c>
      <c r="O15" s="1700" t="s">
        <v>979</v>
      </c>
      <c r="P15" s="1701" t="s">
        <v>1840</v>
      </c>
      <c r="Q15" s="2373"/>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0" t="s">
        <v>1948</v>
      </c>
      <c r="B16" s="1638" t="s">
        <v>1822</v>
      </c>
      <c r="C16" s="1771" t="e">
        <f>ROUND(SUM(G17:J17)/C17,0)</f>
        <v>#DIV/0!</v>
      </c>
      <c r="D16" s="1669" t="s">
        <v>1823</v>
      </c>
      <c r="E16" s="1787"/>
      <c r="F16" s="1788"/>
      <c r="G16" s="1789"/>
      <c r="H16" s="1789"/>
      <c r="I16" s="1789"/>
      <c r="J16" s="1790"/>
      <c r="K16" s="2373"/>
      <c r="L16" s="1705" t="s">
        <v>1842</v>
      </c>
      <c r="M16" s="1649">
        <v>0.25</v>
      </c>
      <c r="N16" s="1649">
        <v>0.2</v>
      </c>
      <c r="O16" s="1649">
        <v>0.15</v>
      </c>
      <c r="P16" s="2723">
        <v>0.1</v>
      </c>
      <c r="Q16" s="2724"/>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1"/>
      <c r="B17" s="1670" t="s">
        <v>1824</v>
      </c>
      <c r="C17" s="1671">
        <f>SUMPRODUCT((修正!A2:A5=E2)*(修正!B1:M1=G2)*(修正!B2:M5))</f>
        <v>0</v>
      </c>
      <c r="D17" s="1672" t="s">
        <v>1825</v>
      </c>
      <c r="E17" s="1742" t="str">
        <f>IF(OR(G2="八级",G2="九级",G2="十级",G2="十一级",G2="十二级"),"五通一平","七通一平")</f>
        <v>七通一平</v>
      </c>
      <c r="F17" s="1673" t="s">
        <v>1826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1831</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1940</v>
      </c>
      <c r="B18" s="1675" t="s">
        <v>1827</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1941</v>
      </c>
      <c r="B19" s="1675" t="s">
        <v>1828</v>
      </c>
      <c r="C19" s="1684" t="e">
        <f>ROUND(IF(H19="按公示增长率计算",SUMPRODUCT((地价!A3:A19=YEAR(G19)&amp;"-"&amp;ROUNDUP(MONTH(G19)/3,0))*(地价!X2:AB2=E2)*(地价!X3:AB19)),IF(H19="地价指数",M20/M19,(1+I19)^O19)),4)</f>
        <v>#DIV/0!</v>
      </c>
      <c r="D19" s="1685" t="s">
        <v>1149</v>
      </c>
      <c r="E19" s="1686">
        <v>41640</v>
      </c>
      <c r="F19" s="1685" t="s">
        <v>1150</v>
      </c>
      <c r="G19" s="1687">
        <f>'数据-取费表'!B2</f>
        <v>43007</v>
      </c>
      <c r="H19" s="3010" t="s">
        <v>2958</v>
      </c>
      <c r="I19" s="1688" t="str">
        <f>IF(H19="季度增幅（自定义）",SUMIF(N21:N24,E2,O21:O24),"")</f>
        <v/>
      </c>
      <c r="J19" s="1681"/>
      <c r="K19" s="2380"/>
      <c r="L19" s="3236" t="s">
        <v>2956</v>
      </c>
      <c r="M19" s="3238">
        <f>ROUND(SUMIF(地价!B2:F2,E2,地价!B19:F19),0)</f>
        <v>0</v>
      </c>
      <c r="N19" s="3234" t="s">
        <v>1873</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1942</v>
      </c>
      <c r="B20" s="1744" t="s">
        <v>1829</v>
      </c>
      <c r="C20" s="1691" t="e">
        <f>ROUND(POWER(1+G20,J20-I20)*(POWER(1+G20,I20)-1)/(POWER(1+G20,J20)-1),4)</f>
        <v>#DIV/0!</v>
      </c>
      <c r="D20" s="1745" t="s">
        <v>1830</v>
      </c>
      <c r="E20" s="3293">
        <f ca="1">存贷款利率!D4/100</f>
        <v>4.3499999999999997E-2</v>
      </c>
      <c r="F20" s="1745" t="s">
        <v>1831</v>
      </c>
      <c r="G20" s="1746">
        <f>SUMIF(M15:P15,E2,M17:P17)</f>
        <v>0</v>
      </c>
      <c r="H20" s="1745" t="s">
        <v>1832</v>
      </c>
      <c r="I20" s="1747" t="e">
        <f>SUMIF('数据-取费表'!C6:C15,E2,'数据-取费表'!F6:F15)/COUNTIF('数据-取费表'!C6:C15,E2)</f>
        <v>#DIV/0!</v>
      </c>
      <c r="J20" s="1748">
        <f>IF(E2="住宅",70,IF(E2="商业",40,50))</f>
        <v>50</v>
      </c>
      <c r="K20" s="2380"/>
      <c r="L20" s="3237" t="s">
        <v>2957</v>
      </c>
      <c r="M20" s="3239">
        <f>ROUND(SUMPRODUCT((地价!A4:A19=YEAR(G19)&amp;"-"&amp;ROUNDUP(MONTH(G19)/3,0))*(地价!B2:F2=E2)*(地价!B4:F19)),0)</f>
        <v>0</v>
      </c>
      <c r="N20" s="3235" t="s">
        <v>2785</v>
      </c>
      <c r="O20" s="3011" t="s">
        <v>2786</v>
      </c>
      <c r="P20" s="3012" t="s">
        <v>2795</v>
      </c>
      <c r="R20" s="2730"/>
      <c r="S20" s="2730"/>
      <c r="T20" s="2725"/>
      <c r="U20" s="2725"/>
      <c r="V20" s="2725"/>
      <c r="W20" s="2724"/>
      <c r="X20" s="2724"/>
      <c r="Y20" s="2724"/>
      <c r="Z20" s="2731"/>
      <c r="AA20" s="2732"/>
      <c r="AB20" s="2732"/>
      <c r="AC20" s="2732"/>
      <c r="AD20" s="2732"/>
      <c r="AE20" s="1682"/>
      <c r="AF20" s="1682"/>
    </row>
    <row r="21" spans="1:37" s="1631" customFormat="1" ht="14.25">
      <c r="A21" s="1874" t="s">
        <v>1943</v>
      </c>
      <c r="B21" s="1791" t="s">
        <v>2497</v>
      </c>
      <c r="C21" s="1749">
        <f>IF(B21="容积率修正",IF(G3&lt;=10,D22,J22),C23)</f>
        <v>0</v>
      </c>
      <c r="D21" s="1750"/>
      <c r="E21" s="1750"/>
      <c r="F21" s="1750"/>
      <c r="G21" s="1750"/>
      <c r="H21" s="1750"/>
      <c r="I21" s="1750"/>
      <c r="J21" s="1751"/>
      <c r="K21" s="2380"/>
      <c r="N21" s="3013" t="s">
        <v>2787</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1946</v>
      </c>
      <c r="B22" s="1693" t="s">
        <v>1833</v>
      </c>
      <c r="C22" s="1772" t="s">
        <v>1846</v>
      </c>
      <c r="D22" s="1772" t="b">
        <f>IF(E22=G22,F22,IF(G3&lt;=10,ROUND(F22+(H22-F22)*(G3-E22)/(G22-E22),4),"——"))</f>
        <v>0</v>
      </c>
      <c r="E22" s="1623">
        <f>ROUNDDOWN(G3,1)</f>
        <v>3.5</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3.5</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1163</v>
      </c>
      <c r="J22" s="1752" t="str">
        <f>IF(G3&gt;10,D113,"——")</f>
        <v>——</v>
      </c>
      <c r="K22" s="2380"/>
      <c r="N22" s="3013" t="s">
        <v>2788</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1947</v>
      </c>
      <c r="B23" s="1864" t="s">
        <v>1834</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1944</v>
      </c>
      <c r="B24" s="1675" t="s">
        <v>1835</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1945</v>
      </c>
      <c r="B25" s="1696" t="s">
        <v>1836</v>
      </c>
      <c r="C25" s="1697"/>
      <c r="D25" s="1642"/>
      <c r="E25" s="1642"/>
      <c r="F25" s="1698"/>
      <c r="G25" s="1642"/>
      <c r="H25" s="1642"/>
      <c r="I25" s="1642"/>
      <c r="J25" s="1643"/>
      <c r="K25" s="2373"/>
      <c r="N25" s="3020" t="s">
        <v>2789</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1867</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1868</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1866</v>
      </c>
      <c r="C28" s="1714" t="s">
        <v>1841</v>
      </c>
      <c r="D28" s="1714" t="s">
        <v>1857</v>
      </c>
      <c r="E28" s="1715" t="s">
        <v>1858</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1861</v>
      </c>
      <c r="C29" s="537" t="e">
        <f>ROUND(C5*C18*C19*C20*C21*C24,0)</f>
        <v>#DIV/0!</v>
      </c>
      <c r="D29" s="1740"/>
      <c r="E29" s="1774" t="e">
        <f>ROUND(C29*D29/10000,0)</f>
        <v>#DIV/0!</v>
      </c>
      <c r="F29" s="1718" t="s">
        <v>1843</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1862</v>
      </c>
      <c r="C30" s="560" t="e">
        <f>ROUND(IF(E2="工业",C29*M39,C29*M38),0)</f>
        <v>#DIV/0!</v>
      </c>
      <c r="D30" s="1741"/>
      <c r="E30" s="1774" t="e">
        <f>ROUND(C30*D30/10000,0)</f>
        <v>#DIV/0!</v>
      </c>
      <c r="F30" s="1723" t="s">
        <v>1859</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1863</v>
      </c>
      <c r="C31" s="1728" t="s">
        <v>1864</v>
      </c>
      <c r="D31" s="1658"/>
      <c r="E31" s="1728"/>
      <c r="F31" s="1728"/>
      <c r="G31" s="1656" t="s">
        <v>1865</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1841</v>
      </c>
      <c r="D32" s="168" t="s">
        <v>1857</v>
      </c>
      <c r="E32" s="168" t="s">
        <v>1858</v>
      </c>
      <c r="F32" s="1731" t="s">
        <v>1845</v>
      </c>
      <c r="G32" s="1692" t="s">
        <v>1841</v>
      </c>
      <c r="H32" s="1692" t="s">
        <v>1857</v>
      </c>
      <c r="I32" s="1692" t="s">
        <v>1858</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0" t="s">
        <v>3065</v>
      </c>
      <c r="B33" s="1734" t="s">
        <v>1165</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11"/>
      <c r="B34" s="1661" t="s">
        <v>1166</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11"/>
      <c r="B35" s="1661" t="s">
        <v>1167</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12"/>
      <c r="B36" s="1661" t="s">
        <v>1168</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1169</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1860</v>
      </c>
      <c r="M37" s="2382"/>
      <c r="N37" s="2373"/>
      <c r="O37" s="2373"/>
      <c r="P37" s="2373"/>
      <c r="Q37" s="2373"/>
      <c r="R37" s="2373"/>
      <c r="S37" s="2373"/>
      <c r="T37" s="2373"/>
      <c r="U37" s="2373"/>
      <c r="V37" s="2373"/>
      <c r="W37" s="2373"/>
      <c r="X37" s="2373"/>
      <c r="Y37" s="2373"/>
      <c r="Z37" s="2374"/>
    </row>
    <row r="38" spans="1:37" ht="12.75">
      <c r="A38" s="1733"/>
      <c r="B38" s="1661" t="s">
        <v>1170</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1844</v>
      </c>
      <c r="M38" s="1756">
        <v>0.25</v>
      </c>
      <c r="N38" s="2373"/>
      <c r="O38" s="2373"/>
      <c r="P38" s="2373"/>
      <c r="Q38" s="2373"/>
      <c r="R38" s="2373"/>
      <c r="S38" s="2373"/>
      <c r="T38" s="2373"/>
      <c r="U38" s="2373"/>
      <c r="V38" s="2373"/>
      <c r="W38" s="2373"/>
      <c r="X38" s="2373"/>
      <c r="Y38" s="2373"/>
      <c r="Z38" s="2374"/>
    </row>
    <row r="39" spans="1:37" ht="13.5" thickBot="1">
      <c r="A39" s="1721"/>
      <c r="B39" s="1736" t="s">
        <v>1171</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1840</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1780</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1781</v>
      </c>
      <c r="B47" s="1491" t="s">
        <v>1782</v>
      </c>
      <c r="C47" s="1492" t="s">
        <v>1783</v>
      </c>
      <c r="D47" s="1493" t="s">
        <v>1854</v>
      </c>
      <c r="E47" s="1494" t="s">
        <v>1856</v>
      </c>
      <c r="F47" s="2595" t="s">
        <v>2495</v>
      </c>
      <c r="G47" s="1493" t="s">
        <v>1852</v>
      </c>
      <c r="H47" s="2596" t="s">
        <v>2496</v>
      </c>
      <c r="I47" s="1493" t="s">
        <v>1855</v>
      </c>
      <c r="J47" s="944" t="s">
        <v>421</v>
      </c>
      <c r="K47" s="944" t="s">
        <v>422</v>
      </c>
      <c r="L47" s="944" t="s">
        <v>423</v>
      </c>
      <c r="M47" s="944" t="s">
        <v>424</v>
      </c>
      <c r="N47" s="944" t="s">
        <v>425</v>
      </c>
      <c r="AA47" s="2374"/>
      <c r="AB47" s="2374"/>
      <c r="AC47" s="2374"/>
      <c r="AD47" s="2374"/>
      <c r="AE47" s="2374"/>
      <c r="AF47" s="2374"/>
      <c r="AG47" s="2374"/>
      <c r="AH47" s="2374"/>
      <c r="AI47" s="2374"/>
      <c r="AJ47" s="2374"/>
      <c r="AK47" s="2374"/>
    </row>
    <row r="48" spans="1:37" s="2373" customFormat="1" ht="36">
      <c r="A48" s="1490" t="s">
        <v>1784</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91</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108</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1785</v>
      </c>
      <c r="B51" s="3296" t="s">
        <v>3027</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1786</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1787</v>
      </c>
      <c r="B53" s="3295" t="s">
        <v>3026</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1788</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1789</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1790</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1164</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1781</v>
      </c>
      <c r="B58" s="1491"/>
      <c r="C58" s="1492" t="s">
        <v>1783</v>
      </c>
      <c r="D58" s="1493" t="s">
        <v>1854</v>
      </c>
      <c r="E58" s="1494" t="s">
        <v>1856</v>
      </c>
      <c r="F58" s="2595" t="s">
        <v>2292</v>
      </c>
      <c r="G58" s="1493" t="s">
        <v>1852</v>
      </c>
      <c r="H58" s="2596" t="s">
        <v>2496</v>
      </c>
      <c r="I58" s="1493" t="s">
        <v>1855</v>
      </c>
      <c r="J58" s="944" t="s">
        <v>421</v>
      </c>
      <c r="K58" s="944" t="s">
        <v>422</v>
      </c>
      <c r="L58" s="944" t="s">
        <v>423</v>
      </c>
      <c r="M58" s="944" t="s">
        <v>424</v>
      </c>
      <c r="N58" s="944" t="s">
        <v>425</v>
      </c>
      <c r="AA58" s="2374"/>
      <c r="AB58" s="2374"/>
      <c r="AC58" s="2374"/>
      <c r="AD58" s="2374"/>
      <c r="AE58" s="2374"/>
      <c r="AF58" s="2374"/>
      <c r="AG58" s="2374"/>
      <c r="AH58" s="2374"/>
      <c r="AI58" s="2374"/>
      <c r="AJ58" s="2374"/>
      <c r="AK58" s="2374"/>
    </row>
    <row r="59" spans="1:37" s="2373" customFormat="1" ht="36">
      <c r="A59" s="1490" t="s">
        <v>1095</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91</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108</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1785</v>
      </c>
      <c r="B62" s="3296" t="s">
        <v>3027</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1786</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1787</v>
      </c>
      <c r="B64" s="3295" t="s">
        <v>3026</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1788</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1789</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1790</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979</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1781</v>
      </c>
      <c r="B69" s="1491"/>
      <c r="C69" s="1492" t="s">
        <v>1783</v>
      </c>
      <c r="D69" s="1493" t="s">
        <v>1854</v>
      </c>
      <c r="E69" s="1494" t="s">
        <v>1856</v>
      </c>
      <c r="F69" s="2595" t="s">
        <v>2292</v>
      </c>
      <c r="G69" s="1493" t="s">
        <v>1852</v>
      </c>
      <c r="H69" s="2596" t="s">
        <v>2496</v>
      </c>
      <c r="I69" s="1493" t="s">
        <v>1855</v>
      </c>
      <c r="J69" s="944" t="s">
        <v>421</v>
      </c>
      <c r="K69" s="944" t="s">
        <v>422</v>
      </c>
      <c r="L69" s="944" t="s">
        <v>423</v>
      </c>
      <c r="M69" s="944" t="s">
        <v>424</v>
      </c>
      <c r="N69" s="944" t="s">
        <v>425</v>
      </c>
      <c r="AA69" s="2374"/>
      <c r="AB69" s="2374"/>
      <c r="AC69" s="2374"/>
      <c r="AD69" s="2374"/>
      <c r="AE69" s="2374"/>
      <c r="AF69" s="2374"/>
      <c r="AG69" s="2374"/>
      <c r="AH69" s="2374"/>
      <c r="AI69" s="2374"/>
      <c r="AJ69" s="2374"/>
      <c r="AK69" s="2374"/>
    </row>
    <row r="70" spans="1:37" s="2373" customFormat="1" ht="48">
      <c r="A70" s="1490" t="s">
        <v>109</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91</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108</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1791</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1788</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1789</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1787</v>
      </c>
      <c r="B76" s="3295" t="s">
        <v>3026</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1790</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1792</v>
      </c>
      <c r="B78" s="3294"/>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1106</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1781</v>
      </c>
      <c r="B80" s="1491"/>
      <c r="C80" s="1492" t="s">
        <v>1783</v>
      </c>
      <c r="D80" s="1493" t="s">
        <v>1854</v>
      </c>
      <c r="E80" s="1494" t="s">
        <v>1856</v>
      </c>
      <c r="F80" s="2595" t="s">
        <v>2292</v>
      </c>
      <c r="G80" s="1493" t="s">
        <v>1852</v>
      </c>
      <c r="H80" s="2596" t="s">
        <v>2496</v>
      </c>
      <c r="I80" s="1493" t="s">
        <v>1855</v>
      </c>
      <c r="J80" s="944" t="s">
        <v>421</v>
      </c>
      <c r="K80" s="944" t="s">
        <v>422</v>
      </c>
      <c r="L80" s="944" t="s">
        <v>423</v>
      </c>
      <c r="M80" s="944" t="s">
        <v>424</v>
      </c>
      <c r="N80" s="944" t="s">
        <v>425</v>
      </c>
      <c r="Z80" s="1620"/>
      <c r="AA80" s="1619"/>
      <c r="AG80" s="1618"/>
      <c r="AK80" s="1619"/>
    </row>
    <row r="81" spans="1:37" ht="36">
      <c r="A81" s="1490" t="s">
        <v>158</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91</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108</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1791</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1788</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1789</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1787</v>
      </c>
      <c r="B87" s="3295" t="s">
        <v>2494</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1793</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02" t="s">
        <v>1762</v>
      </c>
      <c r="B90" s="3702"/>
      <c r="C90" s="3702"/>
      <c r="D90" s="3702"/>
      <c r="E90" s="3702"/>
      <c r="F90" s="3702"/>
      <c r="G90" s="3702"/>
      <c r="H90" s="3702"/>
      <c r="I90" s="3702"/>
      <c r="J90" s="3702"/>
      <c r="K90" s="2599"/>
      <c r="L90" s="2599"/>
      <c r="M90" s="2599"/>
      <c r="N90" s="2599"/>
    </row>
    <row r="91" spans="1:37">
      <c r="A91" s="3704" t="s">
        <v>67</v>
      </c>
      <c r="B91" s="3704" t="s">
        <v>1763</v>
      </c>
      <c r="C91" s="1579" t="s">
        <v>1764</v>
      </c>
      <c r="D91" s="1580"/>
      <c r="E91" s="1580"/>
      <c r="F91" s="1580"/>
      <c r="G91" s="1580"/>
      <c r="H91" s="1580"/>
      <c r="I91" s="1580"/>
      <c r="J91" s="1581"/>
      <c r="K91" s="1569"/>
      <c r="L91" s="1569"/>
      <c r="M91" s="1569"/>
      <c r="N91" s="1569"/>
    </row>
    <row r="92" spans="1:37">
      <c r="A92" s="3704"/>
      <c r="B92" s="3704"/>
      <c r="C92" s="2598" t="s">
        <v>163</v>
      </c>
      <c r="D92" s="2598" t="s">
        <v>164</v>
      </c>
      <c r="E92" s="2598" t="s">
        <v>159</v>
      </c>
      <c r="F92" s="2598" t="s">
        <v>160</v>
      </c>
      <c r="G92" s="2598" t="s">
        <v>161</v>
      </c>
      <c r="H92" s="2598" t="s">
        <v>162</v>
      </c>
      <c r="I92" s="2598" t="s">
        <v>1179</v>
      </c>
      <c r="J92" s="2598" t="s">
        <v>1180</v>
      </c>
      <c r="K92" s="2598" t="s">
        <v>1181</v>
      </c>
      <c r="L92" s="2598" t="s">
        <v>1182</v>
      </c>
      <c r="M92" s="2598" t="s">
        <v>1183</v>
      </c>
      <c r="N92" s="2598" t="s">
        <v>1184</v>
      </c>
    </row>
    <row r="93" spans="1:37">
      <c r="A93" s="3705" t="s">
        <v>1765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6"/>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6"/>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6"/>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6"/>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6"/>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6"/>
      <c r="B99" s="1582" t="s">
        <v>1766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7"/>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5" t="s">
        <v>1767</v>
      </c>
      <c r="B101" s="1586" t="s">
        <v>92</v>
      </c>
      <c r="C101" s="1587">
        <f>$G$3</f>
        <v>3.5</v>
      </c>
      <c r="D101" s="1587">
        <f t="shared" ref="D101:N101" si="31">$G$3</f>
        <v>3.5</v>
      </c>
      <c r="E101" s="1587">
        <f t="shared" si="31"/>
        <v>3.5</v>
      </c>
      <c r="F101" s="1587">
        <f t="shared" si="31"/>
        <v>3.5</v>
      </c>
      <c r="G101" s="1587">
        <f t="shared" si="31"/>
        <v>3.5</v>
      </c>
      <c r="H101" s="1587">
        <f t="shared" si="31"/>
        <v>3.5</v>
      </c>
      <c r="I101" s="1587">
        <f t="shared" si="31"/>
        <v>3.5</v>
      </c>
      <c r="J101" s="1587">
        <f t="shared" si="31"/>
        <v>3.5</v>
      </c>
      <c r="K101" s="1587">
        <f t="shared" si="31"/>
        <v>3.5</v>
      </c>
      <c r="L101" s="1587">
        <f t="shared" si="31"/>
        <v>3.5</v>
      </c>
      <c r="M101" s="1587">
        <f t="shared" si="31"/>
        <v>3.5</v>
      </c>
      <c r="N101" s="1587">
        <f t="shared" si="31"/>
        <v>3.5</v>
      </c>
    </row>
    <row r="102" spans="1:14">
      <c r="A102" s="3706"/>
      <c r="B102" s="1582">
        <v>1</v>
      </c>
      <c r="C102" s="1583">
        <f>1.9362/C101</f>
        <v>0.55320000000000003</v>
      </c>
      <c r="D102" s="1583">
        <f>1.9362/D101</f>
        <v>0.55320000000000003</v>
      </c>
      <c r="E102" s="1583">
        <f>1.8629/E101</f>
        <v>0.53225714285714287</v>
      </c>
      <c r="F102" s="1583">
        <f>1.8629/F101</f>
        <v>0.53225714285714287</v>
      </c>
      <c r="G102" s="1583">
        <f>1.8629/G101</f>
        <v>0.53225714285714287</v>
      </c>
      <c r="H102" s="1583">
        <f>1.8629/H101</f>
        <v>0.53225714285714287</v>
      </c>
      <c r="I102" s="1583">
        <f>1.8629/I101</f>
        <v>0.53225714285714287</v>
      </c>
      <c r="J102" s="1583">
        <f>1.942/J101</f>
        <v>0.55485714285714283</v>
      </c>
      <c r="K102" s="1583">
        <f>1.942/K101</f>
        <v>0.55485714285714283</v>
      </c>
      <c r="L102" s="1583">
        <f>1.942/L101</f>
        <v>0.55485714285714283</v>
      </c>
      <c r="M102" s="1583">
        <f>1.942/M101</f>
        <v>0.55485714285714283</v>
      </c>
      <c r="N102" s="1583">
        <f>1.942/N101</f>
        <v>0.55485714285714283</v>
      </c>
    </row>
    <row r="103" spans="1:14">
      <c r="A103" s="3706"/>
      <c r="B103" s="1582">
        <v>2</v>
      </c>
      <c r="C103" s="1583">
        <f>1.4198/C101</f>
        <v>0.40565714285714283</v>
      </c>
      <c r="D103" s="1583">
        <f>1.4198/D101</f>
        <v>0.40565714285714283</v>
      </c>
      <c r="E103" s="1583">
        <f>1.3372/E101</f>
        <v>0.38205714285714282</v>
      </c>
      <c r="F103" s="1583">
        <f>1.3372/F101</f>
        <v>0.38205714285714282</v>
      </c>
      <c r="G103" s="1583">
        <f>1.3372/G101</f>
        <v>0.38205714285714282</v>
      </c>
      <c r="H103" s="1583">
        <f>1.3372/H101</f>
        <v>0.38205714285714282</v>
      </c>
      <c r="I103" s="1583">
        <f>1.3372/I101</f>
        <v>0.38205714285714282</v>
      </c>
      <c r="J103" s="1583">
        <f>1.2799/J101</f>
        <v>0.36568571428571428</v>
      </c>
      <c r="K103" s="1583">
        <f>1.2799/K101</f>
        <v>0.36568571428571428</v>
      </c>
      <c r="L103" s="1583">
        <f>1.2799/L101</f>
        <v>0.36568571428571428</v>
      </c>
      <c r="M103" s="1583">
        <f>1.2799/M101</f>
        <v>0.36568571428571428</v>
      </c>
      <c r="N103" s="1583">
        <f>1.2799/N101</f>
        <v>0.36568571428571428</v>
      </c>
    </row>
    <row r="104" spans="1:14">
      <c r="A104" s="3706"/>
      <c r="B104" s="1582">
        <v>3</v>
      </c>
      <c r="C104" s="1583">
        <f>1.1594/C101</f>
        <v>0.33125714285714286</v>
      </c>
      <c r="D104" s="1583">
        <f>1.1594/D101</f>
        <v>0.33125714285714286</v>
      </c>
      <c r="E104" s="1583">
        <f>1.0788/E101</f>
        <v>0.30822857142857141</v>
      </c>
      <c r="F104" s="1583">
        <f>1.0788/F101</f>
        <v>0.30822857142857141</v>
      </c>
      <c r="G104" s="1583">
        <f>1.0788/G101</f>
        <v>0.30822857142857141</v>
      </c>
      <c r="H104" s="1583">
        <f>1.0788/H101</f>
        <v>0.30822857142857141</v>
      </c>
      <c r="I104" s="1583">
        <f>1.0788/I101</f>
        <v>0.30822857142857141</v>
      </c>
      <c r="J104" s="1583">
        <f>1.0072/J101</f>
        <v>0.28777142857142862</v>
      </c>
      <c r="K104" s="1583">
        <f>1.0072/K101</f>
        <v>0.28777142857142862</v>
      </c>
      <c r="L104" s="1583">
        <f>1.0072/L101</f>
        <v>0.28777142857142862</v>
      </c>
      <c r="M104" s="1583">
        <f>1.0072/M101</f>
        <v>0.28777142857142862</v>
      </c>
      <c r="N104" s="1583">
        <f>1.0072/N101</f>
        <v>0.28777142857142862</v>
      </c>
    </row>
    <row r="105" spans="1:14">
      <c r="A105" s="3706"/>
      <c r="B105" s="1582">
        <v>4</v>
      </c>
      <c r="C105" s="1583">
        <f>0.9622/C101</f>
        <v>0.27491428571428572</v>
      </c>
      <c r="D105" s="1583">
        <f>0.9622/D101</f>
        <v>0.27491428571428572</v>
      </c>
      <c r="E105" s="1583">
        <f>0.8656/E101</f>
        <v>0.24731428571428574</v>
      </c>
      <c r="F105" s="1583">
        <f>0.8656/F101</f>
        <v>0.24731428571428574</v>
      </c>
      <c r="G105" s="1583">
        <f>0.8656/G101</f>
        <v>0.24731428571428574</v>
      </c>
      <c r="H105" s="1583">
        <f>0.8656/H101</f>
        <v>0.24731428571428574</v>
      </c>
      <c r="I105" s="1583">
        <f>0.8656/I101</f>
        <v>0.24731428571428574</v>
      </c>
      <c r="J105" s="1583">
        <f>0.7525/J101</f>
        <v>0.215</v>
      </c>
      <c r="K105" s="1583">
        <f>0.7525/K101</f>
        <v>0.215</v>
      </c>
      <c r="L105" s="1583">
        <f>0.7525/L101</f>
        <v>0.215</v>
      </c>
      <c r="M105" s="1583">
        <f>0.7525/M101</f>
        <v>0.215</v>
      </c>
      <c r="N105" s="1583">
        <f>0.7525/N101</f>
        <v>0.215</v>
      </c>
    </row>
    <row r="106" spans="1:14">
      <c r="A106" s="3706"/>
      <c r="B106" s="1582">
        <v>5</v>
      </c>
      <c r="C106" s="1583">
        <f>0.8417/C101</f>
        <v>0.24048571428571427</v>
      </c>
      <c r="D106" s="1583">
        <f>0.8417/D101</f>
        <v>0.24048571428571427</v>
      </c>
      <c r="E106" s="1583">
        <f>0.7371/E101</f>
        <v>0.21059999999999998</v>
      </c>
      <c r="F106" s="1583">
        <f>0.7371/F101</f>
        <v>0.21059999999999998</v>
      </c>
      <c r="G106" s="1583">
        <f>0.7371/G101</f>
        <v>0.21059999999999998</v>
      </c>
      <c r="H106" s="1583">
        <f>0.7371/H101</f>
        <v>0.21059999999999998</v>
      </c>
      <c r="I106" s="1583">
        <f>0.7371/I101</f>
        <v>0.21059999999999998</v>
      </c>
      <c r="J106" s="1583">
        <f>0.5659/J101</f>
        <v>0.16168571428571427</v>
      </c>
      <c r="K106" s="1583">
        <f>0.5659/K101</f>
        <v>0.16168571428571427</v>
      </c>
      <c r="L106" s="1583">
        <f>0.5659/L101</f>
        <v>0.16168571428571427</v>
      </c>
      <c r="M106" s="1583">
        <f>0.5659/M101</f>
        <v>0.16168571428571427</v>
      </c>
      <c r="N106" s="1583">
        <f>0.5659/N101</f>
        <v>0.16168571428571427</v>
      </c>
    </row>
    <row r="107" spans="1:14">
      <c r="A107" s="3706"/>
      <c r="B107" s="1582">
        <v>6</v>
      </c>
      <c r="C107" s="1583">
        <f>0.7608/C101</f>
        <v>0.21737142857142858</v>
      </c>
      <c r="D107" s="1583">
        <f>0.7608/D101</f>
        <v>0.21737142857142858</v>
      </c>
      <c r="E107" s="1583">
        <f>0.6482/E101</f>
        <v>0.1852</v>
      </c>
      <c r="F107" s="1583">
        <f>0.6482/F101</f>
        <v>0.1852</v>
      </c>
      <c r="G107" s="1583">
        <f>0.6482/G101</f>
        <v>0.1852</v>
      </c>
      <c r="H107" s="1583">
        <f>0.6482/H101</f>
        <v>0.1852</v>
      </c>
      <c r="I107" s="1583">
        <f>0.6482/I101</f>
        <v>0.1852</v>
      </c>
      <c r="J107" s="1583">
        <f>0.4525/J101</f>
        <v>0.12928571428571428</v>
      </c>
      <c r="K107" s="1583">
        <f>0.4525/K101</f>
        <v>0.12928571428571428</v>
      </c>
      <c r="L107" s="1583">
        <f>0.4525/L101</f>
        <v>0.12928571428571428</v>
      </c>
      <c r="M107" s="1583">
        <f>0.4525/M101</f>
        <v>0.12928571428571428</v>
      </c>
      <c r="N107" s="1583">
        <f>0.4525/N101</f>
        <v>0.12928571428571428</v>
      </c>
    </row>
    <row r="108" spans="1:14">
      <c r="A108" s="3706"/>
      <c r="B108" s="3708" t="s">
        <v>1769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7"/>
      <c r="B109" s="3709"/>
      <c r="C109" s="1585">
        <f>(-0.163*(C108^2)-0.59*C108+7617)*(10^(-4))/C101</f>
        <v>0.21762857142857145</v>
      </c>
      <c r="D109" s="1585">
        <f>(-0.163*(D108^2)-0.59*D108+7617)*(10^(-4))/D101</f>
        <v>0.21762857142857145</v>
      </c>
      <c r="E109" s="1585">
        <f>(-0.161*(E108^2)-7.509*E108+6533)*(10^(-4))/E101</f>
        <v>0.18665714285714285</v>
      </c>
      <c r="F109" s="1585">
        <f>(-0.161*(F108^2)-7.509*F108+6533)*(10^(-4))/F101</f>
        <v>0.18665714285714285</v>
      </c>
      <c r="G109" s="1585">
        <f>(-0.161*(G108^2)-7.509*G108+6533)*(10^(-4))/G101</f>
        <v>0.18665714285714285</v>
      </c>
      <c r="H109" s="1585">
        <f>(-0.161*(H108^2)-7.509*H108+6533)*(10^(-4))/H101</f>
        <v>0.18665714285714285</v>
      </c>
      <c r="I109" s="1585">
        <f>(-0.161*(I108^2)-7.509*I108+6533)*(10^(-4))/I101</f>
        <v>0.18665714285714285</v>
      </c>
      <c r="J109" s="1585">
        <f>(-0.214*(J108^2)-21.991*J108+4665)*(10^(-4))/J101</f>
        <v>0.13328571428571429</v>
      </c>
      <c r="K109" s="1585">
        <f>(-0.214*(K108^2)-21.991*K108+4665)*(10^(-4))/K101</f>
        <v>0.13328571428571429</v>
      </c>
      <c r="L109" s="1585">
        <f>(-0.214*(L108^2)-21.991*L108+4665)*(10^(-4))/L101</f>
        <v>0.13328571428571429</v>
      </c>
      <c r="M109" s="1585">
        <f>(-0.214*(M108^2)-21.991*M108+4665)*(10^(-4))/M101</f>
        <v>0.13328571428571429</v>
      </c>
      <c r="N109" s="1585">
        <f>(-0.214*(N108^2)-21.991*N108+4665)*(10^(-4))/N101</f>
        <v>0.13328571428571429</v>
      </c>
    </row>
    <row r="110" spans="1:14">
      <c r="A110" s="3703" t="s">
        <v>1770</v>
      </c>
      <c r="B110" s="3703"/>
      <c r="C110" s="3703"/>
      <c r="D110" s="3703"/>
      <c r="E110" s="3703"/>
      <c r="F110" s="3703"/>
      <c r="G110" s="3703"/>
      <c r="H110" s="3703"/>
      <c r="I110" s="3703"/>
      <c r="J110" s="3703"/>
      <c r="K110" s="2597"/>
      <c r="L110" s="2597"/>
      <c r="M110" s="2597"/>
      <c r="N110" s="2597"/>
    </row>
    <row r="112" spans="1:14" ht="12.75" thickBot="1"/>
    <row r="113" spans="1:13" ht="25.5" thickBot="1">
      <c r="A113" s="1595" t="s">
        <v>1772</v>
      </c>
      <c r="B113" s="2600">
        <f>G3</f>
        <v>3.5</v>
      </c>
      <c r="C113" s="1596" t="s">
        <v>1773</v>
      </c>
      <c r="D113" s="1597">
        <f>SUMPRODUCT((A115:A118=F113)*(B114:M114=H113)*B115:M118)</f>
        <v>0</v>
      </c>
      <c r="E113" s="1598" t="s">
        <v>67</v>
      </c>
      <c r="F113" s="1599">
        <f>E2</f>
        <v>0</v>
      </c>
      <c r="G113" s="1598" t="s">
        <v>1562</v>
      </c>
      <c r="H113" s="1599">
        <f>G2</f>
        <v>0</v>
      </c>
      <c r="I113" s="1598"/>
      <c r="J113" s="1590"/>
      <c r="K113" s="1590"/>
      <c r="L113" s="1590"/>
      <c r="M113" s="1590"/>
    </row>
    <row r="114" spans="1:13" ht="12.75">
      <c r="A114" s="1602"/>
      <c r="B114" s="1603" t="s">
        <v>163</v>
      </c>
      <c r="C114" s="1603" t="s">
        <v>164</v>
      </c>
      <c r="D114" s="1603" t="s">
        <v>159</v>
      </c>
      <c r="E114" s="1604" t="s">
        <v>160</v>
      </c>
      <c r="F114" s="1604" t="s">
        <v>161</v>
      </c>
      <c r="G114" s="1604" t="s">
        <v>162</v>
      </c>
      <c r="H114" s="1605" t="s">
        <v>1179</v>
      </c>
      <c r="I114" s="1605" t="s">
        <v>1180</v>
      </c>
      <c r="J114" s="1606" t="s">
        <v>1181</v>
      </c>
      <c r="K114" s="1606" t="s">
        <v>1182</v>
      </c>
      <c r="L114" s="1606" t="s">
        <v>1183</v>
      </c>
      <c r="M114" s="1607" t="s">
        <v>1184</v>
      </c>
    </row>
    <row r="115" spans="1:13" ht="12.75">
      <c r="A115" s="1608" t="s">
        <v>1774</v>
      </c>
      <c r="B115" s="1609">
        <f>ROUND(0.9335-0.0094*B113,4)</f>
        <v>0.90059999999999996</v>
      </c>
      <c r="C115" s="1609">
        <f>B115</f>
        <v>0.90059999999999996</v>
      </c>
      <c r="D115" s="1609">
        <f>ROUND(0.8331-0.0109*B113,4)</f>
        <v>0.79500000000000004</v>
      </c>
      <c r="E115" s="1609">
        <f>D115</f>
        <v>0.79500000000000004</v>
      </c>
      <c r="F115" s="1609">
        <f>E115</f>
        <v>0.79500000000000004</v>
      </c>
      <c r="G115" s="1609">
        <f>F115</f>
        <v>0.79500000000000004</v>
      </c>
      <c r="H115" s="1609">
        <f>G115</f>
        <v>0.79500000000000004</v>
      </c>
      <c r="I115" s="1609">
        <f>ROUND(0.689-0.0155*B113,4)</f>
        <v>0.63480000000000003</v>
      </c>
      <c r="J115" s="1609">
        <f t="shared" ref="J115:M118" si="33">I115</f>
        <v>0.63480000000000003</v>
      </c>
      <c r="K115" s="1609">
        <f t="shared" si="33"/>
        <v>0.63480000000000003</v>
      </c>
      <c r="L115" s="1609">
        <f t="shared" si="33"/>
        <v>0.63480000000000003</v>
      </c>
      <c r="M115" s="1610">
        <f t="shared" si="33"/>
        <v>0.63480000000000003</v>
      </c>
    </row>
    <row r="116" spans="1:13" ht="12.75">
      <c r="A116" s="1608" t="s">
        <v>1775</v>
      </c>
      <c r="B116" s="1609">
        <f>ROUND(0.949-0.012*B113,4)</f>
        <v>0.90700000000000003</v>
      </c>
      <c r="C116" s="1609">
        <f>B116</f>
        <v>0.90700000000000003</v>
      </c>
      <c r="D116" s="1609">
        <f>ROUND(0.8567-0.013*B113,4)</f>
        <v>0.81120000000000003</v>
      </c>
      <c r="E116" s="1609">
        <f t="shared" ref="E116:H117" si="34">D116</f>
        <v>0.81120000000000003</v>
      </c>
      <c r="F116" s="1609">
        <f t="shared" si="34"/>
        <v>0.81120000000000003</v>
      </c>
      <c r="G116" s="1609">
        <f t="shared" si="34"/>
        <v>0.81120000000000003</v>
      </c>
      <c r="H116" s="1609">
        <f t="shared" si="34"/>
        <v>0.81120000000000003</v>
      </c>
      <c r="I116" s="1609">
        <f>ROUND(0.7694-0.014*B113,4)</f>
        <v>0.72040000000000004</v>
      </c>
      <c r="J116" s="1609">
        <f t="shared" si="33"/>
        <v>0.72040000000000004</v>
      </c>
      <c r="K116" s="1609">
        <f t="shared" si="33"/>
        <v>0.72040000000000004</v>
      </c>
      <c r="L116" s="1609">
        <f t="shared" si="33"/>
        <v>0.72040000000000004</v>
      </c>
      <c r="M116" s="1610">
        <f t="shared" si="33"/>
        <v>0.72040000000000004</v>
      </c>
    </row>
    <row r="117" spans="1:13" ht="12.75">
      <c r="A117" s="1611" t="s">
        <v>979</v>
      </c>
      <c r="B117" s="1609">
        <f>ROUND(0.8808-0.006*B113,4)</f>
        <v>0.85980000000000001</v>
      </c>
      <c r="C117" s="1609">
        <f>B117</f>
        <v>0.85980000000000001</v>
      </c>
      <c r="D117" s="1609">
        <f>ROUND(0.8748-0.008*B113,4)</f>
        <v>0.8468</v>
      </c>
      <c r="E117" s="1609">
        <f t="shared" si="34"/>
        <v>0.8468</v>
      </c>
      <c r="F117" s="1609">
        <f t="shared" si="34"/>
        <v>0.8468</v>
      </c>
      <c r="G117" s="1609">
        <f t="shared" si="34"/>
        <v>0.8468</v>
      </c>
      <c r="H117" s="1609">
        <f t="shared" si="34"/>
        <v>0.8468</v>
      </c>
      <c r="I117" s="1609">
        <f>ROUND(0.7412-0.0095*B113,4)</f>
        <v>0.70799999999999996</v>
      </c>
      <c r="J117" s="1609">
        <f t="shared" si="33"/>
        <v>0.70799999999999996</v>
      </c>
      <c r="K117" s="1609">
        <f t="shared" si="33"/>
        <v>0.70799999999999996</v>
      </c>
      <c r="L117" s="1609">
        <f t="shared" si="33"/>
        <v>0.70799999999999996</v>
      </c>
      <c r="M117" s="1610">
        <f t="shared" si="33"/>
        <v>0.70799999999999996</v>
      </c>
    </row>
    <row r="118" spans="1:13" ht="13.5" thickBot="1">
      <c r="A118" s="1121" t="s">
        <v>1776</v>
      </c>
      <c r="B118" s="1612">
        <f>ROUND(0.7275-0.01*B113,4)</f>
        <v>0.6925</v>
      </c>
      <c r="C118" s="1612">
        <f>B118</f>
        <v>0.6925</v>
      </c>
      <c r="D118" s="1612">
        <f>ROUND(0.7043-0.012*B113,4)</f>
        <v>0.6623</v>
      </c>
      <c r="E118" s="1612">
        <f>D118</f>
        <v>0.6623</v>
      </c>
      <c r="F118" s="1612">
        <f>E118</f>
        <v>0.6623</v>
      </c>
      <c r="G118" s="1612">
        <f>ROUND(0.6299-0.0122*B113,4)</f>
        <v>0.58720000000000006</v>
      </c>
      <c r="H118" s="1612">
        <f>G118</f>
        <v>0.58720000000000006</v>
      </c>
      <c r="I118" s="1612">
        <f>ROUND(0.5667-0.0136*B113,4)</f>
        <v>0.51910000000000001</v>
      </c>
      <c r="J118" s="1612">
        <f t="shared" si="33"/>
        <v>0.51910000000000001</v>
      </c>
      <c r="K118" s="1612">
        <f t="shared" si="33"/>
        <v>0.51910000000000001</v>
      </c>
      <c r="L118" s="1612">
        <f t="shared" si="33"/>
        <v>0.51910000000000001</v>
      </c>
      <c r="M118" s="1613">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1562</v>
      </c>
      <c r="B1" s="1514" t="s">
        <v>1173</v>
      </c>
      <c r="C1" s="1514" t="s">
        <v>1174</v>
      </c>
      <c r="D1" s="1514" t="s">
        <v>1175</v>
      </c>
      <c r="E1" s="1514" t="s">
        <v>1176</v>
      </c>
      <c r="F1" s="1514" t="s">
        <v>1177</v>
      </c>
      <c r="G1" s="1514" t="s">
        <v>1178</v>
      </c>
      <c r="H1" s="1514" t="s">
        <v>1179</v>
      </c>
      <c r="I1" s="1514" t="s">
        <v>1180</v>
      </c>
      <c r="J1" s="1514" t="s">
        <v>1181</v>
      </c>
      <c r="K1" s="1514" t="s">
        <v>1182</v>
      </c>
      <c r="L1" s="1514" t="s">
        <v>1183</v>
      </c>
      <c r="M1" s="1515" t="s">
        <v>1184</v>
      </c>
    </row>
    <row r="2" spans="1:13" ht="19.5" customHeight="1">
      <c r="A2" s="1540" t="s">
        <v>1199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1572</v>
      </c>
      <c r="B16" s="1559"/>
      <c r="C16" s="1560"/>
      <c r="D16" s="1560"/>
      <c r="E16" s="1559"/>
      <c r="F16" s="1560"/>
      <c r="G16" s="1560"/>
    </row>
    <row r="17" spans="1:9" ht="19.5" customHeight="1">
      <c r="A17" s="1491" t="s">
        <v>1573</v>
      </c>
      <c r="B17" s="1562" t="s">
        <v>1574</v>
      </c>
      <c r="C17" s="1743" t="s">
        <v>1872</v>
      </c>
      <c r="D17" s="1563"/>
      <c r="E17" s="1491" t="s">
        <v>1575</v>
      </c>
      <c r="F17" s="1564"/>
      <c r="G17" s="1564"/>
    </row>
    <row r="18" spans="1:9" s="1570" customFormat="1" ht="19.5" customHeight="1">
      <c r="A18" s="3704" t="s">
        <v>1199</v>
      </c>
      <c r="B18" s="1565" t="s">
        <v>1576</v>
      </c>
      <c r="C18" s="1566" t="s">
        <v>1577</v>
      </c>
      <c r="D18" s="1567"/>
      <c r="E18" s="1565">
        <v>1</v>
      </c>
      <c r="F18" s="1568" t="s">
        <v>1578</v>
      </c>
      <c r="G18" s="1569"/>
      <c r="H18" s="1561"/>
      <c r="I18" s="1561"/>
    </row>
    <row r="19" spans="1:9" s="1570" customFormat="1" ht="19.5" customHeight="1">
      <c r="A19" s="3704"/>
      <c r="B19" s="3704" t="s">
        <v>1579</v>
      </c>
      <c r="C19" s="1566" t="s">
        <v>1580</v>
      </c>
      <c r="D19" s="1567"/>
      <c r="E19" s="1565">
        <v>0.9</v>
      </c>
      <c r="F19" s="1568" t="s">
        <v>1581</v>
      </c>
      <c r="G19" s="1569"/>
      <c r="H19" s="1561"/>
      <c r="I19" s="1561"/>
    </row>
    <row r="20" spans="1:9" s="1570" customFormat="1" ht="19.5" customHeight="1">
      <c r="A20" s="3704"/>
      <c r="B20" s="3704"/>
      <c r="C20" s="1566" t="s">
        <v>1582</v>
      </c>
      <c r="D20" s="1567"/>
      <c r="E20" s="1565">
        <v>1.1000000000000001</v>
      </c>
      <c r="F20" s="1568" t="s">
        <v>1583</v>
      </c>
      <c r="G20" s="1569"/>
      <c r="H20" s="1561"/>
      <c r="I20" s="1561"/>
    </row>
    <row r="21" spans="1:9" s="1570" customFormat="1" ht="19.5" customHeight="1">
      <c r="A21" s="3704"/>
      <c r="B21" s="3704"/>
      <c r="C21" s="1566" t="s">
        <v>1584</v>
      </c>
      <c r="D21" s="1567"/>
      <c r="E21" s="1565">
        <v>0.8</v>
      </c>
      <c r="F21" s="1568" t="s">
        <v>1585</v>
      </c>
      <c r="G21" s="1569"/>
      <c r="H21" s="1561"/>
      <c r="I21" s="1561"/>
    </row>
    <row r="22" spans="1:9" s="1570" customFormat="1" ht="19.5" customHeight="1">
      <c r="A22" s="3704"/>
      <c r="B22" s="3704"/>
      <c r="C22" s="1566" t="s">
        <v>1586</v>
      </c>
      <c r="D22" s="1567"/>
      <c r="E22" s="1565">
        <v>0.5</v>
      </c>
      <c r="F22" s="1568"/>
      <c r="G22" s="1569"/>
      <c r="H22" s="1561"/>
      <c r="I22" s="1561"/>
    </row>
    <row r="23" spans="1:9" s="1570" customFormat="1" ht="19.5" customHeight="1">
      <c r="A23" s="3704" t="s">
        <v>1200</v>
      </c>
      <c r="B23" s="1565" t="s">
        <v>1576</v>
      </c>
      <c r="C23" s="1566" t="s">
        <v>1587</v>
      </c>
      <c r="D23" s="1567"/>
      <c r="E23" s="1565">
        <v>1</v>
      </c>
      <c r="F23" s="1568" t="s">
        <v>1588</v>
      </c>
      <c r="G23" s="1569"/>
      <c r="H23" s="1561"/>
      <c r="I23" s="1561"/>
    </row>
    <row r="24" spans="1:9" s="1570" customFormat="1" ht="19.5" customHeight="1">
      <c r="A24" s="3704"/>
      <c r="B24" s="3704" t="s">
        <v>1579</v>
      </c>
      <c r="C24" s="1566" t="s">
        <v>1589</v>
      </c>
      <c r="D24" s="1567"/>
      <c r="E24" s="1565">
        <v>0.5</v>
      </c>
      <c r="F24" s="1568"/>
      <c r="G24" s="1569"/>
      <c r="H24" s="1561"/>
      <c r="I24" s="1561"/>
    </row>
    <row r="25" spans="1:9" s="1570" customFormat="1" ht="19.5" customHeight="1">
      <c r="A25" s="3704"/>
      <c r="B25" s="3704"/>
      <c r="C25" s="1566" t="s">
        <v>1590</v>
      </c>
      <c r="D25" s="1567"/>
      <c r="E25" s="1565">
        <v>1.1000000000000001</v>
      </c>
      <c r="F25" s="1568"/>
      <c r="G25" s="1569"/>
      <c r="H25" s="1561"/>
      <c r="I25" s="1561"/>
    </row>
    <row r="26" spans="1:9" s="1570" customFormat="1" ht="19.5" customHeight="1">
      <c r="A26" s="3704"/>
      <c r="B26" s="3704"/>
      <c r="C26" s="1566" t="s">
        <v>1591</v>
      </c>
      <c r="D26" s="1567"/>
      <c r="E26" s="1565">
        <v>1.1000000000000001</v>
      </c>
      <c r="F26" s="1568"/>
      <c r="G26" s="1569"/>
      <c r="H26" s="1561"/>
      <c r="I26" s="1561"/>
    </row>
    <row r="27" spans="1:9" s="1570" customFormat="1" ht="19.5" customHeight="1">
      <c r="A27" s="3704"/>
      <c r="B27" s="3704"/>
      <c r="C27" s="1566" t="s">
        <v>1592</v>
      </c>
      <c r="D27" s="1567"/>
      <c r="E27" s="1565">
        <v>0.9</v>
      </c>
      <c r="F27" s="1568" t="s">
        <v>1593</v>
      </c>
      <c r="G27" s="1569"/>
      <c r="H27" s="1561"/>
      <c r="I27" s="1561"/>
    </row>
    <row r="28" spans="1:9" s="1570" customFormat="1" ht="19.5" customHeight="1">
      <c r="A28" s="3704"/>
      <c r="B28" s="3704"/>
      <c r="C28" s="1566" t="s">
        <v>1594</v>
      </c>
      <c r="D28" s="1567"/>
      <c r="E28" s="1565">
        <v>0.9</v>
      </c>
      <c r="F28" s="1568" t="s">
        <v>1595</v>
      </c>
      <c r="G28" s="1569"/>
      <c r="H28" s="1561"/>
      <c r="I28" s="1561"/>
    </row>
    <row r="29" spans="1:9" s="1570" customFormat="1" ht="19.5" customHeight="1">
      <c r="A29" s="3704"/>
      <c r="B29" s="3704"/>
      <c r="C29" s="1566" t="s">
        <v>1596</v>
      </c>
      <c r="D29" s="1567"/>
      <c r="E29" s="1565">
        <v>0.9</v>
      </c>
      <c r="F29" s="1568" t="s">
        <v>1597</v>
      </c>
      <c r="G29" s="1569"/>
      <c r="H29" s="1561"/>
      <c r="I29" s="1561"/>
    </row>
    <row r="30" spans="1:9" s="1570" customFormat="1" ht="19.5" customHeight="1">
      <c r="A30" s="3704"/>
      <c r="B30" s="3704"/>
      <c r="C30" s="1566" t="s">
        <v>1598</v>
      </c>
      <c r="D30" s="1567"/>
      <c r="E30" s="1565">
        <v>0.9</v>
      </c>
      <c r="F30" s="1568" t="s">
        <v>1599</v>
      </c>
      <c r="G30" s="1569"/>
      <c r="H30" s="1561"/>
      <c r="I30" s="1561"/>
    </row>
    <row r="31" spans="1:9" s="1570" customFormat="1" ht="19.5" customHeight="1">
      <c r="A31" s="3704"/>
      <c r="B31" s="3704"/>
      <c r="C31" s="1566" t="s">
        <v>1600</v>
      </c>
      <c r="D31" s="1567"/>
      <c r="E31" s="1565">
        <v>0.8</v>
      </c>
      <c r="F31" s="1568" t="s">
        <v>1601</v>
      </c>
      <c r="G31" s="1569"/>
      <c r="H31" s="1561"/>
      <c r="I31" s="1561"/>
    </row>
    <row r="32" spans="1:9" s="1570" customFormat="1" ht="19.5" customHeight="1">
      <c r="A32" s="3704"/>
      <c r="B32" s="3704"/>
      <c r="C32" s="1566" t="s">
        <v>1602</v>
      </c>
      <c r="D32" s="1567"/>
      <c r="E32" s="1565">
        <v>0.8</v>
      </c>
      <c r="F32" s="1568" t="s">
        <v>1603</v>
      </c>
      <c r="G32" s="1569"/>
      <c r="H32" s="1561"/>
      <c r="I32" s="1561"/>
    </row>
    <row r="33" spans="1:9" s="1570" customFormat="1" ht="19.5" customHeight="1">
      <c r="A33" s="3704" t="s">
        <v>1201</v>
      </c>
      <c r="B33" s="1565" t="s">
        <v>1576</v>
      </c>
      <c r="C33" s="1566" t="s">
        <v>1604</v>
      </c>
      <c r="D33" s="1567"/>
      <c r="E33" s="1565">
        <v>1</v>
      </c>
      <c r="F33" s="1568" t="s">
        <v>1605</v>
      </c>
      <c r="G33" s="1569"/>
      <c r="H33" s="1561"/>
      <c r="I33" s="1561"/>
    </row>
    <row r="34" spans="1:9" s="1570" customFormat="1" ht="19.5" customHeight="1">
      <c r="A34" s="3704"/>
      <c r="B34" s="1565" t="s">
        <v>1579</v>
      </c>
      <c r="C34" s="1566" t="s">
        <v>1606</v>
      </c>
      <c r="D34" s="1567"/>
      <c r="E34" s="1565">
        <v>1.5</v>
      </c>
      <c r="F34" s="1568" t="s">
        <v>1607</v>
      </c>
      <c r="G34" s="1569"/>
      <c r="H34" s="1561"/>
      <c r="I34" s="1561"/>
    </row>
    <row r="35" spans="1:9" s="1570" customFormat="1" ht="19.5" customHeight="1">
      <c r="A35" s="3704" t="s">
        <v>1202</v>
      </c>
      <c r="B35" s="1565" t="s">
        <v>1576</v>
      </c>
      <c r="C35" s="1566" t="s">
        <v>1608</v>
      </c>
      <c r="D35" s="1567"/>
      <c r="E35" s="1565">
        <v>1</v>
      </c>
      <c r="F35" s="1568" t="s">
        <v>1609</v>
      </c>
      <c r="G35" s="1569"/>
      <c r="H35" s="1561"/>
      <c r="I35" s="1561"/>
    </row>
    <row r="36" spans="1:9" s="1570" customFormat="1" ht="19.5" customHeight="1">
      <c r="A36" s="3704"/>
      <c r="B36" s="3704" t="s">
        <v>1579</v>
      </c>
      <c r="C36" s="1566" t="s">
        <v>1610</v>
      </c>
      <c r="D36" s="1567"/>
      <c r="E36" s="1565">
        <v>1</v>
      </c>
      <c r="F36" s="1568" t="s">
        <v>1611</v>
      </c>
      <c r="G36" s="1569"/>
      <c r="H36" s="1561"/>
      <c r="I36" s="1561"/>
    </row>
    <row r="37" spans="1:9" s="1570" customFormat="1" ht="19.5" customHeight="1">
      <c r="A37" s="3704"/>
      <c r="B37" s="3704"/>
      <c r="C37" s="1566" t="s">
        <v>1612</v>
      </c>
      <c r="D37" s="1567"/>
      <c r="E37" s="1565">
        <v>1.5</v>
      </c>
      <c r="F37" s="1568" t="s">
        <v>1613</v>
      </c>
      <c r="G37" s="1569"/>
      <c r="H37" s="1561"/>
      <c r="I37" s="1561"/>
    </row>
    <row r="38" spans="1:9" s="1570" customFormat="1" ht="19.5" customHeight="1">
      <c r="A38" s="3704"/>
      <c r="B38" s="3704"/>
      <c r="C38" s="1566" t="s">
        <v>1614</v>
      </c>
      <c r="D38" s="1567"/>
      <c r="E38" s="1565">
        <v>1</v>
      </c>
      <c r="F38" s="1568" t="s">
        <v>1615</v>
      </c>
      <c r="G38" s="1569"/>
      <c r="H38" s="1561"/>
      <c r="I38" s="1561"/>
    </row>
    <row r="39" spans="1:9" s="1570" customFormat="1" ht="19.5" customHeight="1">
      <c r="A39" s="3704"/>
      <c r="B39" s="3704"/>
      <c r="C39" s="1566" t="s">
        <v>1616</v>
      </c>
      <c r="D39" s="1567"/>
      <c r="E39" s="1565">
        <v>1</v>
      </c>
      <c r="F39" s="1568" t="s">
        <v>1617</v>
      </c>
      <c r="G39" s="1569"/>
      <c r="H39" s="1561"/>
      <c r="I39" s="1561"/>
    </row>
    <row r="40" spans="1:9" s="1570" customFormat="1" ht="19.5" customHeight="1">
      <c r="A40" s="1571" t="s">
        <v>1618</v>
      </c>
      <c r="B40" s="1571"/>
      <c r="C40" s="1571"/>
      <c r="D40" s="1571"/>
      <c r="E40" s="1571"/>
      <c r="F40" s="1572"/>
      <c r="G40" s="1572"/>
      <c r="H40" s="1561"/>
      <c r="I40" s="1561"/>
    </row>
    <row r="42" spans="1:9" ht="19.5" customHeight="1">
      <c r="A42" s="1573"/>
      <c r="B42" s="1491" t="s">
        <v>1619</v>
      </c>
      <c r="C42" s="1491" t="s">
        <v>1619</v>
      </c>
      <c r="D42" s="1491" t="s">
        <v>1619</v>
      </c>
      <c r="E42" s="1502" t="s">
        <v>1619</v>
      </c>
      <c r="F42" s="1502" t="s">
        <v>1619</v>
      </c>
      <c r="G42" s="1502" t="s">
        <v>1620</v>
      </c>
      <c r="H42" s="1502" t="s">
        <v>1619</v>
      </c>
    </row>
    <row r="43" spans="1:9" ht="19.5" customHeight="1">
      <c r="A43" s="1574"/>
      <c r="B43" s="1502" t="s">
        <v>1199</v>
      </c>
      <c r="C43" s="1502" t="s">
        <v>1199</v>
      </c>
      <c r="D43" s="1502" t="s">
        <v>1199</v>
      </c>
      <c r="E43" s="1502" t="s">
        <v>1199</v>
      </c>
      <c r="F43" s="1491" t="s">
        <v>1200</v>
      </c>
      <c r="G43" s="1491" t="s">
        <v>1202</v>
      </c>
      <c r="H43" s="1491" t="s">
        <v>1621</v>
      </c>
    </row>
    <row r="44" spans="1:9" ht="19.5" customHeight="1">
      <c r="A44" s="1575"/>
      <c r="B44" s="1491">
        <v>1</v>
      </c>
      <c r="C44" s="1491">
        <v>2</v>
      </c>
      <c r="D44" s="1491">
        <v>3</v>
      </c>
      <c r="E44" s="1502">
        <v>4</v>
      </c>
      <c r="F44" s="1563" t="s">
        <v>1622</v>
      </c>
      <c r="G44" s="1563" t="s">
        <v>1622</v>
      </c>
      <c r="H44" s="1563" t="s">
        <v>1622</v>
      </c>
    </row>
    <row r="45" spans="1:9" ht="19.5" customHeight="1">
      <c r="A45" s="1576" t="s">
        <v>1173</v>
      </c>
      <c r="B45" s="1491">
        <v>0.8</v>
      </c>
      <c r="C45" s="1491">
        <v>0.5</v>
      </c>
      <c r="D45" s="1491">
        <v>0.36</v>
      </c>
      <c r="E45" s="1491">
        <v>0.3</v>
      </c>
      <c r="F45" s="1563">
        <v>0.3</v>
      </c>
      <c r="G45" s="1491">
        <v>0.3</v>
      </c>
      <c r="H45" s="1491">
        <v>0.25</v>
      </c>
    </row>
    <row r="46" spans="1:9" ht="19.5" customHeight="1">
      <c r="A46" s="1576" t="s">
        <v>1174</v>
      </c>
      <c r="B46" s="1491">
        <v>0.8</v>
      </c>
      <c r="C46" s="1491">
        <v>0.5</v>
      </c>
      <c r="D46" s="1491">
        <v>0.36</v>
      </c>
      <c r="E46" s="1491">
        <v>0.3</v>
      </c>
      <c r="F46" s="1491">
        <v>0.3</v>
      </c>
      <c r="G46" s="1491">
        <v>0.3</v>
      </c>
      <c r="H46" s="1491">
        <v>0.25</v>
      </c>
    </row>
    <row r="47" spans="1:9" ht="19.5" customHeight="1">
      <c r="A47" s="1576" t="s">
        <v>1175</v>
      </c>
      <c r="B47" s="1491">
        <v>0.7</v>
      </c>
      <c r="C47" s="1491">
        <v>0.4</v>
      </c>
      <c r="D47" s="1491">
        <v>0.28000000000000003</v>
      </c>
      <c r="E47" s="1491">
        <v>0.25</v>
      </c>
      <c r="F47" s="1491">
        <v>0.25</v>
      </c>
      <c r="G47" s="1491">
        <v>0.25</v>
      </c>
      <c r="H47" s="1491">
        <v>0.2</v>
      </c>
    </row>
    <row r="48" spans="1:9" ht="19.5" customHeight="1">
      <c r="A48" s="1576" t="s">
        <v>1176</v>
      </c>
      <c r="B48" s="1491">
        <v>0.7</v>
      </c>
      <c r="C48" s="1491">
        <v>0.4</v>
      </c>
      <c r="D48" s="1491">
        <v>0.28000000000000003</v>
      </c>
      <c r="E48" s="1491">
        <v>0.25</v>
      </c>
      <c r="F48" s="1491">
        <v>0.25</v>
      </c>
      <c r="G48" s="1491">
        <v>0.25</v>
      </c>
      <c r="H48" s="1491">
        <v>0.2</v>
      </c>
    </row>
    <row r="49" spans="1:8" s="1561" customFormat="1" ht="19.5" customHeight="1">
      <c r="A49" s="1576" t="s">
        <v>1177</v>
      </c>
      <c r="B49" s="1491">
        <v>0.7</v>
      </c>
      <c r="C49" s="1491">
        <v>0.4</v>
      </c>
      <c r="D49" s="1491">
        <v>0.28000000000000003</v>
      </c>
      <c r="E49" s="1491">
        <v>0.25</v>
      </c>
      <c r="F49" s="1491">
        <v>0.25</v>
      </c>
      <c r="G49" s="1491">
        <v>0.25</v>
      </c>
      <c r="H49" s="1491">
        <v>0.2</v>
      </c>
    </row>
    <row r="50" spans="1:8" s="1561" customFormat="1" ht="19.5" customHeight="1">
      <c r="A50" s="1576" t="s">
        <v>1178</v>
      </c>
      <c r="B50" s="1491">
        <v>0.7</v>
      </c>
      <c r="C50" s="1491">
        <v>0.4</v>
      </c>
      <c r="D50" s="1491">
        <v>0.28000000000000003</v>
      </c>
      <c r="E50" s="1491">
        <v>0.25</v>
      </c>
      <c r="F50" s="1491">
        <v>0.25</v>
      </c>
      <c r="G50" s="1491">
        <v>0.25</v>
      </c>
      <c r="H50" s="1491">
        <v>0.2</v>
      </c>
    </row>
    <row r="51" spans="1:8" s="1561" customFormat="1" ht="19.5" customHeight="1">
      <c r="A51" s="1576" t="s">
        <v>1179</v>
      </c>
      <c r="B51" s="1491">
        <v>0.7</v>
      </c>
      <c r="C51" s="1491">
        <v>0.4</v>
      </c>
      <c r="D51" s="1491">
        <v>0.28000000000000003</v>
      </c>
      <c r="E51" s="1491">
        <v>0.25</v>
      </c>
      <c r="F51" s="1491">
        <v>0.25</v>
      </c>
      <c r="G51" s="1491">
        <v>0.25</v>
      </c>
      <c r="H51" s="1491">
        <v>0.2</v>
      </c>
    </row>
    <row r="52" spans="1:8" s="1561" customFormat="1" ht="19.5" customHeight="1">
      <c r="A52" s="1576" t="s">
        <v>1180</v>
      </c>
      <c r="B52" s="1491">
        <v>0.6</v>
      </c>
      <c r="C52" s="1491">
        <v>0.3</v>
      </c>
      <c r="D52" s="1491">
        <v>0.2</v>
      </c>
      <c r="E52" s="1491">
        <v>0.2</v>
      </c>
      <c r="F52" s="1491">
        <v>0.2</v>
      </c>
      <c r="G52" s="1491">
        <v>0.2</v>
      </c>
      <c r="H52" s="1491">
        <v>0.15</v>
      </c>
    </row>
    <row r="53" spans="1:8" s="1561" customFormat="1" ht="19.5" customHeight="1">
      <c r="A53" s="1576" t="s">
        <v>1181</v>
      </c>
      <c r="B53" s="1491">
        <v>0.6</v>
      </c>
      <c r="C53" s="1491">
        <v>0.3</v>
      </c>
      <c r="D53" s="1491">
        <v>0.2</v>
      </c>
      <c r="E53" s="1491">
        <v>0.2</v>
      </c>
      <c r="F53" s="1491">
        <v>0.2</v>
      </c>
      <c r="G53" s="1491">
        <v>0.2</v>
      </c>
      <c r="H53" s="1491">
        <v>0.15</v>
      </c>
    </row>
    <row r="54" spans="1:8" s="1561" customFormat="1" ht="19.5" customHeight="1">
      <c r="A54" s="1576" t="s">
        <v>1182</v>
      </c>
      <c r="B54" s="1491">
        <v>0.6</v>
      </c>
      <c r="C54" s="1491">
        <v>0.3</v>
      </c>
      <c r="D54" s="1491">
        <v>0.2</v>
      </c>
      <c r="E54" s="1491">
        <v>0.2</v>
      </c>
      <c r="F54" s="1491">
        <v>0.2</v>
      </c>
      <c r="G54" s="1491">
        <v>0.2</v>
      </c>
      <c r="H54" s="1491">
        <v>0.15</v>
      </c>
    </row>
    <row r="55" spans="1:8" s="1561" customFormat="1" ht="19.5" customHeight="1">
      <c r="A55" s="1576" t="s">
        <v>1183</v>
      </c>
      <c r="B55" s="1491">
        <v>0.6</v>
      </c>
      <c r="C55" s="1491">
        <v>0.3</v>
      </c>
      <c r="D55" s="1491">
        <v>0.2</v>
      </c>
      <c r="E55" s="1491">
        <v>0.2</v>
      </c>
      <c r="F55" s="1491">
        <v>0.2</v>
      </c>
      <c r="G55" s="1491">
        <v>0.2</v>
      </c>
      <c r="H55" s="1491">
        <v>0.15</v>
      </c>
    </row>
    <row r="56" spans="1:8" s="1561" customFormat="1" ht="19.5" customHeight="1">
      <c r="A56" s="1576" t="s">
        <v>1184</v>
      </c>
      <c r="B56" s="1491">
        <v>0.6</v>
      </c>
      <c r="C56" s="1491">
        <v>0.3</v>
      </c>
      <c r="D56" s="1491">
        <v>0.2</v>
      </c>
      <c r="E56" s="1491">
        <v>0.2</v>
      </c>
      <c r="F56" s="1491">
        <v>0.2</v>
      </c>
      <c r="G56" s="1491">
        <v>0.2</v>
      </c>
      <c r="H56" s="1491">
        <v>0.15</v>
      </c>
    </row>
    <row r="58" spans="1:8" s="1561" customFormat="1" ht="19.5" customHeight="1">
      <c r="A58" s="1577"/>
      <c r="B58" s="1559"/>
      <c r="C58" s="1559"/>
      <c r="D58" s="1559" t="s">
        <v>1623</v>
      </c>
      <c r="E58" s="1559"/>
      <c r="F58" s="1559"/>
    </row>
    <row r="59" spans="1:8" s="1561" customFormat="1" ht="19.5" customHeight="1">
      <c r="A59" s="1565" t="s">
        <v>1624</v>
      </c>
      <c r="B59" s="1565" t="s">
        <v>1625</v>
      </c>
      <c r="C59" s="1565" t="s">
        <v>1626</v>
      </c>
      <c r="D59" s="1565" t="s">
        <v>1627</v>
      </c>
      <c r="E59" s="1565" t="s">
        <v>1628</v>
      </c>
      <c r="F59" s="1565" t="s">
        <v>1629</v>
      </c>
    </row>
    <row r="60" spans="1:8" ht="13.5">
      <c r="A60" s="1760"/>
      <c r="B60" s="1760"/>
      <c r="C60" s="1760" t="s">
        <v>1761</v>
      </c>
      <c r="D60" s="1760"/>
      <c r="E60" s="1578" t="s">
        <v>23</v>
      </c>
      <c r="F60" s="1760" t="s">
        <v>23</v>
      </c>
    </row>
    <row r="61" spans="1:8" s="1561" customFormat="1" ht="24">
      <c r="A61" s="1565">
        <v>1</v>
      </c>
      <c r="B61" s="3704" t="s">
        <v>1630</v>
      </c>
      <c r="C61" s="1491" t="s">
        <v>1631</v>
      </c>
      <c r="D61" s="1491" t="s">
        <v>1632</v>
      </c>
      <c r="E61" s="1578">
        <v>0.5</v>
      </c>
      <c r="F61" s="1565">
        <v>80</v>
      </c>
    </row>
    <row r="62" spans="1:8" s="1561" customFormat="1" ht="24">
      <c r="A62" s="1565">
        <v>2</v>
      </c>
      <c r="B62" s="3704"/>
      <c r="C62" s="1491" t="s">
        <v>1633</v>
      </c>
      <c r="D62" s="1491" t="s">
        <v>1634</v>
      </c>
      <c r="E62" s="1578">
        <v>0.5</v>
      </c>
      <c r="F62" s="1565">
        <v>80</v>
      </c>
    </row>
    <row r="63" spans="1:8" s="1561" customFormat="1" ht="36">
      <c r="A63" s="1565">
        <v>3</v>
      </c>
      <c r="B63" s="3704"/>
      <c r="C63" s="1491" t="s">
        <v>1635</v>
      </c>
      <c r="D63" s="1491" t="s">
        <v>1636</v>
      </c>
      <c r="E63" s="1578">
        <v>0.5</v>
      </c>
      <c r="F63" s="1565">
        <v>80</v>
      </c>
    </row>
    <row r="64" spans="1:8" s="1561" customFormat="1" ht="36">
      <c r="A64" s="1565">
        <v>4</v>
      </c>
      <c r="B64" s="3704"/>
      <c r="C64" s="1491" t="s">
        <v>1637</v>
      </c>
      <c r="D64" s="1491" t="s">
        <v>1638</v>
      </c>
      <c r="E64" s="1578">
        <v>0.4</v>
      </c>
      <c r="F64" s="1565">
        <v>60</v>
      </c>
    </row>
    <row r="65" spans="1:6" s="1561" customFormat="1" ht="36">
      <c r="A65" s="1565">
        <v>5</v>
      </c>
      <c r="B65" s="3704"/>
      <c r="C65" s="1491" t="s">
        <v>1639</v>
      </c>
      <c r="D65" s="1491" t="s">
        <v>1640</v>
      </c>
      <c r="E65" s="1578">
        <v>0.2</v>
      </c>
      <c r="F65" s="1565">
        <v>30</v>
      </c>
    </row>
    <row r="66" spans="1:6" s="1561" customFormat="1" ht="36">
      <c r="A66" s="1565">
        <v>6</v>
      </c>
      <c r="B66" s="3704"/>
      <c r="C66" s="1491" t="s">
        <v>1641</v>
      </c>
      <c r="D66" s="1491" t="s">
        <v>1642</v>
      </c>
      <c r="E66" s="1578">
        <v>0.3</v>
      </c>
      <c r="F66" s="1565">
        <v>50</v>
      </c>
    </row>
    <row r="67" spans="1:6" s="1561" customFormat="1" ht="36">
      <c r="A67" s="1565">
        <v>7</v>
      </c>
      <c r="B67" s="3704"/>
      <c r="C67" s="1491" t="s">
        <v>1643</v>
      </c>
      <c r="D67" s="1491" t="s">
        <v>1644</v>
      </c>
      <c r="E67" s="1578">
        <v>0.2</v>
      </c>
      <c r="F67" s="1565">
        <v>30</v>
      </c>
    </row>
    <row r="68" spans="1:6" s="1561" customFormat="1" ht="36">
      <c r="A68" s="1565">
        <v>8</v>
      </c>
      <c r="B68" s="3704"/>
      <c r="C68" s="1491" t="s">
        <v>1645</v>
      </c>
      <c r="D68" s="1491" t="s">
        <v>1646</v>
      </c>
      <c r="E68" s="1578">
        <v>0.2</v>
      </c>
      <c r="F68" s="1565">
        <v>30</v>
      </c>
    </row>
    <row r="69" spans="1:6" s="1561" customFormat="1" ht="36">
      <c r="A69" s="1565">
        <v>9</v>
      </c>
      <c r="B69" s="3704"/>
      <c r="C69" s="1491" t="s">
        <v>1647</v>
      </c>
      <c r="D69" s="1491" t="s">
        <v>1648</v>
      </c>
      <c r="E69" s="1578">
        <v>0.2</v>
      </c>
      <c r="F69" s="1565">
        <v>30</v>
      </c>
    </row>
    <row r="70" spans="1:6" s="1561" customFormat="1" ht="48">
      <c r="A70" s="1565">
        <v>10</v>
      </c>
      <c r="B70" s="3704"/>
      <c r="C70" s="1491" t="s">
        <v>1649</v>
      </c>
      <c r="D70" s="1491" t="s">
        <v>1650</v>
      </c>
      <c r="E70" s="1578">
        <v>0.2</v>
      </c>
      <c r="F70" s="1565">
        <v>30</v>
      </c>
    </row>
    <row r="71" spans="1:6" s="1561" customFormat="1" ht="48">
      <c r="A71" s="1565">
        <v>11</v>
      </c>
      <c r="B71" s="3704"/>
      <c r="C71" s="1491" t="s">
        <v>1651</v>
      </c>
      <c r="D71" s="1491" t="s">
        <v>1652</v>
      </c>
      <c r="E71" s="1578">
        <v>0.2</v>
      </c>
      <c r="F71" s="1565">
        <v>30</v>
      </c>
    </row>
    <row r="72" spans="1:6" s="1561" customFormat="1" ht="36">
      <c r="A72" s="1565">
        <v>12</v>
      </c>
      <c r="B72" s="3704"/>
      <c r="C72" s="1491" t="s">
        <v>1653</v>
      </c>
      <c r="D72" s="1491" t="s">
        <v>1654</v>
      </c>
      <c r="E72" s="1578">
        <v>0.5</v>
      </c>
      <c r="F72" s="1565">
        <v>80</v>
      </c>
    </row>
    <row r="73" spans="1:6" s="1561" customFormat="1" ht="24">
      <c r="A73" s="1565">
        <v>13</v>
      </c>
      <c r="B73" s="3704"/>
      <c r="C73" s="1491" t="s">
        <v>1655</v>
      </c>
      <c r="D73" s="1491" t="s">
        <v>1656</v>
      </c>
      <c r="E73" s="1578">
        <v>0.4</v>
      </c>
      <c r="F73" s="1565">
        <v>60</v>
      </c>
    </row>
    <row r="74" spans="1:6" s="1561" customFormat="1" ht="24">
      <c r="A74" s="1565">
        <v>14</v>
      </c>
      <c r="B74" s="3704"/>
      <c r="C74" s="1491" t="s">
        <v>1657</v>
      </c>
      <c r="D74" s="1491" t="s">
        <v>1658</v>
      </c>
      <c r="E74" s="1578">
        <v>0.2</v>
      </c>
      <c r="F74" s="1565">
        <v>30</v>
      </c>
    </row>
    <row r="75" spans="1:6" s="1561" customFormat="1" ht="24">
      <c r="A75" s="1565">
        <v>15</v>
      </c>
      <c r="B75" s="3704"/>
      <c r="C75" s="1491" t="s">
        <v>1659</v>
      </c>
      <c r="D75" s="1491" t="s">
        <v>1660</v>
      </c>
      <c r="E75" s="1578">
        <v>0.2</v>
      </c>
      <c r="F75" s="1565">
        <v>30</v>
      </c>
    </row>
    <row r="76" spans="1:6" s="1561" customFormat="1" ht="24">
      <c r="A76" s="1565">
        <v>16</v>
      </c>
      <c r="B76" s="3704" t="s">
        <v>1661</v>
      </c>
      <c r="C76" s="1491" t="s">
        <v>1662</v>
      </c>
      <c r="D76" s="1491" t="s">
        <v>1663</v>
      </c>
      <c r="E76" s="1578">
        <v>0.5</v>
      </c>
      <c r="F76" s="1565">
        <v>80</v>
      </c>
    </row>
    <row r="77" spans="1:6" s="1561" customFormat="1" ht="24">
      <c r="A77" s="1565">
        <v>17</v>
      </c>
      <c r="B77" s="3704"/>
      <c r="C77" s="1491" t="s">
        <v>1664</v>
      </c>
      <c r="D77" s="1491" t="s">
        <v>1665</v>
      </c>
      <c r="E77" s="1578">
        <v>0.5</v>
      </c>
      <c r="F77" s="1565">
        <v>80</v>
      </c>
    </row>
    <row r="78" spans="1:6" s="1561" customFormat="1" ht="24">
      <c r="A78" s="1565">
        <v>18</v>
      </c>
      <c r="B78" s="3704"/>
      <c r="C78" s="1491" t="s">
        <v>1666</v>
      </c>
      <c r="D78" s="1491" t="s">
        <v>1667</v>
      </c>
      <c r="E78" s="1578">
        <v>0.2</v>
      </c>
      <c r="F78" s="1565">
        <v>30</v>
      </c>
    </row>
    <row r="79" spans="1:6" s="1561" customFormat="1" ht="24">
      <c r="A79" s="1565">
        <v>19</v>
      </c>
      <c r="B79" s="3704"/>
      <c r="C79" s="1491" t="s">
        <v>1668</v>
      </c>
      <c r="D79" s="1491" t="s">
        <v>1669</v>
      </c>
      <c r="E79" s="1578">
        <v>0.5</v>
      </c>
      <c r="F79" s="1565">
        <v>80</v>
      </c>
    </row>
    <row r="80" spans="1:6" s="1561" customFormat="1" ht="36">
      <c r="A80" s="1565">
        <v>20</v>
      </c>
      <c r="B80" s="3704"/>
      <c r="C80" s="1491" t="s">
        <v>1670</v>
      </c>
      <c r="D80" s="1491" t="s">
        <v>1671</v>
      </c>
      <c r="E80" s="1578">
        <v>0.2</v>
      </c>
      <c r="F80" s="1565">
        <v>30</v>
      </c>
    </row>
    <row r="81" spans="1:6" s="1561" customFormat="1" ht="36">
      <c r="A81" s="1565">
        <v>21</v>
      </c>
      <c r="B81" s="3704"/>
      <c r="C81" s="1491" t="s">
        <v>1672</v>
      </c>
      <c r="D81" s="1491" t="s">
        <v>1673</v>
      </c>
      <c r="E81" s="1578">
        <v>0.2</v>
      </c>
      <c r="F81" s="1565">
        <v>30</v>
      </c>
    </row>
    <row r="82" spans="1:6" s="1561" customFormat="1" ht="48">
      <c r="A82" s="1565">
        <v>22</v>
      </c>
      <c r="B82" s="3704"/>
      <c r="C82" s="1491" t="s">
        <v>1674</v>
      </c>
      <c r="D82" s="1491" t="s">
        <v>1675</v>
      </c>
      <c r="E82" s="1578">
        <v>0.2</v>
      </c>
      <c r="F82" s="1565">
        <v>30</v>
      </c>
    </row>
    <row r="83" spans="1:6" s="1561" customFormat="1" ht="48">
      <c r="A83" s="1565">
        <v>23</v>
      </c>
      <c r="B83" s="3704"/>
      <c r="C83" s="1491" t="s">
        <v>1676</v>
      </c>
      <c r="D83" s="1491" t="s">
        <v>1677</v>
      </c>
      <c r="E83" s="1578">
        <v>0.2</v>
      </c>
      <c r="F83" s="1565">
        <v>30</v>
      </c>
    </row>
    <row r="84" spans="1:6" s="1561" customFormat="1" ht="36">
      <c r="A84" s="1565">
        <v>24</v>
      </c>
      <c r="B84" s="3704"/>
      <c r="C84" s="1491" t="s">
        <v>1678</v>
      </c>
      <c r="D84" s="1491" t="s">
        <v>1679</v>
      </c>
      <c r="E84" s="1578">
        <v>0.2</v>
      </c>
      <c r="F84" s="1565">
        <v>30</v>
      </c>
    </row>
    <row r="85" spans="1:6" s="1561" customFormat="1" ht="36">
      <c r="A85" s="1565">
        <v>25</v>
      </c>
      <c r="B85" s="3704"/>
      <c r="C85" s="1491" t="s">
        <v>1680</v>
      </c>
      <c r="D85" s="1491" t="s">
        <v>1681</v>
      </c>
      <c r="E85" s="1578">
        <v>0.5</v>
      </c>
      <c r="F85" s="1565">
        <v>80</v>
      </c>
    </row>
    <row r="86" spans="1:6" s="1561" customFormat="1" ht="36">
      <c r="A86" s="1565">
        <v>26</v>
      </c>
      <c r="B86" s="3704"/>
      <c r="C86" s="1491" t="s">
        <v>1682</v>
      </c>
      <c r="D86" s="1491" t="s">
        <v>1683</v>
      </c>
      <c r="E86" s="1578">
        <v>0.2</v>
      </c>
      <c r="F86" s="1565">
        <v>30</v>
      </c>
    </row>
    <row r="87" spans="1:6" s="1561" customFormat="1" ht="36">
      <c r="A87" s="1565">
        <v>27</v>
      </c>
      <c r="B87" s="3704"/>
      <c r="C87" s="1491" t="s">
        <v>1684</v>
      </c>
      <c r="D87" s="1491" t="s">
        <v>1685</v>
      </c>
      <c r="E87" s="1578">
        <v>0.2</v>
      </c>
      <c r="F87" s="1565">
        <v>30</v>
      </c>
    </row>
    <row r="88" spans="1:6" s="1561" customFormat="1" ht="36">
      <c r="A88" s="1565">
        <v>28</v>
      </c>
      <c r="B88" s="3704"/>
      <c r="C88" s="1491" t="s">
        <v>1686</v>
      </c>
      <c r="D88" s="1491" t="s">
        <v>1687</v>
      </c>
      <c r="E88" s="1578">
        <v>0.2</v>
      </c>
      <c r="F88" s="1565">
        <v>30</v>
      </c>
    </row>
    <row r="89" spans="1:6" s="1561" customFormat="1" ht="24">
      <c r="A89" s="1565">
        <v>29</v>
      </c>
      <c r="B89" s="3704"/>
      <c r="C89" s="1491" t="s">
        <v>1688</v>
      </c>
      <c r="D89" s="1491" t="s">
        <v>1689</v>
      </c>
      <c r="E89" s="1578">
        <v>0.2</v>
      </c>
      <c r="F89" s="1565">
        <v>30</v>
      </c>
    </row>
    <row r="90" spans="1:6" s="1561" customFormat="1" ht="24">
      <c r="A90" s="1565">
        <v>30</v>
      </c>
      <c r="B90" s="3704"/>
      <c r="C90" s="1491" t="s">
        <v>1690</v>
      </c>
      <c r="D90" s="1491" t="s">
        <v>1691</v>
      </c>
      <c r="E90" s="1578">
        <v>0.2</v>
      </c>
      <c r="F90" s="1565">
        <v>30</v>
      </c>
    </row>
    <row r="91" spans="1:6" s="1561" customFormat="1" ht="36">
      <c r="A91" s="1565">
        <v>31</v>
      </c>
      <c r="B91" s="3704"/>
      <c r="C91" s="1491" t="s">
        <v>1692</v>
      </c>
      <c r="D91" s="1491" t="s">
        <v>1693</v>
      </c>
      <c r="E91" s="1578">
        <v>0.2</v>
      </c>
      <c r="F91" s="1565">
        <v>30</v>
      </c>
    </row>
    <row r="92" spans="1:6" s="1561" customFormat="1" ht="24">
      <c r="A92" s="1565">
        <v>32</v>
      </c>
      <c r="B92" s="3704" t="s">
        <v>1694</v>
      </c>
      <c r="C92" s="1565" t="s">
        <v>1695</v>
      </c>
      <c r="D92" s="1491" t="s">
        <v>1696</v>
      </c>
      <c r="E92" s="1578">
        <v>0.2</v>
      </c>
      <c r="F92" s="1565">
        <v>30</v>
      </c>
    </row>
    <row r="93" spans="1:6" s="1561" customFormat="1" ht="36">
      <c r="A93" s="1565">
        <v>33</v>
      </c>
      <c r="B93" s="3704"/>
      <c r="C93" s="1565" t="s">
        <v>1697</v>
      </c>
      <c r="D93" s="1491" t="s">
        <v>1698</v>
      </c>
      <c r="E93" s="1578">
        <v>0.2</v>
      </c>
      <c r="F93" s="1565">
        <v>30</v>
      </c>
    </row>
    <row r="94" spans="1:6" s="1561" customFormat="1" ht="48">
      <c r="A94" s="1565">
        <v>34</v>
      </c>
      <c r="B94" s="3704"/>
      <c r="C94" s="1565" t="s">
        <v>1699</v>
      </c>
      <c r="D94" s="1491" t="s">
        <v>1700</v>
      </c>
      <c r="E94" s="1578">
        <v>0.2</v>
      </c>
      <c r="F94" s="1565">
        <v>30</v>
      </c>
    </row>
    <row r="95" spans="1:6" s="1561" customFormat="1" ht="36">
      <c r="A95" s="1565">
        <v>35</v>
      </c>
      <c r="B95" s="3704"/>
      <c r="C95" s="1565" t="s">
        <v>1701</v>
      </c>
      <c r="D95" s="1491" t="s">
        <v>1702</v>
      </c>
      <c r="E95" s="1578">
        <v>0.2</v>
      </c>
      <c r="F95" s="1565">
        <v>30</v>
      </c>
    </row>
    <row r="96" spans="1:6" s="1561" customFormat="1" ht="48">
      <c r="A96" s="1565">
        <v>36</v>
      </c>
      <c r="B96" s="3704"/>
      <c r="C96" s="1491" t="s">
        <v>1703</v>
      </c>
      <c r="D96" s="1491" t="s">
        <v>1704</v>
      </c>
      <c r="E96" s="1578">
        <v>0.2</v>
      </c>
      <c r="F96" s="1565">
        <v>30</v>
      </c>
    </row>
    <row r="97" spans="1:6" s="1561" customFormat="1" ht="36">
      <c r="A97" s="1565">
        <v>37</v>
      </c>
      <c r="B97" s="3704"/>
      <c r="C97" s="1565" t="s">
        <v>1705</v>
      </c>
      <c r="D97" s="1491" t="s">
        <v>1706</v>
      </c>
      <c r="E97" s="1578">
        <v>0.2</v>
      </c>
      <c r="F97" s="1565">
        <v>30</v>
      </c>
    </row>
    <row r="98" spans="1:6" s="1561" customFormat="1" ht="36">
      <c r="A98" s="1565">
        <v>38</v>
      </c>
      <c r="B98" s="3704"/>
      <c r="C98" s="1565" t="s">
        <v>1707</v>
      </c>
      <c r="D98" s="1491" t="s">
        <v>1708</v>
      </c>
      <c r="E98" s="1578">
        <v>0.2</v>
      </c>
      <c r="F98" s="1565">
        <v>30</v>
      </c>
    </row>
    <row r="99" spans="1:6" s="1561" customFormat="1" ht="36">
      <c r="A99" s="1565">
        <v>39</v>
      </c>
      <c r="B99" s="3704" t="s">
        <v>1709</v>
      </c>
      <c r="C99" s="1565" t="s">
        <v>1710</v>
      </c>
      <c r="D99" s="1491" t="s">
        <v>1711</v>
      </c>
      <c r="E99" s="1578">
        <v>0.3</v>
      </c>
      <c r="F99" s="1565">
        <v>50</v>
      </c>
    </row>
    <row r="100" spans="1:6" s="1561" customFormat="1" ht="24">
      <c r="A100" s="1565">
        <v>40</v>
      </c>
      <c r="B100" s="3704"/>
      <c r="C100" s="1565" t="s">
        <v>1712</v>
      </c>
      <c r="D100" s="1491" t="s">
        <v>1713</v>
      </c>
      <c r="E100" s="1578">
        <v>0.2</v>
      </c>
      <c r="F100" s="1565">
        <v>30</v>
      </c>
    </row>
    <row r="101" spans="1:6" s="1561" customFormat="1" ht="36">
      <c r="A101" s="1565">
        <v>41</v>
      </c>
      <c r="B101" s="3704"/>
      <c r="C101" s="1565" t="s">
        <v>1714</v>
      </c>
      <c r="D101" s="1491" t="s">
        <v>1711</v>
      </c>
      <c r="E101" s="1578">
        <v>0.2</v>
      </c>
      <c r="F101" s="1565">
        <v>30</v>
      </c>
    </row>
    <row r="102" spans="1:6" s="1561" customFormat="1" ht="48">
      <c r="A102" s="1565">
        <v>42</v>
      </c>
      <c r="B102" s="1565" t="s">
        <v>1715</v>
      </c>
      <c r="C102" s="1491" t="s">
        <v>1716</v>
      </c>
      <c r="D102" s="1491" t="s">
        <v>1717</v>
      </c>
      <c r="E102" s="1578">
        <v>0.2</v>
      </c>
      <c r="F102" s="1565">
        <v>30</v>
      </c>
    </row>
    <row r="103" spans="1:6" s="1561" customFormat="1" ht="24">
      <c r="A103" s="1565">
        <v>43</v>
      </c>
      <c r="B103" s="1565" t="s">
        <v>1718</v>
      </c>
      <c r="C103" s="1565" t="s">
        <v>1719</v>
      </c>
      <c r="D103" s="1491" t="s">
        <v>1720</v>
      </c>
      <c r="E103" s="1578">
        <v>0.2</v>
      </c>
      <c r="F103" s="1565">
        <v>30</v>
      </c>
    </row>
    <row r="104" spans="1:6" s="1561" customFormat="1" ht="36">
      <c r="A104" s="1565">
        <v>44</v>
      </c>
      <c r="B104" s="1565" t="s">
        <v>1721</v>
      </c>
      <c r="C104" s="1565" t="s">
        <v>1722</v>
      </c>
      <c r="D104" s="1491" t="s">
        <v>1723</v>
      </c>
      <c r="E104" s="1578">
        <v>0.2</v>
      </c>
      <c r="F104" s="1565">
        <v>30</v>
      </c>
    </row>
    <row r="105" spans="1:6" s="1561" customFormat="1" ht="36">
      <c r="A105" s="1565">
        <v>45</v>
      </c>
      <c r="B105" s="3704" t="s">
        <v>1724</v>
      </c>
      <c r="C105" s="1565" t="s">
        <v>1725</v>
      </c>
      <c r="D105" s="1491" t="s">
        <v>1726</v>
      </c>
      <c r="E105" s="1578">
        <v>0.2</v>
      </c>
      <c r="F105" s="1565">
        <v>30</v>
      </c>
    </row>
    <row r="106" spans="1:6" s="1561" customFormat="1" ht="36">
      <c r="A106" s="1565">
        <v>46</v>
      </c>
      <c r="B106" s="3704"/>
      <c r="C106" s="1565" t="s">
        <v>1727</v>
      </c>
      <c r="D106" s="1491" t="s">
        <v>1728</v>
      </c>
      <c r="E106" s="1578">
        <v>0.2</v>
      </c>
      <c r="F106" s="1565">
        <v>30</v>
      </c>
    </row>
    <row r="107" spans="1:6" s="1561" customFormat="1" ht="36">
      <c r="A107" s="1565">
        <v>47</v>
      </c>
      <c r="B107" s="3704" t="s">
        <v>1729</v>
      </c>
      <c r="C107" s="1565" t="s">
        <v>1730</v>
      </c>
      <c r="D107" s="1491" t="s">
        <v>1731</v>
      </c>
      <c r="E107" s="1578">
        <v>0.3</v>
      </c>
      <c r="F107" s="1565">
        <v>50</v>
      </c>
    </row>
    <row r="108" spans="1:6" s="1561" customFormat="1" ht="36">
      <c r="A108" s="1565">
        <v>48</v>
      </c>
      <c r="B108" s="3704"/>
      <c r="C108" s="1565" t="s">
        <v>1732</v>
      </c>
      <c r="D108" s="1491" t="s">
        <v>1733</v>
      </c>
      <c r="E108" s="1578">
        <v>0.2</v>
      </c>
      <c r="F108" s="1565">
        <v>30</v>
      </c>
    </row>
    <row r="109" spans="1:6" s="1561" customFormat="1" ht="36">
      <c r="A109" s="1565">
        <v>49</v>
      </c>
      <c r="B109" s="1565" t="s">
        <v>1734</v>
      </c>
      <c r="C109" s="1565" t="s">
        <v>1735</v>
      </c>
      <c r="D109" s="1491" t="s">
        <v>1736</v>
      </c>
      <c r="E109" s="1578">
        <v>0.2</v>
      </c>
      <c r="F109" s="1565">
        <v>30</v>
      </c>
    </row>
    <row r="110" spans="1:6" s="1561" customFormat="1" ht="36">
      <c r="A110" s="1565">
        <v>50</v>
      </c>
      <c r="B110" s="1565" t="s">
        <v>1737</v>
      </c>
      <c r="C110" s="1565" t="s">
        <v>1738</v>
      </c>
      <c r="D110" s="1491" t="s">
        <v>1739</v>
      </c>
      <c r="E110" s="1578">
        <v>0.2</v>
      </c>
      <c r="F110" s="1565">
        <v>30</v>
      </c>
    </row>
    <row r="111" spans="1:6" s="1561" customFormat="1" ht="36">
      <c r="A111" s="1565">
        <v>51</v>
      </c>
      <c r="B111" s="3704" t="s">
        <v>1740</v>
      </c>
      <c r="C111" s="1565" t="s">
        <v>1741</v>
      </c>
      <c r="D111" s="1491" t="s">
        <v>1742</v>
      </c>
      <c r="E111" s="1578">
        <v>0.2</v>
      </c>
      <c r="F111" s="1565">
        <v>30</v>
      </c>
    </row>
    <row r="112" spans="1:6" s="1561" customFormat="1" ht="24">
      <c r="A112" s="1565">
        <v>52</v>
      </c>
      <c r="B112" s="3704"/>
      <c r="C112" s="1565" t="s">
        <v>1743</v>
      </c>
      <c r="D112" s="1491" t="s">
        <v>1744</v>
      </c>
      <c r="E112" s="1578">
        <v>0.2</v>
      </c>
      <c r="F112" s="1565">
        <v>30</v>
      </c>
    </row>
    <row r="113" spans="1:6" s="1561" customFormat="1" ht="24">
      <c r="A113" s="1565">
        <v>53</v>
      </c>
      <c r="B113" s="3704"/>
      <c r="C113" s="1565" t="s">
        <v>1745</v>
      </c>
      <c r="D113" s="1491" t="s">
        <v>1746</v>
      </c>
      <c r="E113" s="1578">
        <v>0.2</v>
      </c>
      <c r="F113" s="1565">
        <v>30</v>
      </c>
    </row>
    <row r="114" spans="1:6" ht="36">
      <c r="A114" s="1565">
        <v>54</v>
      </c>
      <c r="B114" s="1565" t="s">
        <v>1747</v>
      </c>
      <c r="C114" s="1565" t="s">
        <v>1748</v>
      </c>
      <c r="D114" s="1491" t="s">
        <v>1749</v>
      </c>
      <c r="E114" s="1578">
        <v>0.2</v>
      </c>
      <c r="F114" s="1565">
        <v>30</v>
      </c>
    </row>
    <row r="115" spans="1:6" ht="24">
      <c r="A115" s="1565">
        <v>55</v>
      </c>
      <c r="B115" s="1565" t="s">
        <v>1750</v>
      </c>
      <c r="C115" s="1565" t="s">
        <v>1751</v>
      </c>
      <c r="D115" s="1491" t="s">
        <v>1752</v>
      </c>
      <c r="E115" s="1578">
        <v>0.2</v>
      </c>
      <c r="F115" s="1565">
        <v>30</v>
      </c>
    </row>
    <row r="116" spans="1:6" ht="24">
      <c r="A116" s="1565">
        <v>56</v>
      </c>
      <c r="B116" s="3704" t="s">
        <v>1753</v>
      </c>
      <c r="C116" s="1565" t="s">
        <v>1754</v>
      </c>
      <c r="D116" s="1491" t="s">
        <v>1755</v>
      </c>
      <c r="E116" s="1578">
        <v>0.2</v>
      </c>
      <c r="F116" s="1565">
        <v>30</v>
      </c>
    </row>
    <row r="117" spans="1:6" ht="36">
      <c r="A117" s="1565">
        <v>57</v>
      </c>
      <c r="B117" s="3704"/>
      <c r="C117" s="1565" t="s">
        <v>1756</v>
      </c>
      <c r="D117" s="1491" t="s">
        <v>1757</v>
      </c>
      <c r="E117" s="1578">
        <v>0.2</v>
      </c>
      <c r="F117" s="1565">
        <v>30</v>
      </c>
    </row>
    <row r="118" spans="1:6" ht="36">
      <c r="A118" s="1565">
        <v>58</v>
      </c>
      <c r="B118" s="1565" t="s">
        <v>1758</v>
      </c>
      <c r="C118" s="1565" t="s">
        <v>1759</v>
      </c>
      <c r="D118" s="1491" t="s">
        <v>1760</v>
      </c>
      <c r="E118" s="1578">
        <v>0.2</v>
      </c>
      <c r="F118" s="1565">
        <v>30</v>
      </c>
    </row>
    <row r="119" spans="1:6" ht="13.5">
      <c r="A119" s="1565"/>
      <c r="B119" s="1565"/>
      <c r="C119" s="1565" t="s">
        <v>1761</v>
      </c>
      <c r="D119" s="1565"/>
      <c r="E119" s="1578" t="s">
        <v>1571</v>
      </c>
      <c r="F119" s="1565"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1771</v>
      </c>
      <c r="B1" s="1589"/>
      <c r="C1" s="1589"/>
      <c r="D1" s="1589"/>
      <c r="E1" s="1589"/>
      <c r="F1" s="1589"/>
      <c r="G1" s="1589"/>
      <c r="H1" s="1589"/>
      <c r="I1" s="1589"/>
      <c r="J1" s="1589"/>
      <c r="K1" s="1589"/>
      <c r="L1" s="1589"/>
      <c r="M1" s="1589"/>
      <c r="N1" s="1589"/>
    </row>
    <row r="2" spans="1:14">
      <c r="A2" s="1591" t="s">
        <v>1768</v>
      </c>
      <c r="B2" s="1592" t="s">
        <v>1173</v>
      </c>
      <c r="C2" s="1592" t="s">
        <v>1174</v>
      </c>
      <c r="D2" s="1592" t="s">
        <v>1175</v>
      </c>
      <c r="E2" s="1592" t="s">
        <v>1176</v>
      </c>
      <c r="F2" s="1592" t="s">
        <v>1177</v>
      </c>
      <c r="G2" s="1592" t="s">
        <v>1178</v>
      </c>
      <c r="H2" s="1593" t="s">
        <v>1179</v>
      </c>
      <c r="I2" s="1593" t="s">
        <v>1180</v>
      </c>
      <c r="J2" s="1594" t="s">
        <v>1181</v>
      </c>
      <c r="K2" s="1594" t="s">
        <v>1182</v>
      </c>
      <c r="L2" s="1594" t="s">
        <v>1183</v>
      </c>
      <c r="M2" s="1594" t="s">
        <v>1184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1777</v>
      </c>
      <c r="B103" s="1589"/>
      <c r="C103" s="1589"/>
      <c r="D103" s="1589"/>
      <c r="E103" s="1589"/>
      <c r="F103" s="1589"/>
      <c r="G103" s="1589"/>
      <c r="H103" s="1589"/>
      <c r="I103" s="1589"/>
      <c r="J103" s="1589"/>
      <c r="K103" s="1589"/>
      <c r="L103" s="1589"/>
      <c r="M103" s="1589"/>
      <c r="N103" s="1589"/>
    </row>
    <row r="104" spans="1:14" ht="14.25">
      <c r="A104" s="1591" t="s">
        <v>1768</v>
      </c>
      <c r="B104" s="1592" t="s">
        <v>1173</v>
      </c>
      <c r="C104" s="1592" t="s">
        <v>1174</v>
      </c>
      <c r="D104" s="1592" t="s">
        <v>1175</v>
      </c>
      <c r="E104" s="1592" t="s">
        <v>1176</v>
      </c>
      <c r="F104" s="1592" t="s">
        <v>1177</v>
      </c>
      <c r="G104" s="1592" t="s">
        <v>1178</v>
      </c>
      <c r="H104" s="1593" t="s">
        <v>1179</v>
      </c>
      <c r="I104" s="1593" t="s">
        <v>1180</v>
      </c>
      <c r="J104" s="1594" t="s">
        <v>1181</v>
      </c>
      <c r="K104" s="1594" t="s">
        <v>1182</v>
      </c>
      <c r="L104" s="1594" t="s">
        <v>1183</v>
      </c>
      <c r="M104" s="1594" t="s">
        <v>1184</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1778</v>
      </c>
      <c r="B205" s="1589"/>
      <c r="C205" s="1589"/>
      <c r="D205" s="1589"/>
      <c r="E205" s="1589"/>
      <c r="F205" s="1589"/>
      <c r="G205" s="1589"/>
      <c r="H205" s="1589"/>
      <c r="I205" s="1589"/>
      <c r="J205" s="1589"/>
      <c r="K205" s="1589"/>
      <c r="L205" s="1589"/>
      <c r="M205" s="1589"/>
    </row>
    <row r="206" spans="1:13">
      <c r="A206" s="1591" t="s">
        <v>1768</v>
      </c>
      <c r="B206" s="1592" t="s">
        <v>1173</v>
      </c>
      <c r="C206" s="1592" t="s">
        <v>1174</v>
      </c>
      <c r="D206" s="1592" t="s">
        <v>1175</v>
      </c>
      <c r="E206" s="1592" t="s">
        <v>1176</v>
      </c>
      <c r="F206" s="1592" t="s">
        <v>1177</v>
      </c>
      <c r="G206" s="1592" t="s">
        <v>1178</v>
      </c>
      <c r="H206" s="1593" t="s">
        <v>1179</v>
      </c>
      <c r="I206" s="1593" t="s">
        <v>1180</v>
      </c>
      <c r="J206" s="1594" t="s">
        <v>1181</v>
      </c>
      <c r="K206" s="1594" t="s">
        <v>1182</v>
      </c>
      <c r="L206" s="1594" t="s">
        <v>1183</v>
      </c>
      <c r="M206" s="1594" t="s">
        <v>1184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1779</v>
      </c>
      <c r="B307" s="1589"/>
      <c r="C307" s="1589"/>
      <c r="D307" s="1589"/>
      <c r="E307" s="1589"/>
      <c r="F307" s="1589"/>
      <c r="G307" s="1589"/>
      <c r="H307" s="1589"/>
      <c r="I307" s="1589"/>
      <c r="J307" s="1589"/>
      <c r="K307" s="1589"/>
      <c r="L307" s="1589"/>
      <c r="M307" s="1589"/>
    </row>
    <row r="308" spans="1:13">
      <c r="A308" s="1591" t="s">
        <v>1768</v>
      </c>
      <c r="B308" s="1592" t="s">
        <v>1173</v>
      </c>
      <c r="C308" s="1592" t="s">
        <v>1174</v>
      </c>
      <c r="D308" s="1592" t="s">
        <v>1175</v>
      </c>
      <c r="E308" s="1592" t="s">
        <v>1176</v>
      </c>
      <c r="F308" s="1592" t="s">
        <v>1177</v>
      </c>
      <c r="G308" s="1592" t="s">
        <v>1178</v>
      </c>
      <c r="H308" s="1593" t="s">
        <v>1179</v>
      </c>
      <c r="I308" s="1593" t="s">
        <v>1180</v>
      </c>
      <c r="J308" s="1594" t="s">
        <v>1181</v>
      </c>
      <c r="K308" s="1594" t="s">
        <v>1182</v>
      </c>
      <c r="L308" s="1594" t="s">
        <v>1183</v>
      </c>
      <c r="M308" s="1594" t="s">
        <v>1184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3062</v>
      </c>
    </row>
    <row r="2" spans="1:5" ht="14.25">
      <c r="A2" s="3334" t="s">
        <v>206</v>
      </c>
      <c r="B2" s="3331" t="e">
        <f ca="1">SUMIF(B6:B13,"&lt;&gt;#ref!",B6:B13)</f>
        <v>#DIV/0!</v>
      </c>
      <c r="C2" s="3334" t="s">
        <v>2671</v>
      </c>
      <c r="D2" s="3334" t="s">
        <v>3057</v>
      </c>
      <c r="E2" s="3331" t="e">
        <f ca="1">SUM(E6:E13)</f>
        <v>#REF!</v>
      </c>
    </row>
    <row r="3" spans="1:5" ht="14.25">
      <c r="A3" s="3334" t="s">
        <v>8</v>
      </c>
      <c r="B3" s="3331" t="e">
        <f ca="1">ROUND(B2*10000/E2,0)</f>
        <v>#DIV/0!</v>
      </c>
      <c r="C3" s="3334" t="s">
        <v>2672</v>
      </c>
      <c r="D3" s="3332"/>
      <c r="E3" s="3332"/>
    </row>
    <row r="4" spans="1:5" ht="14.25">
      <c r="A4" s="3335"/>
      <c r="B4" s="3332"/>
      <c r="C4" s="3332"/>
      <c r="D4" s="3332"/>
      <c r="E4" s="3332"/>
    </row>
    <row r="5" spans="1:5" ht="28.5">
      <c r="A5" s="3336" t="s">
        <v>3060</v>
      </c>
      <c r="B5" s="3334" t="s">
        <v>3058</v>
      </c>
      <c r="C5" s="3331"/>
      <c r="D5" s="3332"/>
      <c r="E5" s="3334" t="s">
        <v>3059</v>
      </c>
    </row>
    <row r="6" spans="1:5" ht="14.25">
      <c r="A6" s="3337" t="s">
        <v>3061</v>
      </c>
      <c r="B6" s="3333" t="e">
        <f ca="1">SUMIF(INDIRECT("'"&amp;A6&amp;"'"&amp;"!A:A"),"总价",INDIRECT("'"&amp;A6&amp;"'"&amp;"!B:B"))</f>
        <v>#DIV/0!</v>
      </c>
      <c r="C6" s="3334" t="s">
        <v>2671</v>
      </c>
      <c r="D6" s="3332"/>
      <c r="E6" s="2780">
        <f ca="1">SUMIF(INDIRECT("'"&amp;A6&amp;"'"&amp;"!C:C"),"建筑面积",INDIRECT("'"&amp;A6&amp;"'"&amp;"!D:D"))</f>
        <v>0</v>
      </c>
    </row>
    <row r="7" spans="1:5" ht="14.25">
      <c r="A7" s="3337"/>
      <c r="B7" s="3333" t="e">
        <f ca="1">SUMIF(INDIRECT("'"&amp;A7&amp;"'"&amp;"!A:A"),"总价",INDIRECT("'"&amp;A7&amp;"'"&amp;"!B:B"))</f>
        <v>#REF!</v>
      </c>
      <c r="C7" s="3334" t="s">
        <v>2671</v>
      </c>
      <c r="D7" s="3332"/>
      <c r="E7" s="2780" t="e">
        <f t="shared" ref="E7:E13" ca="1" si="0">SUMIF(INDIRECT("'"&amp;A7&amp;"'"&amp;"!C:C"),"建筑面积",INDIRECT("'"&amp;A7&amp;"'"&amp;"!D:D"))</f>
        <v>#REF!</v>
      </c>
    </row>
    <row r="8" spans="1:5" ht="14.25">
      <c r="A8" s="3337"/>
      <c r="B8" s="3333" t="e">
        <f t="shared" ref="B8:B13" ca="1" si="1">SUMIF(INDIRECT("'"&amp;A8&amp;"'"&amp;"!A:A"),"总价",INDIRECT("'"&amp;A8&amp;"'"&amp;"!B:B"))</f>
        <v>#REF!</v>
      </c>
      <c r="C8" s="3334" t="s">
        <v>2671</v>
      </c>
      <c r="D8" s="3332"/>
      <c r="E8" s="2780" t="e">
        <f t="shared" ca="1" si="0"/>
        <v>#REF!</v>
      </c>
    </row>
    <row r="9" spans="1:5" ht="14.25">
      <c r="A9" s="3337"/>
      <c r="B9" s="3333" t="e">
        <f t="shared" ca="1" si="1"/>
        <v>#REF!</v>
      </c>
      <c r="C9" s="3334" t="s">
        <v>2671</v>
      </c>
      <c r="D9" s="3332"/>
      <c r="E9" s="2780" t="e">
        <f t="shared" ca="1" si="0"/>
        <v>#REF!</v>
      </c>
    </row>
    <row r="10" spans="1:5" ht="14.25">
      <c r="A10" s="3337"/>
      <c r="B10" s="3333" t="e">
        <f t="shared" ca="1" si="1"/>
        <v>#REF!</v>
      </c>
      <c r="C10" s="3334" t="s">
        <v>2671</v>
      </c>
      <c r="D10" s="3332"/>
      <c r="E10" s="2780" t="e">
        <f t="shared" ca="1" si="0"/>
        <v>#REF!</v>
      </c>
    </row>
    <row r="11" spans="1:5" ht="14.25">
      <c r="A11" s="3337"/>
      <c r="B11" s="3333" t="e">
        <f t="shared" ca="1" si="1"/>
        <v>#REF!</v>
      </c>
      <c r="C11" s="3334" t="s">
        <v>2671</v>
      </c>
      <c r="D11" s="3332"/>
      <c r="E11" s="2780" t="e">
        <f t="shared" ca="1" si="0"/>
        <v>#REF!</v>
      </c>
    </row>
    <row r="12" spans="1:5" ht="14.25">
      <c r="A12" s="3337"/>
      <c r="B12" s="3333" t="e">
        <f t="shared" ca="1" si="1"/>
        <v>#REF!</v>
      </c>
      <c r="C12" s="3334" t="s">
        <v>2671</v>
      </c>
      <c r="D12" s="3332"/>
      <c r="E12" s="2780" t="e">
        <f t="shared" ca="1" si="0"/>
        <v>#REF!</v>
      </c>
    </row>
    <row r="13" spans="1:5" ht="14.25">
      <c r="A13" s="3337"/>
      <c r="B13" s="3333" t="e">
        <f t="shared" ca="1" si="1"/>
        <v>#REF!</v>
      </c>
      <c r="C13" s="3334" t="s">
        <v>2671</v>
      </c>
      <c r="D13" s="3332"/>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2029</v>
      </c>
      <c r="B1" s="1956"/>
      <c r="C1" s="1956"/>
      <c r="D1" s="1956"/>
      <c r="E1" s="1956"/>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68"/>
      <c r="B4" s="3367" t="s">
        <v>2034</v>
      </c>
      <c r="C4" s="3367"/>
      <c r="D4" s="3367"/>
      <c r="E4" s="1968"/>
    </row>
    <row r="5" spans="1:5" ht="16.5" thickTop="1">
      <c r="A5" s="1956"/>
      <c r="B5" s="3365" t="s">
        <v>2030</v>
      </c>
      <c r="C5" s="1958" t="s">
        <v>2035</v>
      </c>
      <c r="D5" s="1959">
        <f ca="1">结果表!H101</f>
        <v>115335</v>
      </c>
      <c r="E5" s="1956"/>
    </row>
    <row r="6" spans="1:5" ht="15.75">
      <c r="A6" s="1956"/>
      <c r="B6" s="3365"/>
      <c r="C6" s="1958" t="s">
        <v>2874</v>
      </c>
      <c r="D6" s="1959" t="str">
        <f ca="1">NUMBERSTRING(INT(D5*10000),2)&amp;"元整"</f>
        <v>壹拾壹亿伍仟叁佰叁拾伍万元整</v>
      </c>
      <c r="E6" s="1956"/>
    </row>
    <row r="7" spans="1:5" ht="15.75">
      <c r="A7" s="1956"/>
      <c r="B7" s="3370"/>
      <c r="C7" s="1960" t="s">
        <v>2036</v>
      </c>
      <c r="D7" s="1961">
        <f ca="1">结果表!H102</f>
        <v>12027</v>
      </c>
      <c r="E7" s="1956"/>
    </row>
    <row r="8" spans="1:5" ht="15.75">
      <c r="A8" s="1956"/>
      <c r="B8" s="3371" t="str">
        <f>结果表!E103</f>
        <v>2.估价师知悉的法定优先受偿款</v>
      </c>
      <c r="C8" s="1962" t="s">
        <v>2037</v>
      </c>
      <c r="D8" s="1961">
        <f>结果表!H103</f>
        <v>0</v>
      </c>
      <c r="E8" s="1956"/>
    </row>
    <row r="9" spans="1:5" ht="15.75">
      <c r="A9" s="1956"/>
      <c r="B9" s="3373"/>
      <c r="C9" s="1958" t="s">
        <v>2874</v>
      </c>
      <c r="D9" s="1959" t="str">
        <f>NUMBERSTRING(INT(D8*10000),2)&amp;"元整"</f>
        <v>零元整</v>
      </c>
      <c r="E9" s="1956"/>
    </row>
    <row r="10" spans="1:5" ht="15">
      <c r="A10" s="1956"/>
      <c r="B10" s="1963" t="s">
        <v>2031</v>
      </c>
      <c r="C10" s="1964" t="s">
        <v>2037</v>
      </c>
      <c r="D10" s="1965">
        <f>结果表!H104</f>
        <v>0</v>
      </c>
      <c r="E10" s="1956"/>
    </row>
    <row r="11" spans="1:5" ht="15">
      <c r="A11" s="1956"/>
      <c r="B11" s="1963" t="s">
        <v>2032</v>
      </c>
      <c r="C11" s="1964" t="s">
        <v>2037</v>
      </c>
      <c r="D11" s="1965">
        <f>结果表!H105</f>
        <v>0</v>
      </c>
      <c r="E11" s="1956"/>
    </row>
    <row r="12" spans="1:5" ht="15">
      <c r="A12" s="1956"/>
      <c r="B12" s="1963" t="s">
        <v>2033</v>
      </c>
      <c r="C12" s="1964" t="s">
        <v>2037</v>
      </c>
      <c r="D12" s="1965">
        <f>结果表!H106</f>
        <v>0</v>
      </c>
      <c r="E12" s="1956"/>
    </row>
    <row r="13" spans="1:5" ht="15.75">
      <c r="A13" s="1956"/>
      <c r="B13" s="3364" t="str">
        <f>结果表!E107</f>
        <v>3.房地产抵押价值</v>
      </c>
      <c r="C13" s="1966" t="s">
        <v>2035</v>
      </c>
      <c r="D13" s="1969">
        <f ca="1">结果表!H107</f>
        <v>115335</v>
      </c>
      <c r="E13" s="1956"/>
    </row>
    <row r="14" spans="1:5" ht="15.75">
      <c r="A14" s="1956"/>
      <c r="B14" s="3365"/>
      <c r="C14" s="1958" t="s">
        <v>2874</v>
      </c>
      <c r="D14" s="1959" t="str">
        <f ca="1">NUMBERSTRING(INT(D13*10000),2)&amp;"元整"</f>
        <v>壹拾壹亿伍仟叁佰叁拾伍万元整</v>
      </c>
      <c r="E14" s="1956"/>
    </row>
    <row r="15" spans="1:5" ht="15">
      <c r="A15" s="1956"/>
      <c r="B15" s="3370"/>
      <c r="C15" s="1960" t="s">
        <v>2036</v>
      </c>
      <c r="D15" s="2071">
        <f ca="1">结果表!H108</f>
        <v>12027</v>
      </c>
      <c r="E15" s="1956"/>
    </row>
    <row r="16" spans="1:5" ht="14.25">
      <c r="A16" s="1956"/>
      <c r="B16" s="3371" t="str">
        <f>结果表!E109</f>
        <v>——</v>
      </c>
      <c r="C16" s="1966" t="s">
        <v>2035</v>
      </c>
      <c r="D16" s="2072" t="str">
        <f>结果表!H109</f>
        <v>——</v>
      </c>
      <c r="E16" s="1956"/>
    </row>
    <row r="17" spans="1:5" ht="15.75">
      <c r="A17" s="1956"/>
      <c r="B17" s="3372"/>
      <c r="C17" s="1958" t="s">
        <v>2874</v>
      </c>
      <c r="D17" s="1959" t="e">
        <f>NUMBERSTRING(INT(D16*10000),2)&amp;"元整"</f>
        <v>#VALUE!</v>
      </c>
      <c r="E17" s="1956"/>
    </row>
    <row r="18" spans="1:5" ht="15">
      <c r="A18" s="1956"/>
      <c r="B18" s="3373"/>
      <c r="C18" s="1960" t="s">
        <v>2036</v>
      </c>
      <c r="D18" s="2071" t="str">
        <f>结果表!H110</f>
        <v>——</v>
      </c>
      <c r="E18" s="1956"/>
    </row>
    <row r="19" spans="1:5" ht="15.75">
      <c r="A19" s="1956"/>
      <c r="B19" s="3364" t="str">
        <f>结果表!E111</f>
        <v>——</v>
      </c>
      <c r="C19" s="1966" t="s">
        <v>2035</v>
      </c>
      <c r="D19" s="1961" t="str">
        <f>结果表!H111</f>
        <v>——</v>
      </c>
      <c r="E19" s="1956"/>
    </row>
    <row r="20" spans="1:5" ht="15.75">
      <c r="A20" s="1956"/>
      <c r="B20" s="3365"/>
      <c r="C20" s="1958" t="s">
        <v>2874</v>
      </c>
      <c r="D20" s="1959" t="e">
        <f>NUMBERSTRING(INT(D19*10000),2)&amp;"元整"</f>
        <v>#VALUE!</v>
      </c>
      <c r="E20" s="1956"/>
    </row>
    <row r="21" spans="1:5" ht="15.75" thickBot="1">
      <c r="A21" s="1956"/>
      <c r="B21" s="3366"/>
      <c r="C21" s="2073" t="s">
        <v>2036</v>
      </c>
      <c r="D21" s="2074" t="str">
        <f>结果表!H112</f>
        <v>——</v>
      </c>
      <c r="E21" s="1956"/>
    </row>
    <row r="22" spans="1:5" ht="14.25" thickTop="1">
      <c r="A22" s="1956"/>
      <c r="B22" s="1967" t="s">
        <v>2062</v>
      </c>
      <c r="C22" s="1956"/>
      <c r="D22" s="1956"/>
      <c r="E22" s="1956"/>
    </row>
    <row r="23" spans="1:5">
      <c r="A23" s="1956"/>
      <c r="B23" s="1956"/>
      <c r="C23" s="1956"/>
      <c r="D23" s="1956"/>
      <c r="E23" s="1956"/>
    </row>
    <row r="24" spans="1:5" ht="18.75">
      <c r="A24" s="1987"/>
      <c r="B24" s="1988" t="s">
        <v>2042</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7" t="s">
        <v>2713</v>
      </c>
      <c r="C1" s="3727"/>
      <c r="D1" s="3727"/>
      <c r="E1" s="3727"/>
      <c r="F1" s="3727"/>
      <c r="G1" s="3723" t="s">
        <v>2714</v>
      </c>
      <c r="H1" s="3723"/>
      <c r="I1" s="3723"/>
      <c r="J1" s="3723"/>
      <c r="K1" s="3723"/>
      <c r="L1" s="3723"/>
      <c r="N1" s="3723" t="s">
        <v>2715</v>
      </c>
      <c r="O1" s="3723"/>
      <c r="P1" s="3723"/>
      <c r="Q1" s="3723"/>
      <c r="R1" s="2891"/>
      <c r="S1" s="3723" t="s">
        <v>2716</v>
      </c>
      <c r="T1" s="3723"/>
      <c r="U1" s="3723"/>
      <c r="V1" s="3723"/>
      <c r="X1" s="3722" t="s">
        <v>2717</v>
      </c>
      <c r="Y1" s="3723"/>
      <c r="Z1" s="3723"/>
      <c r="AA1" s="3723"/>
      <c r="AB1" s="3723"/>
      <c r="AD1" s="3722" t="s">
        <v>2718</v>
      </c>
      <c r="AE1" s="3723"/>
      <c r="AF1" s="3723"/>
      <c r="AG1" s="3723"/>
      <c r="AH1" s="3723"/>
    </row>
    <row r="2" spans="1:34" s="2892" customFormat="1" ht="14.25" thickBot="1">
      <c r="B2" s="2893" t="s">
        <v>2719</v>
      </c>
      <c r="C2" s="2893" t="s">
        <v>2720</v>
      </c>
      <c r="D2" s="2894" t="s">
        <v>2721</v>
      </c>
      <c r="E2" s="2894" t="s">
        <v>2722</v>
      </c>
      <c r="F2" s="2893" t="s">
        <v>2723</v>
      </c>
      <c r="G2" s="2895"/>
      <c r="H2" s="2896"/>
      <c r="I2" s="2893" t="s">
        <v>2719</v>
      </c>
      <c r="J2" s="2894" t="s">
        <v>3063</v>
      </c>
      <c r="K2" s="2894" t="s">
        <v>1847</v>
      </c>
      <c r="L2" s="2893" t="s">
        <v>2723</v>
      </c>
      <c r="N2" s="2893" t="s">
        <v>2719</v>
      </c>
      <c r="O2" s="2894" t="s">
        <v>3063</v>
      </c>
      <c r="P2" s="2894" t="s">
        <v>1847</v>
      </c>
      <c r="Q2" s="2893" t="s">
        <v>2723</v>
      </c>
      <c r="R2" s="2897"/>
      <c r="S2" s="2893" t="s">
        <v>2719</v>
      </c>
      <c r="T2" s="2894" t="s">
        <v>3063</v>
      </c>
      <c r="U2" s="2894" t="s">
        <v>1847</v>
      </c>
      <c r="V2" s="2893" t="s">
        <v>2723</v>
      </c>
      <c r="X2" s="2893" t="s">
        <v>2719</v>
      </c>
      <c r="Y2" s="2893" t="s">
        <v>2720</v>
      </c>
      <c r="Z2" s="2894" t="s">
        <v>2721</v>
      </c>
      <c r="AA2" s="2894" t="s">
        <v>2722</v>
      </c>
      <c r="AB2" s="2893" t="s">
        <v>2723</v>
      </c>
      <c r="AD2" s="2893" t="s">
        <v>2719</v>
      </c>
      <c r="AE2" s="2893" t="s">
        <v>2720</v>
      </c>
      <c r="AF2" s="2894" t="s">
        <v>2721</v>
      </c>
      <c r="AG2" s="2894" t="s">
        <v>2722</v>
      </c>
      <c r="AH2" s="2893" t="s">
        <v>2723</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2724</v>
      </c>
      <c r="B4" s="2907"/>
      <c r="C4" s="2907"/>
      <c r="D4" s="2907"/>
      <c r="E4" s="2907"/>
      <c r="F4" s="2907"/>
      <c r="G4" s="3728">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30" customFormat="1">
      <c r="A5" s="3228" t="s">
        <v>2725</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725"/>
      <c r="H5" s="3229">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1"/>
      <c r="S5" s="3232"/>
      <c r="T5" s="3231"/>
      <c r="U5" s="3231"/>
      <c r="V5" s="3231"/>
      <c r="W5" s="2916" t="s">
        <v>2727</v>
      </c>
      <c r="X5" s="3221">
        <f>ROUND(SUMPRODUCT(PRODUCT(1+N5:N$18)),4)</f>
        <v>1.3963000000000001</v>
      </c>
      <c r="Y5" s="3221">
        <f>ROUND(SUMPRODUCT(PRODUCT(1+O5:O$18)),4)</f>
        <v>1.2401</v>
      </c>
      <c r="Z5" s="3221">
        <f t="shared" si="0"/>
        <v>1.2401</v>
      </c>
      <c r="AA5" s="3221">
        <f>ROUND(SUMPRODUCT(PRODUCT(1+P5:P$18)),4)</f>
        <v>1.4508000000000001</v>
      </c>
      <c r="AB5" s="3221">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30" customFormat="1">
      <c r="A6" s="2906" t="s">
        <v>3064</v>
      </c>
      <c r="B6" s="2926">
        <f t="shared" si="2"/>
        <v>419.31181600000002</v>
      </c>
      <c r="C6" s="2926">
        <f t="shared" si="3"/>
        <v>313.95436800000004</v>
      </c>
      <c r="D6" s="2926">
        <f t="shared" si="4"/>
        <v>313.95436800000004</v>
      </c>
      <c r="E6" s="2926">
        <f t="shared" si="5"/>
        <v>596.63028431999999</v>
      </c>
      <c r="F6" s="2926">
        <f t="shared" si="6"/>
        <v>274.74220703999998</v>
      </c>
      <c r="G6" s="3725"/>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898"/>
      <c r="AD6" s="3340">
        <f>ROUND(AVERAGE(I6:I$19)/100,4)</f>
        <v>2.46E-2</v>
      </c>
      <c r="AE6" s="3340">
        <f>ROUND(AVERAGE(J6:J$19)/100,4)</f>
        <v>1.6E-2</v>
      </c>
      <c r="AF6" s="3340">
        <f t="shared" si="1"/>
        <v>1.6E-2</v>
      </c>
      <c r="AG6" s="3340">
        <f>ROUND(AVERAGE(K6:K$19)/100,4)</f>
        <v>2.75E-2</v>
      </c>
      <c r="AH6" s="3340">
        <f>ROUND(AVERAGE(L6:L$19)/100,4)</f>
        <v>1.37E-2</v>
      </c>
    </row>
    <row r="7" spans="1:34" s="2914" customFormat="1" ht="13.5" thickBot="1">
      <c r="A7" s="2906" t="s">
        <v>2726</v>
      </c>
      <c r="B7" s="2926">
        <f>B8*(1+N7)</f>
        <v>405.524</v>
      </c>
      <c r="C7" s="2926">
        <f>C8*(1+O7)</f>
        <v>307.79840000000002</v>
      </c>
      <c r="D7" s="2926">
        <f>C7</f>
        <v>307.79840000000002</v>
      </c>
      <c r="E7" s="2926">
        <f>E8*(1+P7)</f>
        <v>574.67759999999998</v>
      </c>
      <c r="F7" s="2926">
        <f>F8*(1+Q7)</f>
        <v>270.20280000000002</v>
      </c>
      <c r="G7" s="3726"/>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06" t="s">
        <v>1162</v>
      </c>
      <c r="B8" s="2918">
        <v>392</v>
      </c>
      <c r="C8" s="2918">
        <v>302</v>
      </c>
      <c r="D8" s="2918">
        <f>C8</f>
        <v>302</v>
      </c>
      <c r="E8" s="2918">
        <v>553</v>
      </c>
      <c r="F8" s="2919">
        <v>266</v>
      </c>
      <c r="G8" s="3728">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1161</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5"/>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1151</v>
      </c>
      <c r="B10" s="2926">
        <f t="shared" si="15"/>
        <v>360.06949782209392</v>
      </c>
      <c r="C10" s="2926">
        <f t="shared" si="15"/>
        <v>289.84672674747821</v>
      </c>
      <c r="D10" s="2926">
        <f t="shared" si="16"/>
        <v>289.84672674747821</v>
      </c>
      <c r="E10" s="2926">
        <f t="shared" si="17"/>
        <v>501.06543001181495</v>
      </c>
      <c r="F10" s="2926">
        <f t="shared" si="17"/>
        <v>256.82882500744967</v>
      </c>
      <c r="G10" s="3725"/>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1160</v>
      </c>
      <c r="B11" s="2926">
        <f t="shared" si="15"/>
        <v>346.720748986128</v>
      </c>
      <c r="C11" s="2926">
        <f t="shared" si="15"/>
        <v>284.30282172386285</v>
      </c>
      <c r="D11" s="2926">
        <f t="shared" si="16"/>
        <v>284.30282172386285</v>
      </c>
      <c r="E11" s="2926">
        <f t="shared" si="17"/>
        <v>479.58023546306947</v>
      </c>
      <c r="F11" s="2926">
        <f t="shared" si="17"/>
        <v>253.25788877571213</v>
      </c>
      <c r="G11" s="3726"/>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1159</v>
      </c>
      <c r="B12" s="2918">
        <v>333</v>
      </c>
      <c r="C12" s="2918">
        <v>277</v>
      </c>
      <c r="D12" s="2918">
        <f t="shared" si="16"/>
        <v>277</v>
      </c>
      <c r="E12" s="2918">
        <v>459</v>
      </c>
      <c r="F12" s="2919">
        <v>249</v>
      </c>
      <c r="G12" s="3724">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1158</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5"/>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1157</v>
      </c>
      <c r="B14" s="2926">
        <f t="shared" si="19"/>
        <v>322.34053690220776</v>
      </c>
      <c r="C14" s="2926">
        <f t="shared" si="19"/>
        <v>271.46160770422546</v>
      </c>
      <c r="D14" s="2926">
        <f t="shared" si="16"/>
        <v>271.46160770422546</v>
      </c>
      <c r="E14" s="2926">
        <f t="shared" si="20"/>
        <v>442.69434542172456</v>
      </c>
      <c r="F14" s="2926">
        <f t="shared" si="20"/>
        <v>241.34030753190925</v>
      </c>
      <c r="G14" s="3725"/>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1156</v>
      </c>
      <c r="B15" s="2926">
        <f t="shared" si="19"/>
        <v>319.87748030386797</v>
      </c>
      <c r="C15" s="2926">
        <f t="shared" si="19"/>
        <v>269.60135833173649</v>
      </c>
      <c r="D15" s="2926">
        <f t="shared" si="16"/>
        <v>269.60135833173649</v>
      </c>
      <c r="E15" s="2926">
        <f t="shared" si="20"/>
        <v>439.18089823583784</v>
      </c>
      <c r="F15" s="2926">
        <f t="shared" si="20"/>
        <v>239.23503918706311</v>
      </c>
      <c r="G15" s="3726"/>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1155</v>
      </c>
      <c r="B16" s="2939">
        <v>318</v>
      </c>
      <c r="C16" s="2939">
        <v>268</v>
      </c>
      <c r="D16" s="2939">
        <f t="shared" si="16"/>
        <v>268</v>
      </c>
      <c r="E16" s="2939">
        <v>437</v>
      </c>
      <c r="F16" s="2940">
        <v>237</v>
      </c>
      <c r="G16" s="3724">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1154</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5"/>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1153</v>
      </c>
      <c r="B18" s="2926">
        <f t="shared" si="21"/>
        <v>314.72141172386546</v>
      </c>
      <c r="C18" s="2926">
        <f t="shared" si="21"/>
        <v>263.03901319069001</v>
      </c>
      <c r="D18" s="2926">
        <f t="shared" si="16"/>
        <v>263.03901319069001</v>
      </c>
      <c r="E18" s="2926">
        <f t="shared" si="22"/>
        <v>433.65745506782821</v>
      </c>
      <c r="F18" s="2926">
        <f t="shared" si="22"/>
        <v>233.23005080045735</v>
      </c>
      <c r="G18" s="3725"/>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1152</v>
      </c>
      <c r="B19" s="2944">
        <f t="shared" si="21"/>
        <v>307.34512863658733</v>
      </c>
      <c r="C19" s="2944">
        <f t="shared" si="21"/>
        <v>257.80556031626975</v>
      </c>
      <c r="D19" s="2944">
        <f t="shared" si="16"/>
        <v>257.80556031626975</v>
      </c>
      <c r="E19" s="2944">
        <f t="shared" si="22"/>
        <v>422.70928459677179</v>
      </c>
      <c r="F19" s="2944">
        <f t="shared" si="22"/>
        <v>229.73803270336617</v>
      </c>
      <c r="G19" s="3726"/>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2728</v>
      </c>
      <c r="X19" s="2954">
        <v>1</v>
      </c>
      <c r="Y19" s="2954">
        <v>1</v>
      </c>
      <c r="Z19" s="2954">
        <v>1</v>
      </c>
      <c r="AA19" s="2954">
        <v>1</v>
      </c>
      <c r="AB19" s="2954">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2729</v>
      </c>
      <c r="B20" s="2918">
        <v>299</v>
      </c>
      <c r="C20" s="2918">
        <v>252</v>
      </c>
      <c r="D20" s="2918">
        <f t="shared" si="16"/>
        <v>252</v>
      </c>
      <c r="E20" s="2918">
        <v>409</v>
      </c>
      <c r="F20" s="2919">
        <v>227</v>
      </c>
      <c r="G20" s="3729">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2730</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30"/>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2731</v>
      </c>
      <c r="B22" s="2926">
        <f t="shared" si="25"/>
        <v>288.2649053828776</v>
      </c>
      <c r="C22" s="2926">
        <f t="shared" si="25"/>
        <v>243.64564425013293</v>
      </c>
      <c r="D22" s="2926">
        <f t="shared" si="16"/>
        <v>243.64564425013293</v>
      </c>
      <c r="E22" s="2926">
        <f t="shared" si="26"/>
        <v>393.31080825986544</v>
      </c>
      <c r="F22" s="2926">
        <f t="shared" si="26"/>
        <v>223.07903790551154</v>
      </c>
      <c r="G22" s="3730"/>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2732</v>
      </c>
      <c r="B23" s="2926">
        <f t="shared" si="25"/>
        <v>282.50186729015837</v>
      </c>
      <c r="C23" s="2926">
        <f t="shared" si="25"/>
        <v>238.09796174155468</v>
      </c>
      <c r="D23" s="2926">
        <f t="shared" si="16"/>
        <v>238.09796174155468</v>
      </c>
      <c r="E23" s="2926">
        <f t="shared" si="26"/>
        <v>385.33438646014054</v>
      </c>
      <c r="F23" s="2926">
        <f t="shared" si="26"/>
        <v>221.55034055567739</v>
      </c>
      <c r="G23" s="3731"/>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2733</v>
      </c>
      <c r="B24" s="2960">
        <v>278</v>
      </c>
      <c r="C24" s="2960">
        <v>234</v>
      </c>
      <c r="D24" s="2960">
        <f t="shared" si="16"/>
        <v>234</v>
      </c>
      <c r="E24" s="2960">
        <v>379</v>
      </c>
      <c r="F24" s="2961">
        <v>220</v>
      </c>
      <c r="G24" s="3724">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2734</v>
      </c>
      <c r="B25" s="2926">
        <f>B24/(1+N24)</f>
        <v>275.49301357645425</v>
      </c>
      <c r="C25" s="2926">
        <f>C24/(1+O24)</f>
        <v>232.41954707985698</v>
      </c>
      <c r="D25" s="2926">
        <f t="shared" si="16"/>
        <v>232.41954707985698</v>
      </c>
      <c r="E25" s="2926">
        <f t="shared" ref="E25:F27" si="27">E24/(1+P24)</f>
        <v>375.32184591008121</v>
      </c>
      <c r="F25" s="2926">
        <f t="shared" si="27"/>
        <v>218.03766105054513</v>
      </c>
      <c r="G25" s="3725"/>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2735</v>
      </c>
      <c r="B26" s="2926">
        <f>B25/(1+N25)</f>
        <v>275.24529281292263</v>
      </c>
      <c r="C26" s="2926">
        <f>C25/(1+O25)</f>
        <v>231.74747938962707</v>
      </c>
      <c r="D26" s="2926">
        <f t="shared" si="16"/>
        <v>231.74747938962707</v>
      </c>
      <c r="E26" s="2926">
        <f t="shared" si="27"/>
        <v>375.35938184826603</v>
      </c>
      <c r="F26" s="2926">
        <f t="shared" si="27"/>
        <v>216.78033510692495</v>
      </c>
      <c r="G26" s="3725"/>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2736</v>
      </c>
      <c r="B27" s="2926">
        <f>B26/(1+N26)</f>
        <v>275.19025476197027</v>
      </c>
      <c r="C27" s="2962">
        <v>232</v>
      </c>
      <c r="D27" s="2962">
        <f t="shared" si="16"/>
        <v>232</v>
      </c>
      <c r="E27" s="2926">
        <f t="shared" si="27"/>
        <v>375.65990977608692</v>
      </c>
      <c r="F27" s="2926">
        <f t="shared" si="27"/>
        <v>214.12518283971252</v>
      </c>
      <c r="G27" s="3726"/>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2737</v>
      </c>
      <c r="B28" s="2918">
        <v>275</v>
      </c>
      <c r="C28" s="2918">
        <v>232</v>
      </c>
      <c r="D28" s="2918">
        <f t="shared" si="16"/>
        <v>232</v>
      </c>
      <c r="E28" s="2918">
        <v>376</v>
      </c>
      <c r="F28" s="2919">
        <v>213</v>
      </c>
      <c r="G28" s="3724">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2738</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5">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2739</v>
      </c>
      <c r="B30" s="2926">
        <f t="shared" si="28"/>
        <v>275.19335084830601</v>
      </c>
      <c r="C30" s="2926">
        <f t="shared" si="28"/>
        <v>230.18088050139744</v>
      </c>
      <c r="D30" s="2926">
        <f t="shared" si="16"/>
        <v>230.18088050139744</v>
      </c>
      <c r="E30" s="2926">
        <f t="shared" si="29"/>
        <v>377.58482925212331</v>
      </c>
      <c r="F30" s="2926">
        <f t="shared" si="29"/>
        <v>210.90687997847917</v>
      </c>
      <c r="G30" s="3725">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2740</v>
      </c>
      <c r="B31" s="2926">
        <f t="shared" si="28"/>
        <v>276.29854502841971</v>
      </c>
      <c r="C31" s="2926">
        <f t="shared" si="28"/>
        <v>229.79023709833027</v>
      </c>
      <c r="D31" s="2926">
        <f t="shared" si="16"/>
        <v>229.79023709833027</v>
      </c>
      <c r="E31" s="2926">
        <f t="shared" si="29"/>
        <v>379.78759731655936</v>
      </c>
      <c r="F31" s="2926">
        <f t="shared" si="29"/>
        <v>211.32953905659235</v>
      </c>
      <c r="G31" s="3726">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2741</v>
      </c>
      <c r="B32" s="2918">
        <v>269</v>
      </c>
      <c r="C32" s="2918">
        <v>221</v>
      </c>
      <c r="D32" s="2918">
        <f t="shared" si="16"/>
        <v>221</v>
      </c>
      <c r="E32" s="2918">
        <v>373</v>
      </c>
      <c r="F32" s="2919">
        <v>196</v>
      </c>
      <c r="G32" s="3724">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2742</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5">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2743</v>
      </c>
      <c r="B34" s="2926">
        <f t="shared" si="30"/>
        <v>242.95398227588385</v>
      </c>
      <c r="C34" s="2926">
        <f t="shared" si="30"/>
        <v>199.59137053614126</v>
      </c>
      <c r="D34" s="2926">
        <f t="shared" si="16"/>
        <v>199.59137053614126</v>
      </c>
      <c r="E34" s="2926">
        <f t="shared" si="31"/>
        <v>335.92189522342125</v>
      </c>
      <c r="F34" s="2926">
        <f t="shared" si="31"/>
        <v>183.10139991109489</v>
      </c>
      <c r="G34" s="3725">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2744</v>
      </c>
      <c r="B35" s="2926">
        <f t="shared" si="30"/>
        <v>232.06990378821649</v>
      </c>
      <c r="C35" s="2926">
        <f t="shared" si="30"/>
        <v>192.74878854286936</v>
      </c>
      <c r="D35" s="2926">
        <f t="shared" si="16"/>
        <v>192.74878854286936</v>
      </c>
      <c r="E35" s="2926">
        <f t="shared" si="31"/>
        <v>319.71247284992984</v>
      </c>
      <c r="F35" s="2926">
        <f t="shared" si="31"/>
        <v>175.67053622862409</v>
      </c>
      <c r="G35" s="3726">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2745</v>
      </c>
      <c r="B36" s="2918">
        <v>220</v>
      </c>
      <c r="C36" s="2918">
        <v>187</v>
      </c>
      <c r="D36" s="2918">
        <f t="shared" si="16"/>
        <v>187</v>
      </c>
      <c r="E36" s="2918">
        <v>301</v>
      </c>
      <c r="F36" s="2919">
        <v>168</v>
      </c>
      <c r="G36" s="3724">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2746</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5">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2747</v>
      </c>
      <c r="B38" s="2926">
        <f t="shared" si="32"/>
        <v>210.630522469011</v>
      </c>
      <c r="C38" s="2926">
        <f t="shared" si="32"/>
        <v>181.69567812247232</v>
      </c>
      <c r="D38" s="2926">
        <f t="shared" si="16"/>
        <v>181.69567812247232</v>
      </c>
      <c r="E38" s="2926">
        <f t="shared" si="33"/>
        <v>286.13517466736738</v>
      </c>
      <c r="F38" s="2926">
        <f t="shared" si="33"/>
        <v>165.47535084591149</v>
      </c>
      <c r="G38" s="3725">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2748</v>
      </c>
      <c r="B39" s="2926">
        <f t="shared" si="32"/>
        <v>208.83454537875372</v>
      </c>
      <c r="C39" s="2926">
        <f t="shared" si="32"/>
        <v>183.77230517090351</v>
      </c>
      <c r="D39" s="2926">
        <f t="shared" si="16"/>
        <v>183.77230517090351</v>
      </c>
      <c r="E39" s="2926">
        <f t="shared" si="33"/>
        <v>281.10342338870947</v>
      </c>
      <c r="F39" s="2926">
        <f t="shared" si="33"/>
        <v>168.97309388942256</v>
      </c>
      <c r="G39" s="3726">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2749</v>
      </c>
      <c r="B40" s="2960">
        <v>214</v>
      </c>
      <c r="C40" s="2960">
        <v>188</v>
      </c>
      <c r="D40" s="2960">
        <f t="shared" si="16"/>
        <v>188</v>
      </c>
      <c r="E40" s="2960">
        <v>289</v>
      </c>
      <c r="F40" s="2961">
        <v>166</v>
      </c>
      <c r="G40" s="3724">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2750</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5">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2751</v>
      </c>
      <c r="B42" s="2926">
        <f t="shared" si="34"/>
        <v>206.31694671589116</v>
      </c>
      <c r="C42" s="2926">
        <f t="shared" si="34"/>
        <v>183.61041121036101</v>
      </c>
      <c r="D42" s="2926">
        <f t="shared" si="16"/>
        <v>183.61041121036101</v>
      </c>
      <c r="E42" s="2926">
        <f t="shared" si="35"/>
        <v>276.66850301795557</v>
      </c>
      <c r="F42" s="2926">
        <f t="shared" si="35"/>
        <v>165.1360938278614</v>
      </c>
      <c r="G42" s="3725">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2752</v>
      </c>
      <c r="B43" s="2963">
        <f t="shared" si="34"/>
        <v>196.62341248059772</v>
      </c>
      <c r="C43" s="2963">
        <f t="shared" si="34"/>
        <v>170.99125648199012</v>
      </c>
      <c r="D43" s="2963">
        <f t="shared" si="16"/>
        <v>170.99125648199012</v>
      </c>
      <c r="E43" s="2963">
        <f t="shared" si="35"/>
        <v>266.07857570490052</v>
      </c>
      <c r="F43" s="2963">
        <f t="shared" si="35"/>
        <v>154.53499328828505</v>
      </c>
      <c r="G43" s="3726">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2753</v>
      </c>
      <c r="B44" s="2918">
        <v>188</v>
      </c>
      <c r="C44" s="2918">
        <v>165</v>
      </c>
      <c r="D44" s="2918">
        <f t="shared" si="16"/>
        <v>165</v>
      </c>
      <c r="E44" s="2918">
        <v>254</v>
      </c>
      <c r="F44" s="2919">
        <v>148</v>
      </c>
      <c r="G44" s="3724">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2754</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5">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2755</v>
      </c>
      <c r="B46" s="2926">
        <f t="shared" si="38"/>
        <v>168.82017748715555</v>
      </c>
      <c r="C46" s="2926">
        <f t="shared" si="38"/>
        <v>148.06267029972753</v>
      </c>
      <c r="D46" s="2926">
        <f t="shared" si="16"/>
        <v>148.06267029972753</v>
      </c>
      <c r="E46" s="2926">
        <f t="shared" si="39"/>
        <v>216.46288379323747</v>
      </c>
      <c r="F46" s="2926">
        <f t="shared" si="39"/>
        <v>134.23529411764704</v>
      </c>
      <c r="G46" s="3725">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2756</v>
      </c>
      <c r="B47" s="2926">
        <f t="shared" si="38"/>
        <v>163.84913591779542</v>
      </c>
      <c r="C47" s="2926">
        <f t="shared" si="38"/>
        <v>145.0283378746594</v>
      </c>
      <c r="D47" s="2926">
        <f t="shared" si="16"/>
        <v>145.0283378746594</v>
      </c>
      <c r="E47" s="2926">
        <f t="shared" si="39"/>
        <v>204.95180722891567</v>
      </c>
      <c r="F47" s="2926">
        <f t="shared" si="39"/>
        <v>125.95920303605313</v>
      </c>
      <c r="G47" s="3726">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2757</v>
      </c>
      <c r="B48" s="2939">
        <v>159</v>
      </c>
      <c r="C48" s="2939">
        <v>141</v>
      </c>
      <c r="D48" s="2939">
        <f t="shared" si="16"/>
        <v>141</v>
      </c>
      <c r="E48" s="2939">
        <v>195</v>
      </c>
      <c r="F48" s="2940">
        <v>122</v>
      </c>
      <c r="G48" s="3724">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2758</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5">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2759</v>
      </c>
      <c r="B50" s="2926">
        <f t="shared" si="42"/>
        <v>146.57412060301507</v>
      </c>
      <c r="C50" s="2926">
        <f t="shared" si="42"/>
        <v>136.46831955922866</v>
      </c>
      <c r="D50" s="2926">
        <f t="shared" si="16"/>
        <v>136.46831955922866</v>
      </c>
      <c r="E50" s="2926">
        <f t="shared" si="43"/>
        <v>166.73864894795128</v>
      </c>
      <c r="F50" s="2926">
        <f t="shared" si="43"/>
        <v>115.05882352941177</v>
      </c>
      <c r="G50" s="3725">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2760</v>
      </c>
      <c r="B51" s="2926">
        <f t="shared" si="42"/>
        <v>144.04145728643215</v>
      </c>
      <c r="C51" s="2926">
        <f t="shared" si="42"/>
        <v>136.12396694214877</v>
      </c>
      <c r="D51" s="2926">
        <f t="shared" si="16"/>
        <v>136.12396694214877</v>
      </c>
      <c r="E51" s="2926">
        <f t="shared" si="43"/>
        <v>158.32225913621264</v>
      </c>
      <c r="F51" s="2926">
        <f t="shared" si="43"/>
        <v>114.04278074866311</v>
      </c>
      <c r="G51" s="3726">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2761</v>
      </c>
      <c r="B52" s="2939">
        <v>138</v>
      </c>
      <c r="C52" s="2939">
        <v>131</v>
      </c>
      <c r="D52" s="2939">
        <f t="shared" si="16"/>
        <v>131</v>
      </c>
      <c r="E52" s="2939">
        <v>155</v>
      </c>
      <c r="F52" s="2940">
        <v>114</v>
      </c>
      <c r="G52" s="3724">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2762</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5">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2763</v>
      </c>
      <c r="B54" s="2926">
        <f t="shared" si="46"/>
        <v>124.29032258064517</v>
      </c>
      <c r="C54" s="2926">
        <f t="shared" si="46"/>
        <v>123.8968609865471</v>
      </c>
      <c r="D54" s="2926">
        <f t="shared" si="16"/>
        <v>123.8968609865471</v>
      </c>
      <c r="E54" s="2926">
        <f t="shared" si="47"/>
        <v>138.00507614213197</v>
      </c>
      <c r="F54" s="2926">
        <f t="shared" si="47"/>
        <v>107.96106557377048</v>
      </c>
      <c r="G54" s="3725">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2764</v>
      </c>
      <c r="B55" s="2926">
        <f t="shared" si="46"/>
        <v>122.57204301075269</v>
      </c>
      <c r="C55" s="2926">
        <f t="shared" si="46"/>
        <v>123.4932735426009</v>
      </c>
      <c r="D55" s="2926">
        <f t="shared" si="16"/>
        <v>123.4932735426009</v>
      </c>
      <c r="E55" s="2926">
        <f t="shared" si="47"/>
        <v>129.82233502538071</v>
      </c>
      <c r="F55" s="2926">
        <f t="shared" si="47"/>
        <v>107.39446721311475</v>
      </c>
      <c r="G55" s="3726">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2765</v>
      </c>
      <c r="B56" s="2960">
        <v>121</v>
      </c>
      <c r="C56" s="2960">
        <v>122</v>
      </c>
      <c r="D56" s="2960">
        <f t="shared" si="16"/>
        <v>122</v>
      </c>
      <c r="E56" s="2960">
        <v>124</v>
      </c>
      <c r="F56" s="2961">
        <v>107</v>
      </c>
      <c r="G56" s="3724">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2766</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5">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2767</v>
      </c>
      <c r="B58" s="2926">
        <f t="shared" si="50"/>
        <v>116.99099099099099</v>
      </c>
      <c r="C58" s="2926">
        <f t="shared" si="50"/>
        <v>118.84848484848486</v>
      </c>
      <c r="D58" s="2926">
        <f t="shared" si="16"/>
        <v>118.84848484848486</v>
      </c>
      <c r="E58" s="2926">
        <f t="shared" si="51"/>
        <v>117.60960960960961</v>
      </c>
      <c r="F58" s="2926">
        <f t="shared" si="51"/>
        <v>104</v>
      </c>
      <c r="G58" s="3725">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2768</v>
      </c>
      <c r="B59" s="2963">
        <f t="shared" si="50"/>
        <v>112.48648648648648</v>
      </c>
      <c r="C59" s="2963">
        <f t="shared" si="50"/>
        <v>115.21212121212122</v>
      </c>
      <c r="D59" s="2963">
        <f t="shared" si="16"/>
        <v>115.21212121212122</v>
      </c>
      <c r="E59" s="2963">
        <f t="shared" si="51"/>
        <v>110.4024024024024</v>
      </c>
      <c r="F59" s="2963">
        <f t="shared" si="51"/>
        <v>104</v>
      </c>
      <c r="G59" s="3726">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2769</v>
      </c>
      <c r="B60" s="2981">
        <v>111</v>
      </c>
      <c r="C60" s="2981">
        <v>114</v>
      </c>
      <c r="D60" s="2981">
        <f t="shared" si="16"/>
        <v>114</v>
      </c>
      <c r="E60" s="2981">
        <v>108</v>
      </c>
      <c r="F60" s="2982">
        <v>104</v>
      </c>
      <c r="G60" s="3724">
        <v>2003</v>
      </c>
      <c r="H60" s="2971">
        <v>4</v>
      </c>
      <c r="I60" s="2983"/>
      <c r="J60" s="2983"/>
      <c r="K60" s="2983"/>
      <c r="L60" s="2983"/>
      <c r="N60" s="2984"/>
      <c r="O60" s="2983"/>
      <c r="P60" s="2983"/>
      <c r="Q60" s="2983"/>
      <c r="S60" s="2984"/>
      <c r="T60" s="2983"/>
      <c r="U60" s="2983"/>
      <c r="V60" s="2983"/>
      <c r="X60" s="2975"/>
      <c r="Y60" s="2975"/>
      <c r="Z60" s="2975"/>
    </row>
    <row r="61" spans="1:26">
      <c r="A61" s="2906" t="s">
        <v>2770</v>
      </c>
      <c r="B61" s="2985">
        <f t="shared" ref="B61:C63" si="52">B62+(B$60-B$64)/4</f>
        <v>109.75</v>
      </c>
      <c r="C61" s="2985">
        <f t="shared" si="52"/>
        <v>112.25</v>
      </c>
      <c r="D61" s="2985">
        <f t="shared" si="16"/>
        <v>112.25</v>
      </c>
      <c r="E61" s="2985">
        <f t="shared" ref="E61:F63" si="53">E62+(E$60-E$64)/4</f>
        <v>107.25</v>
      </c>
      <c r="F61" s="2985">
        <f t="shared" si="53"/>
        <v>103.5</v>
      </c>
      <c r="G61" s="3725">
        <v>2003</v>
      </c>
      <c r="H61" s="2936">
        <v>3</v>
      </c>
      <c r="I61" s="2983"/>
      <c r="J61" s="2983"/>
      <c r="K61" s="2983"/>
      <c r="L61" s="2983"/>
      <c r="X61" s="2975"/>
      <c r="Y61" s="2975"/>
      <c r="Z61" s="2975"/>
    </row>
    <row r="62" spans="1:26">
      <c r="A62" s="2906" t="s">
        <v>2771</v>
      </c>
      <c r="B62" s="2985">
        <f t="shared" si="52"/>
        <v>108.5</v>
      </c>
      <c r="C62" s="2985">
        <f t="shared" si="52"/>
        <v>110.5</v>
      </c>
      <c r="D62" s="2985">
        <f t="shared" si="16"/>
        <v>110.5</v>
      </c>
      <c r="E62" s="2985">
        <f t="shared" si="53"/>
        <v>106.5</v>
      </c>
      <c r="F62" s="2985">
        <f t="shared" si="53"/>
        <v>103</v>
      </c>
      <c r="G62" s="3725">
        <v>2003</v>
      </c>
      <c r="H62" s="2912">
        <v>2</v>
      </c>
      <c r="I62" s="2983"/>
      <c r="J62" s="2983"/>
      <c r="K62" s="2983"/>
      <c r="L62" s="2983"/>
      <c r="X62" s="2975"/>
      <c r="Y62" s="2975"/>
      <c r="Z62" s="2975"/>
    </row>
    <row r="63" spans="1:26" ht="13.5" thickBot="1">
      <c r="A63" s="2906" t="s">
        <v>2772</v>
      </c>
      <c r="B63" s="2985">
        <f t="shared" si="52"/>
        <v>107.25</v>
      </c>
      <c r="C63" s="2985">
        <f t="shared" si="52"/>
        <v>108.75</v>
      </c>
      <c r="D63" s="2985">
        <f t="shared" si="16"/>
        <v>108.75</v>
      </c>
      <c r="E63" s="2985">
        <f t="shared" si="53"/>
        <v>105.75</v>
      </c>
      <c r="F63" s="2985">
        <f t="shared" si="53"/>
        <v>102.5</v>
      </c>
      <c r="G63" s="3726">
        <v>2003</v>
      </c>
      <c r="H63" s="2986">
        <v>1</v>
      </c>
      <c r="I63" s="2983"/>
      <c r="J63" s="2983"/>
      <c r="K63" s="2983"/>
      <c r="L63" s="2983"/>
      <c r="S63" s="2921"/>
      <c r="T63" s="2922"/>
      <c r="U63" s="2922"/>
      <c r="X63" s="2975"/>
      <c r="Y63" s="2975"/>
      <c r="Z63" s="2975"/>
    </row>
    <row r="64" spans="1:26" ht="13.5" thickBot="1">
      <c r="A64" s="2906" t="s">
        <v>2773</v>
      </c>
      <c r="B64" s="2987">
        <v>106</v>
      </c>
      <c r="C64" s="2987">
        <v>107</v>
      </c>
      <c r="D64" s="2987">
        <f t="shared" si="16"/>
        <v>107</v>
      </c>
      <c r="E64" s="2987">
        <v>105</v>
      </c>
      <c r="F64" s="2988">
        <v>102</v>
      </c>
      <c r="G64" s="3724">
        <v>2002</v>
      </c>
      <c r="H64" s="2931">
        <v>4</v>
      </c>
      <c r="I64" s="2983"/>
      <c r="J64" s="2983"/>
      <c r="K64" s="2983"/>
      <c r="L64" s="2983"/>
      <c r="N64" s="2984"/>
      <c r="O64" s="2983"/>
      <c r="P64" s="2983"/>
      <c r="Q64" s="2983"/>
      <c r="S64" s="2984"/>
      <c r="T64" s="2983"/>
      <c r="U64" s="2983"/>
      <c r="V64" s="2983"/>
      <c r="X64" s="2975"/>
      <c r="Y64" s="2975"/>
      <c r="Z64" s="2975"/>
    </row>
    <row r="65" spans="1:26">
      <c r="A65" s="2906" t="s">
        <v>2774</v>
      </c>
      <c r="B65" s="2985">
        <f t="shared" ref="B65:C67" si="54">B66+(B$64-B$68)/4</f>
        <v>105</v>
      </c>
      <c r="C65" s="2985">
        <f t="shared" si="54"/>
        <v>106</v>
      </c>
      <c r="D65" s="2985">
        <f t="shared" si="16"/>
        <v>106</v>
      </c>
      <c r="E65" s="2985">
        <f t="shared" ref="E65:F67" si="55">E66+(E$64-E$68)/4</f>
        <v>104.5</v>
      </c>
      <c r="F65" s="2985">
        <f t="shared" si="55"/>
        <v>101.5</v>
      </c>
      <c r="G65" s="3725">
        <v>2002</v>
      </c>
      <c r="H65" s="2936">
        <v>3</v>
      </c>
      <c r="I65" s="2983"/>
      <c r="J65" s="2983"/>
      <c r="K65" s="2983"/>
      <c r="L65" s="2983"/>
      <c r="X65" s="2975"/>
      <c r="Y65" s="2975"/>
      <c r="Z65" s="2975"/>
    </row>
    <row r="66" spans="1:26">
      <c r="A66" s="2906" t="s">
        <v>2775</v>
      </c>
      <c r="B66" s="2985">
        <f t="shared" si="54"/>
        <v>104</v>
      </c>
      <c r="C66" s="2985">
        <f t="shared" si="54"/>
        <v>105</v>
      </c>
      <c r="D66" s="2985">
        <f t="shared" si="16"/>
        <v>105</v>
      </c>
      <c r="E66" s="2985">
        <f t="shared" si="55"/>
        <v>104</v>
      </c>
      <c r="F66" s="2985">
        <f t="shared" si="55"/>
        <v>101</v>
      </c>
      <c r="G66" s="3725">
        <v>2002</v>
      </c>
      <c r="H66" s="2912">
        <v>2</v>
      </c>
      <c r="I66" s="2983"/>
      <c r="J66" s="2983"/>
      <c r="K66" s="2983"/>
      <c r="L66" s="2983"/>
      <c r="X66" s="2975"/>
      <c r="Y66" s="2975"/>
      <c r="Z66" s="2975"/>
    </row>
    <row r="67" spans="1:26" s="2947" customFormat="1" ht="13.5" thickBot="1">
      <c r="A67" s="2943" t="s">
        <v>2776</v>
      </c>
      <c r="B67" s="2989">
        <f t="shared" si="54"/>
        <v>103</v>
      </c>
      <c r="C67" s="2989">
        <f t="shared" si="54"/>
        <v>104</v>
      </c>
      <c r="D67" s="2989">
        <f t="shared" si="16"/>
        <v>104</v>
      </c>
      <c r="E67" s="2989">
        <f t="shared" si="55"/>
        <v>103.5</v>
      </c>
      <c r="F67" s="2989">
        <f t="shared" si="55"/>
        <v>100.5</v>
      </c>
      <c r="G67" s="3726">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2777</v>
      </c>
      <c r="G70" s="2999"/>
      <c r="N70" s="2999"/>
      <c r="S70" s="2999"/>
    </row>
    <row r="71" spans="1:26" s="2998" customFormat="1">
      <c r="A71" s="2998" t="s">
        <v>2778</v>
      </c>
      <c r="G71" s="2999"/>
      <c r="N71" s="2999"/>
      <c r="S71" s="2999"/>
    </row>
    <row r="72" spans="1:26" s="2998" customFormat="1">
      <c r="A72" s="2998" t="s">
        <v>2779</v>
      </c>
      <c r="G72" s="2999"/>
      <c r="I72" s="3000"/>
      <c r="J72" s="3000"/>
      <c r="K72" s="3000"/>
      <c r="L72" s="3000"/>
      <c r="N72" s="3001"/>
      <c r="O72" s="3000"/>
      <c r="P72" s="3000"/>
      <c r="Q72" s="3000"/>
      <c r="S72" s="3001"/>
      <c r="T72" s="3000"/>
      <c r="U72" s="3000"/>
      <c r="V72" s="3000"/>
    </row>
    <row r="73" spans="1:26" s="2998" customFormat="1">
      <c r="A73" s="2998" t="s">
        <v>2780</v>
      </c>
      <c r="G73" s="2999"/>
      <c r="N73" s="2999"/>
      <c r="S73" s="2999"/>
    </row>
    <row r="80" spans="1:26" ht="13.5" thickBot="1"/>
    <row r="81" spans="14:22" s="2920" customFormat="1">
      <c r="N81" s="2935"/>
      <c r="S81" s="3002" t="s">
        <v>2781</v>
      </c>
      <c r="T81" s="3003" t="s">
        <v>2782</v>
      </c>
      <c r="U81" s="3003" t="s">
        <v>2783</v>
      </c>
      <c r="V81" s="3003" t="s">
        <v>2784</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2383</v>
      </c>
      <c r="C1" s="3735" t="s">
        <v>2384</v>
      </c>
      <c r="D1" s="3736"/>
      <c r="E1" s="3736"/>
      <c r="F1" s="3736"/>
      <c r="G1" s="3736"/>
      <c r="H1" s="3736"/>
      <c r="I1" s="3736"/>
      <c r="J1" s="3736"/>
      <c r="K1" s="3736"/>
      <c r="L1" s="3736"/>
      <c r="M1" s="3736"/>
      <c r="N1" s="3736"/>
      <c r="O1" s="3736"/>
      <c r="P1" s="3736"/>
      <c r="Q1" s="3736"/>
      <c r="R1" s="3736"/>
      <c r="S1" s="3737"/>
      <c r="T1" s="2432" t="s">
        <v>2385</v>
      </c>
    </row>
    <row r="2" spans="1:45" s="1114" customFormat="1">
      <c r="A2" s="2433"/>
      <c r="B2" s="1110" t="s">
        <v>2386</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9"/>
      <c r="G3" s="3199"/>
      <c r="H3" s="3199"/>
      <c r="I3" s="3199"/>
      <c r="J3" s="3199"/>
      <c r="K3" s="3199"/>
      <c r="L3" s="3200"/>
      <c r="M3" s="3201"/>
      <c r="N3" s="3201"/>
      <c r="O3" s="3199"/>
      <c r="P3" s="3199"/>
      <c r="Q3" s="3199"/>
      <c r="R3" s="3199"/>
      <c r="S3" s="3202"/>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3"/>
      <c r="G4" s="3203"/>
      <c r="H4" s="3203"/>
      <c r="I4" s="3203"/>
      <c r="J4" s="3203"/>
      <c r="K4" s="3203"/>
      <c r="L4" s="3203"/>
      <c r="M4" s="3204"/>
      <c r="N4" s="3204"/>
      <c r="O4" s="3203"/>
      <c r="P4" s="3203"/>
      <c r="Q4" s="3203"/>
      <c r="R4" s="3203"/>
      <c r="S4" s="3205"/>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7" t="s">
        <v>3033</v>
      </c>
      <c r="C5" s="2444"/>
      <c r="D5" s="2445"/>
      <c r="E5" s="2445"/>
      <c r="F5" s="3206"/>
      <c r="G5" s="3206"/>
      <c r="H5" s="3206"/>
      <c r="I5" s="3206"/>
      <c r="J5" s="3206"/>
      <c r="K5" s="3206"/>
      <c r="L5" s="3207"/>
      <c r="M5" s="3208"/>
      <c r="N5" s="3208"/>
      <c r="O5" s="3206"/>
      <c r="P5" s="3206"/>
      <c r="Q5" s="3206"/>
      <c r="R5" s="3206"/>
      <c r="S5" s="3209"/>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8" t="s">
        <v>3032</v>
      </c>
      <c r="C7" s="2199"/>
      <c r="D7" s="2193"/>
      <c r="E7" s="2193"/>
      <c r="F7" s="3211"/>
      <c r="G7" s="3211"/>
      <c r="H7" s="3211"/>
      <c r="I7" s="3211"/>
      <c r="J7" s="3211"/>
      <c r="K7" s="3211"/>
      <c r="L7" s="3211"/>
      <c r="M7" s="3212"/>
      <c r="N7" s="3213"/>
      <c r="O7" s="3214"/>
      <c r="P7" s="3215"/>
      <c r="Q7" s="3216"/>
      <c r="R7" s="3217"/>
      <c r="S7" s="3218"/>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8" t="s">
        <v>3031</v>
      </c>
      <c r="C9" s="2199"/>
      <c r="D9" s="2193"/>
      <c r="E9" s="2193"/>
      <c r="F9" s="3211"/>
      <c r="G9" s="3211"/>
      <c r="H9" s="3211"/>
      <c r="I9" s="3211"/>
      <c r="J9" s="3211"/>
      <c r="K9" s="3211"/>
      <c r="L9" s="3219"/>
      <c r="M9" s="3212"/>
      <c r="N9" s="3213"/>
      <c r="O9" s="3214"/>
      <c r="P9" s="3215"/>
      <c r="Q9" s="3216"/>
      <c r="R9" s="3217"/>
      <c r="S9" s="3218"/>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7" t="s">
        <v>3030</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7" t="s">
        <v>3029</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7" t="s">
        <v>3028</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2387</v>
      </c>
      <c r="B17" s="2476" t="s">
        <v>2388</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8" t="s">
        <v>3066</v>
      </c>
      <c r="E19" s="3343"/>
      <c r="F19" s="3343"/>
      <c r="G19" s="3343"/>
      <c r="H19" s="2529"/>
      <c r="I19" s="499"/>
      <c r="J19" s="499"/>
      <c r="K19" s="499"/>
      <c r="L19" s="499"/>
      <c r="M19" s="499"/>
      <c r="N19" s="499"/>
      <c r="O19" s="499"/>
      <c r="P19" s="499"/>
      <c r="Q19" s="499"/>
      <c r="R19" s="1414"/>
      <c r="S19" s="468"/>
    </row>
    <row r="20" spans="1:45" ht="16.5" thickBot="1">
      <c r="A20" s="1122" t="s">
        <v>517</v>
      </c>
      <c r="B20" s="672" t="e">
        <f ca="1">IF(D20="——",S22,S22-F20)</f>
        <v>#REF!</v>
      </c>
      <c r="C20" s="499"/>
      <c r="D20" s="3344" t="s">
        <v>3067</v>
      </c>
      <c r="E20" s="3345"/>
      <c r="F20" s="2432" t="e">
        <f ca="1">SUMIF(INDIRECT("'"&amp;H20&amp;"'"&amp;"!A:A"),"承租人权益价值",INDIRECT("'"&amp;H20&amp;"'"&amp;"!c:c"))</f>
        <v>#REF!</v>
      </c>
      <c r="G20" s="3346" t="s">
        <v>3054</v>
      </c>
      <c r="H20" s="3347"/>
      <c r="I20" s="499"/>
      <c r="J20" s="499"/>
      <c r="K20" s="499"/>
      <c r="L20" s="499"/>
      <c r="M20" s="499"/>
      <c r="N20" s="499"/>
      <c r="O20" s="499"/>
      <c r="P20" s="499"/>
      <c r="Q20" s="499"/>
      <c r="R20" s="1414"/>
      <c r="S20" s="468"/>
    </row>
    <row r="21" spans="1:45" ht="15.75">
      <c r="A21" s="1122" t="s">
        <v>518</v>
      </c>
      <c r="B21" s="672">
        <f>R22</f>
        <v>10000</v>
      </c>
      <c r="C21" s="499"/>
      <c r="D21" s="499"/>
      <c r="E21" s="499"/>
      <c r="F21" s="499"/>
      <c r="G21" s="499"/>
      <c r="H21" s="499"/>
      <c r="I21" s="499"/>
      <c r="J21" s="499"/>
      <c r="K21" s="499"/>
      <c r="L21" s="499"/>
      <c r="M21" s="499"/>
      <c r="N21" s="499"/>
      <c r="O21" s="499"/>
      <c r="P21" s="499"/>
      <c r="Q21" s="499"/>
      <c r="R21" s="1414"/>
      <c r="S21" s="468"/>
    </row>
    <row r="22" spans="1:45">
      <c r="A22" s="697" t="s">
        <v>519</v>
      </c>
      <c r="B22" s="313">
        <f>SUM(B24:B10000)</f>
        <v>100</v>
      </c>
      <c r="C22" s="3732" t="s">
        <v>167</v>
      </c>
      <c r="D22" s="3733"/>
      <c r="E22" s="3733"/>
      <c r="F22" s="3733"/>
      <c r="G22" s="3733"/>
      <c r="H22" s="3733"/>
      <c r="I22" s="3733"/>
      <c r="J22" s="3733"/>
      <c r="K22" s="3733"/>
      <c r="L22" s="3733"/>
      <c r="M22" s="3733"/>
      <c r="N22" s="3733"/>
      <c r="O22" s="3733"/>
      <c r="P22" s="3733"/>
      <c r="Q22" s="3734"/>
      <c r="R22" s="1123">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4" t="s">
        <v>523</v>
      </c>
      <c r="S23" s="299" t="s">
        <v>524</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525</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34923</v>
      </c>
      <c r="C2" s="85" t="s">
        <v>867</v>
      </c>
      <c r="D2" s="574"/>
      <c r="E2" s="574"/>
      <c r="F2" s="574"/>
      <c r="G2" s="574"/>
    </row>
    <row r="3" spans="1:7" s="575" customFormat="1" ht="18" customHeight="1" thickBot="1">
      <c r="A3" s="578" t="s">
        <v>819</v>
      </c>
      <c r="B3" s="579">
        <f ca="1">ROUND(B2*10000/'数据-汇总表'!E3,0)</f>
        <v>3642</v>
      </c>
      <c r="C3" s="85" t="s">
        <v>868</v>
      </c>
      <c r="D3" s="574"/>
      <c r="E3" s="574"/>
      <c r="F3" s="574"/>
      <c r="G3" s="574"/>
    </row>
    <row r="4" spans="1:7" s="583" customFormat="1" ht="15.75">
      <c r="A4" s="580" t="s">
        <v>820</v>
      </c>
      <c r="B4" s="581"/>
      <c r="C4" s="581"/>
      <c r="D4" s="581"/>
      <c r="E4" s="581"/>
      <c r="F4" s="581"/>
      <c r="G4" s="582"/>
    </row>
    <row r="5" spans="1:7" s="589" customFormat="1" ht="13.5" customHeight="1">
      <c r="A5" s="630" t="s">
        <v>2506</v>
      </c>
      <c r="B5" s="585" t="s">
        <v>821</v>
      </c>
      <c r="C5" s="586">
        <f>C6+C7+C8</f>
        <v>20610</v>
      </c>
      <c r="D5" s="586" t="s">
        <v>822</v>
      </c>
      <c r="E5" s="587" t="s">
        <v>823</v>
      </c>
      <c r="F5" s="587" t="s">
        <v>824</v>
      </c>
      <c r="G5" s="588"/>
    </row>
    <row r="6" spans="1:7" s="589" customFormat="1" ht="13.5" customHeight="1">
      <c r="A6" s="1796" t="s">
        <v>1923</v>
      </c>
      <c r="B6" s="590" t="s">
        <v>825</v>
      </c>
      <c r="C6" s="591">
        <v>20000</v>
      </c>
      <c r="D6" s="592"/>
      <c r="E6" s="593"/>
      <c r="F6" s="593"/>
      <c r="G6" s="594"/>
    </row>
    <row r="7" spans="1:7" s="589" customFormat="1" ht="13.5" customHeight="1">
      <c r="A7" s="1796" t="s">
        <v>1924</v>
      </c>
      <c r="B7" s="590" t="s">
        <v>343</v>
      </c>
      <c r="C7" s="595">
        <f>ROUND(C6*F7,0)</f>
        <v>610</v>
      </c>
      <c r="D7" s="595"/>
      <c r="E7" s="593"/>
      <c r="F7" s="596">
        <f>'数据-取费表'!B48+'数据-取费表'!B49</f>
        <v>3.0499999999999999E-2</v>
      </c>
      <c r="G7" s="594"/>
    </row>
    <row r="8" spans="1:7" s="598" customFormat="1">
      <c r="A8" s="1796" t="s">
        <v>1925</v>
      </c>
      <c r="B8" s="590" t="s">
        <v>826</v>
      </c>
      <c r="C8" s="595" t="str">
        <f>IF(G8="已包含在土地购买价格中","0",'数据-取费表'!B29)</f>
        <v>0</v>
      </c>
      <c r="D8" s="597"/>
      <c r="E8" s="595"/>
      <c r="F8" s="596"/>
      <c r="G8" s="84" t="s">
        <v>2684</v>
      </c>
    </row>
    <row r="9" spans="1:7" s="589" customFormat="1" ht="13.5" customHeight="1">
      <c r="A9" s="1797" t="s">
        <v>1932</v>
      </c>
      <c r="B9" s="599" t="s">
        <v>827</v>
      </c>
      <c r="C9" s="600">
        <f>ROUND(D9*E9/10000,0)</f>
        <v>0</v>
      </c>
      <c r="D9" s="1901">
        <f>'数据-汇总表'!E5</f>
        <v>0</v>
      </c>
      <c r="E9" s="600">
        <f>'数据-取费表'!B27</f>
        <v>0</v>
      </c>
      <c r="F9" s="596"/>
      <c r="G9" s="601"/>
    </row>
    <row r="10" spans="1:7" s="589" customFormat="1" ht="13.5" customHeight="1">
      <c r="A10" s="1797" t="s">
        <v>1933</v>
      </c>
      <c r="B10" s="599" t="s">
        <v>828</v>
      </c>
      <c r="C10" s="600">
        <f>ROUND(D10*E10/10000,0)</f>
        <v>1918</v>
      </c>
      <c r="D10" s="1901">
        <f>'数据-汇总表'!E6</f>
        <v>95896.06</v>
      </c>
      <c r="E10" s="600">
        <f>'数据-取费表'!B28</f>
        <v>200</v>
      </c>
      <c r="F10" s="596"/>
      <c r="G10" s="601"/>
    </row>
    <row r="11" spans="1:7" s="589" customFormat="1" ht="13.5" hidden="1" customHeight="1">
      <c r="A11" s="602" t="s">
        <v>41</v>
      </c>
      <c r="B11" s="590" t="s">
        <v>829</v>
      </c>
      <c r="C11" s="586"/>
      <c r="D11" s="1903"/>
      <c r="E11" s="593"/>
      <c r="F11" s="593"/>
      <c r="G11" s="594"/>
    </row>
    <row r="12" spans="1:7" s="589" customFormat="1" ht="13.5" hidden="1" customHeight="1">
      <c r="A12" s="602" t="s">
        <v>42</v>
      </c>
      <c r="B12" s="590" t="s">
        <v>830</v>
      </c>
      <c r="C12" s="586">
        <v>0</v>
      </c>
      <c r="D12" s="1903"/>
      <c r="E12" s="603"/>
      <c r="F12" s="596">
        <v>3.0499999999999999E-2</v>
      </c>
      <c r="G12" s="594"/>
    </row>
    <row r="13" spans="1:7" s="589" customFormat="1" ht="13.5" hidden="1" customHeight="1">
      <c r="A13" s="602" t="s">
        <v>43</v>
      </c>
      <c r="B13" s="590" t="s">
        <v>831</v>
      </c>
      <c r="C13" s="586"/>
      <c r="D13" s="1903"/>
      <c r="E13" s="593"/>
      <c r="F13" s="593"/>
      <c r="G13" s="594"/>
    </row>
    <row r="14" spans="1:7" s="589" customFormat="1" ht="13.5" hidden="1" customHeight="1">
      <c r="A14" s="602" t="s">
        <v>44</v>
      </c>
      <c r="B14" s="590" t="s">
        <v>826</v>
      </c>
      <c r="C14" s="586"/>
      <c r="D14" s="1903"/>
      <c r="E14" s="593"/>
      <c r="F14" s="593"/>
      <c r="G14" s="594" t="s">
        <v>832</v>
      </c>
    </row>
    <row r="15" spans="1:7" s="589" customFormat="1" ht="13.5" hidden="1" customHeight="1">
      <c r="A15" s="602" t="s">
        <v>45</v>
      </c>
      <c r="B15" s="590" t="s">
        <v>833</v>
      </c>
      <c r="C15" s="595"/>
      <c r="D15" s="1903"/>
      <c r="E15" s="593"/>
      <c r="F15" s="593"/>
      <c r="G15" s="594" t="s">
        <v>834</v>
      </c>
    </row>
    <row r="16" spans="1:7"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f>IF(G19="已包含在土地取得成本中","0",ROUND(D19*E19/10000,0))</f>
        <v>1918</v>
      </c>
      <c r="D19" s="1905">
        <f>'数据-汇总表'!E3</f>
        <v>95896.06</v>
      </c>
      <c r="E19" s="586">
        <f>'数据-取费表'!B31</f>
        <v>200</v>
      </c>
      <c r="F19" s="606"/>
      <c r="G19" s="84" t="s">
        <v>2529</v>
      </c>
    </row>
    <row r="20" spans="1:7" s="589" customFormat="1" ht="13.5" customHeight="1">
      <c r="A20" s="1795" t="s">
        <v>2509</v>
      </c>
      <c r="B20" s="585" t="s">
        <v>838</v>
      </c>
      <c r="C20" s="607">
        <f>ROUND((C5+C19)*F20,0)</f>
        <v>451</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642</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1926</v>
      </c>
      <c r="B23" s="590" t="s">
        <v>2513</v>
      </c>
      <c r="C23" s="2691">
        <f ca="1">ROUND(IF('数据-取费表'!B22&lt;=1,C5*F22*'数据-取费表'!B23,C5*(POWER((1+F22),'数据-取费表'!B23)-1)),0)</f>
        <v>582</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54</v>
      </c>
      <c r="D24" s="613"/>
      <c r="E24" s="613"/>
      <c r="F24" s="614"/>
      <c r="G24" s="615" t="s">
        <v>843</v>
      </c>
    </row>
    <row r="25" spans="1:7" s="589" customFormat="1" ht="24">
      <c r="A25" s="1798" t="s">
        <v>1925</v>
      </c>
      <c r="B25" s="590" t="s">
        <v>2510</v>
      </c>
      <c r="C25" s="2691">
        <f ca="1">ROUND(IF('数据-取费表'!B22&lt;=1,C20*F22*'数据-取费表'!B23/2,C20*(POWER((1+F22),'数据-取费表'!B23/2)-1)),0)</f>
        <v>6</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C28</f>
        <v>1379</v>
      </c>
      <c r="D27" s="610">
        <f>C29</f>
        <v>1.1999999999999999E-3</v>
      </c>
      <c r="E27" s="611" t="s">
        <v>860</v>
      </c>
      <c r="F27" s="621">
        <f>'数据-取费表'!Q16</f>
        <v>0.2</v>
      </c>
      <c r="G27" s="622" t="s">
        <v>2521</v>
      </c>
    </row>
    <row r="28" spans="1:7" s="589" customFormat="1" ht="13.5" customHeight="1">
      <c r="A28" s="1798" t="s">
        <v>1926</v>
      </c>
      <c r="B28" s="623" t="s">
        <v>2514</v>
      </c>
      <c r="C28" s="624">
        <f>ROUND((C5+C19+C20)*F27*'数据-取费表'!B21/'数据-取费表'!B20,0)</f>
        <v>1379</v>
      </c>
      <c r="D28" s="610"/>
      <c r="E28" s="611"/>
      <c r="F28" s="621"/>
      <c r="G28" s="622"/>
    </row>
    <row r="29" spans="1:7" s="589" customFormat="1" ht="13.5" customHeight="1">
      <c r="A29" s="1798" t="s">
        <v>1924</v>
      </c>
      <c r="B29" s="623" t="s">
        <v>2515</v>
      </c>
      <c r="C29" s="613">
        <f>ROUND(C21*F27*'数据-取费表'!B21/'数据-取费表'!B20,4)</f>
        <v>1.1999999999999999E-3</v>
      </c>
      <c r="D29" s="610"/>
      <c r="E29" s="611"/>
      <c r="F29" s="621"/>
      <c r="G29" s="622"/>
    </row>
    <row r="30" spans="1:7" s="589" customFormat="1" ht="13.5" customHeight="1">
      <c r="A30" s="1795" t="s">
        <v>1920</v>
      </c>
      <c r="B30" s="585" t="s">
        <v>344</v>
      </c>
      <c r="C30" s="610">
        <f>F30</f>
        <v>5.5000000000000007E-2</v>
      </c>
      <c r="D30" s="611" t="s">
        <v>861</v>
      </c>
      <c r="E30" s="616"/>
      <c r="F30" s="612">
        <f>'数据-取费表'!B41</f>
        <v>5.5000000000000007E-2</v>
      </c>
      <c r="G30" s="609" t="s">
        <v>847</v>
      </c>
    </row>
    <row r="31" spans="1:7" ht="16.5" customHeight="1">
      <c r="A31" s="584">
        <v>1</v>
      </c>
      <c r="B31" s="585" t="s">
        <v>862</v>
      </c>
      <c r="C31" s="586">
        <f ca="1">ROUND((C5+C19+C20+C22+C27)/(1-C21-D22-D27-C30/(1+'数据-取费表'!B42)),0)</f>
        <v>26994</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SUM(C34:C38)</f>
        <v>5912</v>
      </c>
      <c r="D33" s="607"/>
      <c r="E33" s="587"/>
      <c r="F33" s="616"/>
      <c r="G33" s="609"/>
    </row>
    <row r="34" spans="1:7" s="633" customFormat="1" ht="13.5" customHeight="1">
      <c r="A34" s="1798" t="s">
        <v>1926</v>
      </c>
      <c r="B34" s="590" t="s">
        <v>345</v>
      </c>
      <c r="C34" s="595">
        <f>IF(F34=100%,'数据-取费表'!M16-SUMIF('数据-取费表'!C:C,"公共配套",'数据-取费表'!M:M),'数据-取费表'!O16-SUMIF('数据-取费表'!C:C,"公共配套",'数据-取费表'!O:O))</f>
        <v>5387</v>
      </c>
      <c r="D34" s="592"/>
      <c r="E34" s="595"/>
      <c r="F34" s="632">
        <f>IF('数据-取费表'!B24=0,1,'数据-取费表'!N16)</f>
        <v>0.14699999999999999</v>
      </c>
      <c r="G34" s="594" t="s">
        <v>850</v>
      </c>
    </row>
    <row r="35" spans="1:7" ht="13.5" customHeight="1">
      <c r="A35" s="1798" t="s">
        <v>1928</v>
      </c>
      <c r="B35" s="590" t="s">
        <v>346</v>
      </c>
      <c r="C35" s="595">
        <f>ROUND(C34*F35,0)</f>
        <v>162</v>
      </c>
      <c r="D35" s="595"/>
      <c r="E35" s="595"/>
      <c r="F35" s="634">
        <f>'数据-取费表'!B33</f>
        <v>0.03</v>
      </c>
      <c r="G35" s="594" t="s">
        <v>851</v>
      </c>
    </row>
    <row r="36" spans="1:7" ht="24">
      <c r="A36" s="1798" t="s">
        <v>1929</v>
      </c>
      <c r="B36" s="590" t="s">
        <v>347</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348</v>
      </c>
    </row>
    <row r="37" spans="1:7" s="633" customFormat="1" ht="13.5" customHeight="1">
      <c r="A37" s="1798" t="s">
        <v>1930</v>
      </c>
      <c r="B37" s="590" t="s">
        <v>852</v>
      </c>
      <c r="C37" s="624">
        <f>ROUND(E37*D37*F34/10000,0)</f>
        <v>282</v>
      </c>
      <c r="D37" s="592">
        <f>'数据-汇总表'!E3</f>
        <v>95896.06</v>
      </c>
      <c r="E37" s="624">
        <f>'数据-取费表'!B35</f>
        <v>200</v>
      </c>
      <c r="F37" s="634"/>
      <c r="G37" s="636" t="s">
        <v>853</v>
      </c>
    </row>
    <row r="38" spans="1:7" ht="13.5" customHeight="1">
      <c r="A38" s="1798" t="s">
        <v>1931</v>
      </c>
      <c r="B38" s="590" t="s">
        <v>349</v>
      </c>
      <c r="C38" s="595">
        <f>ROUND(C34*F38,0)</f>
        <v>81</v>
      </c>
      <c r="D38" s="595"/>
      <c r="E38" s="595"/>
      <c r="F38" s="634">
        <f>'数据-取费表'!B36</f>
        <v>1.4999999999999999E-2</v>
      </c>
      <c r="G38" s="594" t="s">
        <v>851</v>
      </c>
    </row>
    <row r="39" spans="1:7" s="589" customFormat="1" ht="13.5" customHeight="1">
      <c r="A39" s="1795" t="s">
        <v>1915</v>
      </c>
      <c r="B39" s="585" t="s">
        <v>838</v>
      </c>
      <c r="C39" s="607">
        <f>ROUND(C33*F20,0)</f>
        <v>118</v>
      </c>
      <c r="D39" s="607"/>
      <c r="E39" s="607"/>
      <c r="F39" s="608"/>
      <c r="G39" s="2611" t="s">
        <v>2523</v>
      </c>
    </row>
    <row r="40" spans="1:7" s="589" customFormat="1" ht="13.5" customHeight="1">
      <c r="A40" s="1795" t="s">
        <v>1916</v>
      </c>
      <c r="B40" s="585" t="s">
        <v>839</v>
      </c>
      <c r="C40" s="637">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1926</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C46</f>
        <v>1206</v>
      </c>
      <c r="D45" s="610">
        <f>C47</f>
        <v>4.0000000000000001E-3</v>
      </c>
      <c r="E45" s="611" t="s">
        <v>863</v>
      </c>
      <c r="F45" s="621"/>
      <c r="G45" s="622" t="s">
        <v>2524</v>
      </c>
    </row>
    <row r="46" spans="1:7" s="589" customFormat="1" ht="13.5" customHeight="1">
      <c r="A46" s="1798" t="s">
        <v>1926</v>
      </c>
      <c r="B46" s="623" t="s">
        <v>2517</v>
      </c>
      <c r="C46" s="624">
        <f>ROUND((C33+C39)*F27,0)</f>
        <v>1206</v>
      </c>
      <c r="D46" s="638"/>
      <c r="E46" s="611"/>
      <c r="F46" s="621"/>
      <c r="G46" s="622"/>
    </row>
    <row r="47" spans="1:7" s="589" customFormat="1" ht="13.5" customHeight="1">
      <c r="A47" s="1798" t="s">
        <v>1924</v>
      </c>
      <c r="B47" s="623" t="s">
        <v>2519</v>
      </c>
      <c r="C47" s="613">
        <f>ROUND(C40*F27,4)</f>
        <v>4.0000000000000001E-3</v>
      </c>
      <c r="D47" s="638"/>
      <c r="E47" s="611"/>
      <c r="F47" s="621"/>
      <c r="G47" s="622"/>
    </row>
    <row r="48" spans="1:7" s="589" customFormat="1" ht="13.5" customHeight="1">
      <c r="A48" s="1795" t="s">
        <v>1919</v>
      </c>
      <c r="B48" s="585" t="s">
        <v>856</v>
      </c>
      <c r="C48" s="637">
        <f>F30</f>
        <v>5.5000000000000007E-2</v>
      </c>
      <c r="D48" s="611" t="s">
        <v>864</v>
      </c>
      <c r="E48" s="607"/>
      <c r="F48" s="612"/>
      <c r="G48" s="609" t="s">
        <v>857</v>
      </c>
    </row>
    <row r="49" spans="1:7" ht="16.5" customHeight="1">
      <c r="A49" s="1795" t="s">
        <v>1920</v>
      </c>
      <c r="B49" s="585" t="s">
        <v>865</v>
      </c>
      <c r="C49" s="607">
        <f ca="1">ROUND((C33+C39+C41+C45)/(1-C40-D41-D45-C48/(1+'数据-取费表'!B42)),0)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34923</v>
      </c>
      <c r="D52" s="641"/>
      <c r="E52" s="641"/>
      <c r="F52" s="641"/>
      <c r="G52" s="643"/>
    </row>
    <row r="55" spans="1:7" ht="15">
      <c r="B55" s="645" t="s">
        <v>352</v>
      </c>
      <c r="C55" s="646"/>
    </row>
    <row r="56" spans="1:7">
      <c r="B56" s="648" t="s">
        <v>353</v>
      </c>
      <c r="C56" s="649">
        <f ca="1">ROUND(C51/C52,3)</f>
        <v>0.22700000000000001</v>
      </c>
    </row>
    <row r="57" spans="1:7">
      <c r="B57" s="648" t="s">
        <v>354</v>
      </c>
      <c r="C57" s="650">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8" t="s">
        <v>1172</v>
      </c>
      <c r="B1" s="3738"/>
      <c r="C1" s="3738"/>
      <c r="D1" s="3738"/>
      <c r="E1" s="3738"/>
      <c r="F1" s="3738"/>
      <c r="H1" s="1513" t="s">
        <v>1173</v>
      </c>
      <c r="I1" s="1514" t="s">
        <v>1174</v>
      </c>
      <c r="J1" s="1514" t="s">
        <v>1175</v>
      </c>
      <c r="K1" s="1514" t="s">
        <v>1176</v>
      </c>
      <c r="L1" s="1514" t="s">
        <v>1177</v>
      </c>
      <c r="M1" s="1514" t="s">
        <v>1178</v>
      </c>
      <c r="N1" s="1514" t="s">
        <v>1179</v>
      </c>
      <c r="O1" s="1514" t="s">
        <v>1180</v>
      </c>
      <c r="P1" s="1514" t="s">
        <v>1181</v>
      </c>
      <c r="Q1" s="1514" t="s">
        <v>1182</v>
      </c>
      <c r="R1" s="1514" t="s">
        <v>1183</v>
      </c>
      <c r="S1" s="1515" t="s">
        <v>1184</v>
      </c>
    </row>
    <row r="2" spans="1:19" ht="14.25" thickBot="1">
      <c r="A2" s="3739" t="s">
        <v>1185</v>
      </c>
      <c r="B2" s="3739"/>
      <c r="C2" s="3739"/>
      <c r="D2" s="3739"/>
      <c r="E2" s="3739"/>
      <c r="F2" s="3739"/>
      <c r="H2" s="1516" t="s">
        <v>1186</v>
      </c>
      <c r="I2" s="1517" t="s">
        <v>1187</v>
      </c>
      <c r="J2" s="1517" t="s">
        <v>1188</v>
      </c>
      <c r="K2" s="1517" t="s">
        <v>1189</v>
      </c>
      <c r="L2" s="1517" t="s">
        <v>1190</v>
      </c>
      <c r="M2" s="1517" t="s">
        <v>1191</v>
      </c>
      <c r="N2" s="1517" t="s">
        <v>1192</v>
      </c>
      <c r="O2" s="1517" t="s">
        <v>1193</v>
      </c>
      <c r="P2" s="1517" t="s">
        <v>1194</v>
      </c>
      <c r="Q2" s="1517" t="s">
        <v>1195</v>
      </c>
      <c r="R2" s="1517" t="s">
        <v>1196</v>
      </c>
      <c r="S2" s="1517" t="s">
        <v>1197</v>
      </c>
    </row>
    <row r="3" spans="1:19" s="1512" customFormat="1" ht="19.5" customHeight="1">
      <c r="A3" s="3740" t="s">
        <v>1198</v>
      </c>
      <c r="B3" s="1518"/>
      <c r="C3" s="1519" t="s">
        <v>1199</v>
      </c>
      <c r="D3" s="1519" t="s">
        <v>1200</v>
      </c>
      <c r="E3" s="1519" t="s">
        <v>1847</v>
      </c>
      <c r="F3" s="1519" t="s">
        <v>1202</v>
      </c>
      <c r="G3" s="1520"/>
      <c r="H3" s="1516" t="s">
        <v>1203</v>
      </c>
      <c r="I3" s="1517" t="s">
        <v>1204</v>
      </c>
      <c r="J3" s="1517" t="s">
        <v>1205</v>
      </c>
      <c r="K3" s="1517" t="s">
        <v>1206</v>
      </c>
      <c r="L3" s="1517" t="s">
        <v>1207</v>
      </c>
      <c r="M3" s="1517" t="s">
        <v>1208</v>
      </c>
      <c r="N3" s="1517" t="s">
        <v>1209</v>
      </c>
      <c r="O3" s="1517" t="s">
        <v>1210</v>
      </c>
      <c r="P3" s="1517" t="s">
        <v>1211</v>
      </c>
      <c r="Q3" s="1517" t="s">
        <v>1212</v>
      </c>
      <c r="R3" s="1517" t="s">
        <v>1213</v>
      </c>
      <c r="S3" s="1517" t="s">
        <v>1214</v>
      </c>
    </row>
    <row r="4" spans="1:19" s="1512" customFormat="1" ht="19.5" customHeight="1" thickBot="1">
      <c r="A4" s="3741"/>
      <c r="B4" s="1521" t="s">
        <v>1215</v>
      </c>
      <c r="C4" s="1521" t="s">
        <v>1216</v>
      </c>
      <c r="D4" s="1521" t="s">
        <v>1216</v>
      </c>
      <c r="E4" s="1521" t="s">
        <v>1216</v>
      </c>
      <c r="F4" s="1522" t="s">
        <v>1216</v>
      </c>
      <c r="G4" s="1520"/>
      <c r="H4" s="1516" t="s">
        <v>1217</v>
      </c>
      <c r="I4" s="1517" t="s">
        <v>1140</v>
      </c>
      <c r="J4" s="1517" t="s">
        <v>1218</v>
      </c>
      <c r="K4" s="1517" t="s">
        <v>1219</v>
      </c>
      <c r="L4" s="1517" t="s">
        <v>1220</v>
      </c>
      <c r="M4" s="1517" t="s">
        <v>1221</v>
      </c>
      <c r="N4" s="1517" t="s">
        <v>1222</v>
      </c>
      <c r="O4" s="1517" t="s">
        <v>1223</v>
      </c>
      <c r="P4" s="1517" t="s">
        <v>1224</v>
      </c>
      <c r="Q4" s="1517" t="s">
        <v>1225</v>
      </c>
      <c r="R4" s="1517" t="s">
        <v>1226</v>
      </c>
      <c r="S4" s="1517" t="s">
        <v>1227</v>
      </c>
    </row>
    <row r="5" spans="1:19" ht="14.25" customHeight="1" thickBot="1">
      <c r="A5" s="1523" t="s">
        <v>1954</v>
      </c>
      <c r="B5" s="1524" t="s">
        <v>1955</v>
      </c>
      <c r="C5" s="1524">
        <v>29530</v>
      </c>
      <c r="D5" s="1524">
        <v>28130</v>
      </c>
      <c r="E5" s="1524">
        <v>27930</v>
      </c>
      <c r="F5" s="1525">
        <v>11300</v>
      </c>
      <c r="G5" s="1520"/>
      <c r="H5" s="1516" t="s">
        <v>1229</v>
      </c>
      <c r="I5" s="1517" t="s">
        <v>1230</v>
      </c>
      <c r="J5" s="1517" t="s">
        <v>1231</v>
      </c>
      <c r="K5" s="1517" t="s">
        <v>1232</v>
      </c>
      <c r="L5" s="1517" t="s">
        <v>1233</v>
      </c>
      <c r="M5" s="1517" t="s">
        <v>1234</v>
      </c>
      <c r="N5" s="1517" t="s">
        <v>1235</v>
      </c>
      <c r="O5" s="1517" t="s">
        <v>1236</v>
      </c>
      <c r="P5" s="1517" t="s">
        <v>1237</v>
      </c>
      <c r="Q5" s="1517" t="s">
        <v>1238</v>
      </c>
      <c r="R5" s="1517" t="s">
        <v>1239</v>
      </c>
      <c r="S5" s="1517" t="s">
        <v>1240</v>
      </c>
    </row>
    <row r="6" spans="1:19" ht="14.25" customHeight="1" thickBot="1">
      <c r="A6" s="1523" t="s">
        <v>1228</v>
      </c>
      <c r="B6" s="1517" t="s">
        <v>1203</v>
      </c>
      <c r="C6" s="1517">
        <v>30290</v>
      </c>
      <c r="D6" s="1517">
        <v>29210</v>
      </c>
      <c r="E6" s="1517">
        <v>28860</v>
      </c>
      <c r="F6" s="1526">
        <v>12600</v>
      </c>
      <c r="G6" s="1520"/>
      <c r="H6" s="1516" t="s">
        <v>1241</v>
      </c>
      <c r="I6" s="1517" t="s">
        <v>1242</v>
      </c>
      <c r="J6" s="1517" t="s">
        <v>1243</v>
      </c>
      <c r="K6" s="1517" t="s">
        <v>1244</v>
      </c>
      <c r="L6" s="1517" t="s">
        <v>1245</v>
      </c>
      <c r="M6" s="1517" t="s">
        <v>1246</v>
      </c>
      <c r="N6" s="1517" t="s">
        <v>1247</v>
      </c>
      <c r="O6" s="1517" t="s">
        <v>1248</v>
      </c>
      <c r="P6" s="1517" t="s">
        <v>1249</v>
      </c>
      <c r="Q6" s="1517" t="s">
        <v>1250</v>
      </c>
      <c r="R6" s="1517" t="s">
        <v>1251</v>
      </c>
      <c r="S6" s="1517" t="s">
        <v>1252</v>
      </c>
    </row>
    <row r="7" spans="1:19" ht="14.25" customHeight="1" thickBot="1">
      <c r="A7" s="1523" t="s">
        <v>1228</v>
      </c>
      <c r="B7" s="1527" t="s">
        <v>1217</v>
      </c>
      <c r="C7" s="1517">
        <v>29350</v>
      </c>
      <c r="D7" s="1517">
        <v>28410</v>
      </c>
      <c r="E7" s="1517">
        <v>27990</v>
      </c>
      <c r="F7" s="1526">
        <v>12300</v>
      </c>
      <c r="G7" s="1520"/>
      <c r="I7" s="1517" t="s">
        <v>1253</v>
      </c>
      <c r="J7" s="1517" t="s">
        <v>1254</v>
      </c>
      <c r="K7" s="1517" t="s">
        <v>1255</v>
      </c>
      <c r="L7" s="1517" t="s">
        <v>1256</v>
      </c>
      <c r="M7" s="1517" t="s">
        <v>1257</v>
      </c>
      <c r="N7" s="1517" t="s">
        <v>1258</v>
      </c>
      <c r="O7" s="1517" t="s">
        <v>1259</v>
      </c>
      <c r="P7" s="1517" t="s">
        <v>1260</v>
      </c>
      <c r="Q7" s="1517" t="s">
        <v>1261</v>
      </c>
      <c r="R7" s="1517" t="s">
        <v>1262</v>
      </c>
      <c r="S7" s="1527" t="s">
        <v>1263</v>
      </c>
    </row>
    <row r="8" spans="1:19" ht="14.25" customHeight="1" thickBot="1">
      <c r="A8" s="1523" t="s">
        <v>1228</v>
      </c>
      <c r="B8" s="1517" t="s">
        <v>1229</v>
      </c>
      <c r="C8" s="1517">
        <v>30890</v>
      </c>
      <c r="D8" s="1517">
        <v>29780</v>
      </c>
      <c r="E8" s="1517">
        <v>29270</v>
      </c>
      <c r="F8" s="1526">
        <v>11600</v>
      </c>
      <c r="G8" s="1520"/>
      <c r="I8" s="1517" t="s">
        <v>1264</v>
      </c>
      <c r="J8" s="1517" t="s">
        <v>1265</v>
      </c>
      <c r="K8" s="1517" t="s">
        <v>1266</v>
      </c>
      <c r="L8" s="1517" t="s">
        <v>1267</v>
      </c>
      <c r="M8" s="1517" t="s">
        <v>1268</v>
      </c>
      <c r="N8" s="1517" t="s">
        <v>1269</v>
      </c>
      <c r="O8" s="1517" t="s">
        <v>1270</v>
      </c>
      <c r="P8" s="1517" t="s">
        <v>1271</v>
      </c>
      <c r="Q8" s="1517" t="s">
        <v>1272</v>
      </c>
      <c r="R8" s="1517" t="s">
        <v>1273</v>
      </c>
      <c r="S8" s="1517" t="s">
        <v>1274</v>
      </c>
    </row>
    <row r="9" spans="1:19" ht="14.25" customHeight="1" thickBot="1">
      <c r="A9" s="1523" t="s">
        <v>1228</v>
      </c>
      <c r="B9" s="1528" t="s">
        <v>1241</v>
      </c>
      <c r="C9" s="1529">
        <v>28140</v>
      </c>
      <c r="D9" s="1529"/>
      <c r="E9" s="1529"/>
      <c r="F9" s="1530"/>
      <c r="G9" s="1520"/>
      <c r="I9" s="1517" t="s">
        <v>1275</v>
      </c>
      <c r="J9" s="1517" t="s">
        <v>1276</v>
      </c>
      <c r="K9" s="1517" t="s">
        <v>1277</v>
      </c>
      <c r="L9" s="1517" t="s">
        <v>1278</v>
      </c>
      <c r="M9" s="1517" t="s">
        <v>1279</v>
      </c>
      <c r="N9" s="1517" t="s">
        <v>1280</v>
      </c>
      <c r="O9" s="1517" t="s">
        <v>1281</v>
      </c>
      <c r="P9" s="1517" t="s">
        <v>1282</v>
      </c>
      <c r="Q9" s="1517" t="s">
        <v>1283</v>
      </c>
      <c r="R9" s="1517" t="s">
        <v>1284</v>
      </c>
    </row>
    <row r="10" spans="1:19" ht="14.25" customHeight="1" thickBot="1">
      <c r="A10" s="1523" t="s">
        <v>1285</v>
      </c>
      <c r="B10" s="1524" t="s">
        <v>1286</v>
      </c>
      <c r="C10" s="1524">
        <v>27450</v>
      </c>
      <c r="D10" s="1524">
        <v>26180</v>
      </c>
      <c r="E10" s="1524">
        <v>25980</v>
      </c>
      <c r="F10" s="1525">
        <v>8910</v>
      </c>
      <c r="G10" s="1520"/>
      <c r="I10" s="1517" t="s">
        <v>1287</v>
      </c>
      <c r="J10" s="1517" t="s">
        <v>1288</v>
      </c>
      <c r="K10" s="1517" t="s">
        <v>1289</v>
      </c>
      <c r="L10" s="1517" t="s">
        <v>1290</v>
      </c>
      <c r="M10" s="1517" t="s">
        <v>1291</v>
      </c>
      <c r="N10" s="1517" t="s">
        <v>1292</v>
      </c>
      <c r="O10" s="1517" t="s">
        <v>1293</v>
      </c>
      <c r="P10" s="1517" t="s">
        <v>1294</v>
      </c>
      <c r="Q10" s="1517" t="s">
        <v>1295</v>
      </c>
      <c r="R10" s="1517" t="s">
        <v>1296</v>
      </c>
    </row>
    <row r="11" spans="1:19" ht="14.25" customHeight="1" thickBot="1">
      <c r="A11" s="1523" t="s">
        <v>1285</v>
      </c>
      <c r="B11" s="1527" t="s">
        <v>1204</v>
      </c>
      <c r="C11" s="1517">
        <v>22950</v>
      </c>
      <c r="D11" s="1517">
        <v>22630</v>
      </c>
      <c r="E11" s="1517">
        <v>22030</v>
      </c>
      <c r="F11" s="1531">
        <v>8330</v>
      </c>
      <c r="G11" s="1520"/>
      <c r="I11" s="1517" t="s">
        <v>1297</v>
      </c>
      <c r="J11" s="1517" t="s">
        <v>1298</v>
      </c>
      <c r="K11" s="1517" t="s">
        <v>1299</v>
      </c>
      <c r="L11" s="1517" t="s">
        <v>1300</v>
      </c>
      <c r="M11" s="1517" t="s">
        <v>1301</v>
      </c>
      <c r="N11" s="1517" t="s">
        <v>1302</v>
      </c>
      <c r="O11" s="1517" t="s">
        <v>1303</v>
      </c>
      <c r="P11" s="1517" t="s">
        <v>1304</v>
      </c>
      <c r="Q11" s="1517" t="s">
        <v>1305</v>
      </c>
      <c r="R11" s="1517" t="s">
        <v>1306</v>
      </c>
    </row>
    <row r="12" spans="1:19" ht="14.25" customHeight="1" thickBot="1">
      <c r="A12" s="1523" t="s">
        <v>1285</v>
      </c>
      <c r="B12" s="1527" t="s">
        <v>1140</v>
      </c>
      <c r="C12" s="1517">
        <v>24940</v>
      </c>
      <c r="D12" s="1517">
        <v>23180</v>
      </c>
      <c r="E12" s="1517">
        <v>22910</v>
      </c>
      <c r="F12" s="1531">
        <v>7180</v>
      </c>
      <c r="G12" s="1520"/>
      <c r="I12" s="1517" t="s">
        <v>1307</v>
      </c>
      <c r="J12" s="1517" t="s">
        <v>1308</v>
      </c>
      <c r="K12" s="1517" t="s">
        <v>1309</v>
      </c>
      <c r="L12" s="1517" t="s">
        <v>1310</v>
      </c>
      <c r="M12" s="1517" t="s">
        <v>1311</v>
      </c>
      <c r="N12" s="1517" t="s">
        <v>1312</v>
      </c>
      <c r="O12" s="1517" t="s">
        <v>1313</v>
      </c>
      <c r="P12" s="1517" t="s">
        <v>1314</v>
      </c>
      <c r="Q12" s="1517" t="s">
        <v>1315</v>
      </c>
      <c r="R12" s="1517" t="s">
        <v>1316</v>
      </c>
    </row>
    <row r="13" spans="1:19" ht="14.25" customHeight="1" thickBot="1">
      <c r="A13" s="1523" t="s">
        <v>1285</v>
      </c>
      <c r="B13" s="1527" t="s">
        <v>1230</v>
      </c>
      <c r="C13" s="1517">
        <v>24140</v>
      </c>
      <c r="D13" s="1517">
        <v>22270</v>
      </c>
      <c r="E13" s="1517">
        <v>21950</v>
      </c>
      <c r="F13" s="1531">
        <v>7600</v>
      </c>
      <c r="G13" s="1520"/>
      <c r="I13" s="1517" t="s">
        <v>1317</v>
      </c>
      <c r="J13" s="1517" t="s">
        <v>1318</v>
      </c>
      <c r="K13" s="1517" t="s">
        <v>1319</v>
      </c>
      <c r="L13" s="1517" t="s">
        <v>1320</v>
      </c>
      <c r="M13" s="1517" t="s">
        <v>1321</v>
      </c>
      <c r="N13" s="1517" t="s">
        <v>1322</v>
      </c>
      <c r="O13" s="1517" t="s">
        <v>1323</v>
      </c>
      <c r="P13" s="1517" t="s">
        <v>1324</v>
      </c>
      <c r="Q13" s="1517" t="s">
        <v>1325</v>
      </c>
      <c r="R13" s="1517" t="s">
        <v>1326</v>
      </c>
    </row>
    <row r="14" spans="1:19" ht="14.25" customHeight="1" thickBot="1">
      <c r="A14" s="1523" t="s">
        <v>1285</v>
      </c>
      <c r="B14" s="1527" t="s">
        <v>1242</v>
      </c>
      <c r="C14" s="1517">
        <v>25600</v>
      </c>
      <c r="D14" s="1517">
        <v>22260</v>
      </c>
      <c r="E14" s="1517">
        <v>22110</v>
      </c>
      <c r="F14" s="1531">
        <v>7630</v>
      </c>
      <c r="G14" s="1520"/>
      <c r="I14" s="1517" t="s">
        <v>1327</v>
      </c>
      <c r="J14" s="1517" t="s">
        <v>1328</v>
      </c>
      <c r="K14" s="1517" t="s">
        <v>1329</v>
      </c>
      <c r="L14" s="1517" t="s">
        <v>1330</v>
      </c>
      <c r="M14" s="1517" t="s">
        <v>1331</v>
      </c>
      <c r="N14" s="1517" t="s">
        <v>1332</v>
      </c>
      <c r="O14" s="1517" t="s">
        <v>1333</v>
      </c>
      <c r="P14" s="1517" t="s">
        <v>1334</v>
      </c>
      <c r="Q14" s="1517" t="s">
        <v>1335</v>
      </c>
      <c r="R14" s="1517" t="s">
        <v>1336</v>
      </c>
    </row>
    <row r="15" spans="1:19" ht="14.25" customHeight="1" thickBot="1">
      <c r="A15" s="1523" t="s">
        <v>1285</v>
      </c>
      <c r="B15" s="1527" t="s">
        <v>1253</v>
      </c>
      <c r="C15" s="1517">
        <v>24760</v>
      </c>
      <c r="D15" s="1517">
        <v>24440</v>
      </c>
      <c r="E15" s="1517">
        <v>24130</v>
      </c>
      <c r="F15" s="1531">
        <v>9480</v>
      </c>
      <c r="G15" s="1520"/>
      <c r="I15" s="1517" t="s">
        <v>1338</v>
      </c>
      <c r="J15" s="1517" t="s">
        <v>1339</v>
      </c>
      <c r="K15" s="1517" t="s">
        <v>1340</v>
      </c>
      <c r="L15" s="1517" t="s">
        <v>1341</v>
      </c>
      <c r="M15" s="1517" t="s">
        <v>1342</v>
      </c>
      <c r="N15" s="1517" t="s">
        <v>1343</v>
      </c>
      <c r="O15" s="1517" t="s">
        <v>1344</v>
      </c>
      <c r="P15" s="1517" t="s">
        <v>1345</v>
      </c>
      <c r="Q15" s="1517" t="s">
        <v>1346</v>
      </c>
      <c r="R15" s="1517" t="s">
        <v>1347</v>
      </c>
    </row>
    <row r="16" spans="1:19" ht="14.25" customHeight="1" thickBot="1">
      <c r="A16" s="1523" t="s">
        <v>1285</v>
      </c>
      <c r="B16" s="1527" t="s">
        <v>1264</v>
      </c>
      <c r="C16" s="1517">
        <v>22220</v>
      </c>
      <c r="D16" s="1517">
        <v>22310</v>
      </c>
      <c r="E16" s="1517">
        <v>22000</v>
      </c>
      <c r="F16" s="1531">
        <v>8900</v>
      </c>
      <c r="G16" s="1520"/>
      <c r="I16" s="1517" t="s">
        <v>1349</v>
      </c>
      <c r="J16" s="1517" t="s">
        <v>1350</v>
      </c>
      <c r="K16" s="1517" t="s">
        <v>1351</v>
      </c>
      <c r="L16" s="1517" t="s">
        <v>1352</v>
      </c>
      <c r="M16" s="1517" t="s">
        <v>1353</v>
      </c>
      <c r="N16" s="1517" t="s">
        <v>1354</v>
      </c>
      <c r="O16" s="1517" t="s">
        <v>1355</v>
      </c>
      <c r="P16" s="1517" t="s">
        <v>1356</v>
      </c>
      <c r="Q16" s="1517" t="s">
        <v>1357</v>
      </c>
      <c r="R16" s="1517" t="s">
        <v>1358</v>
      </c>
    </row>
    <row r="17" spans="1:18" ht="14.25" customHeight="1" thickBot="1">
      <c r="A17" s="1523" t="s">
        <v>1285</v>
      </c>
      <c r="B17" s="1527" t="s">
        <v>1275</v>
      </c>
      <c r="C17" s="1517">
        <v>24700</v>
      </c>
      <c r="D17" s="1517">
        <v>25150</v>
      </c>
      <c r="E17" s="1517">
        <v>24700</v>
      </c>
      <c r="F17" s="1532"/>
      <c r="G17" s="1520"/>
      <c r="I17" s="1517" t="s">
        <v>1359</v>
      </c>
      <c r="J17" s="1517" t="s">
        <v>1360</v>
      </c>
      <c r="K17" s="1517" t="s">
        <v>1361</v>
      </c>
      <c r="L17" s="1517" t="s">
        <v>1362</v>
      </c>
      <c r="M17" s="1517" t="s">
        <v>1363</v>
      </c>
      <c r="N17" s="1517" t="s">
        <v>1364</v>
      </c>
      <c r="O17" s="1517" t="s">
        <v>1365</v>
      </c>
      <c r="P17" s="1517" t="s">
        <v>1366</v>
      </c>
      <c r="Q17" s="1517" t="s">
        <v>1367</v>
      </c>
      <c r="R17" s="1517" t="s">
        <v>1368</v>
      </c>
    </row>
    <row r="18" spans="1:18" ht="14.25" customHeight="1" thickBot="1">
      <c r="A18" s="1523" t="s">
        <v>1285</v>
      </c>
      <c r="B18" s="1527" t="s">
        <v>1287</v>
      </c>
      <c r="C18" s="1517">
        <v>22350</v>
      </c>
      <c r="D18" s="1517">
        <v>24340</v>
      </c>
      <c r="E18" s="1517">
        <v>24100</v>
      </c>
      <c r="F18" s="1532"/>
      <c r="G18" s="1520"/>
      <c r="I18" s="1517" t="s">
        <v>1369</v>
      </c>
      <c r="J18" s="1517" t="s">
        <v>1370</v>
      </c>
      <c r="K18" s="1517" t="s">
        <v>1371</v>
      </c>
      <c r="L18" s="1517" t="s">
        <v>1372</v>
      </c>
      <c r="M18" s="1517" t="s">
        <v>1373</v>
      </c>
      <c r="N18" s="1517" t="s">
        <v>1374</v>
      </c>
      <c r="O18" s="1517" t="s">
        <v>1375</v>
      </c>
      <c r="P18" s="1517" t="s">
        <v>1376</v>
      </c>
      <c r="Q18" s="1517" t="s">
        <v>1377</v>
      </c>
      <c r="R18" s="1517" t="s">
        <v>1378</v>
      </c>
    </row>
    <row r="19" spans="1:18" ht="14.25" customHeight="1" thickBot="1">
      <c r="A19" s="1523" t="s">
        <v>1285</v>
      </c>
      <c r="B19" s="1527" t="s">
        <v>1297</v>
      </c>
      <c r="C19" s="1517">
        <v>23430</v>
      </c>
      <c r="D19" s="1517">
        <v>21580</v>
      </c>
      <c r="E19" s="1517">
        <v>21350</v>
      </c>
      <c r="F19" s="1532"/>
      <c r="G19" s="1520"/>
      <c r="I19" s="1517" t="s">
        <v>1379</v>
      </c>
      <c r="J19" s="1517" t="s">
        <v>1380</v>
      </c>
      <c r="K19" s="1517" t="s">
        <v>1381</v>
      </c>
      <c r="L19" s="1517" t="s">
        <v>1382</v>
      </c>
      <c r="M19" s="1517" t="s">
        <v>1383</v>
      </c>
      <c r="N19" s="1517" t="s">
        <v>1384</v>
      </c>
      <c r="O19" s="1517" t="s">
        <v>1385</v>
      </c>
      <c r="P19" s="1517" t="s">
        <v>1386</v>
      </c>
      <c r="Q19" s="1517" t="s">
        <v>1387</v>
      </c>
      <c r="R19" s="1517" t="s">
        <v>1388</v>
      </c>
    </row>
    <row r="20" spans="1:18" ht="14.25" customHeight="1" thickBot="1">
      <c r="A20" s="1523" t="s">
        <v>1285</v>
      </c>
      <c r="B20" s="1527" t="s">
        <v>1307</v>
      </c>
      <c r="C20" s="1517">
        <v>27660</v>
      </c>
      <c r="D20" s="1517">
        <v>24240</v>
      </c>
      <c r="E20" s="1517">
        <v>24020</v>
      </c>
      <c r="F20" s="1532"/>
      <c r="I20" s="1517" t="s">
        <v>1389</v>
      </c>
      <c r="J20" s="1517" t="s">
        <v>1390</v>
      </c>
      <c r="K20" s="1517" t="s">
        <v>1391</v>
      </c>
      <c r="L20" s="1517" t="s">
        <v>1392</v>
      </c>
      <c r="M20" s="1517" t="s">
        <v>1393</v>
      </c>
      <c r="N20" s="1517" t="s">
        <v>1394</v>
      </c>
      <c r="O20" s="1517" t="s">
        <v>1395</v>
      </c>
      <c r="P20" s="1517" t="s">
        <v>1396</v>
      </c>
      <c r="Q20" s="1517" t="s">
        <v>1397</v>
      </c>
      <c r="R20" s="1517" t="s">
        <v>1398</v>
      </c>
    </row>
    <row r="21" spans="1:18" ht="14.25" customHeight="1" thickBot="1">
      <c r="A21" s="1523" t="s">
        <v>1285</v>
      </c>
      <c r="B21" s="1527" t="s">
        <v>1317</v>
      </c>
      <c r="C21" s="1517">
        <v>24720</v>
      </c>
      <c r="D21" s="1517">
        <v>21670</v>
      </c>
      <c r="E21" s="1517">
        <v>21510</v>
      </c>
      <c r="F21" s="1532"/>
      <c r="J21" s="1517" t="s">
        <v>1399</v>
      </c>
      <c r="K21" s="1517" t="s">
        <v>1400</v>
      </c>
      <c r="L21" s="1517" t="s">
        <v>1401</v>
      </c>
      <c r="M21" s="1517" t="s">
        <v>1402</v>
      </c>
      <c r="N21" s="1517" t="s">
        <v>1403</v>
      </c>
      <c r="O21" s="1517" t="s">
        <v>1404</v>
      </c>
      <c r="P21" s="1517" t="s">
        <v>1405</v>
      </c>
      <c r="Q21" s="1517" t="s">
        <v>1406</v>
      </c>
      <c r="R21" s="1517" t="s">
        <v>1407</v>
      </c>
    </row>
    <row r="22" spans="1:18" ht="14.25" customHeight="1" thickBot="1">
      <c r="A22" s="1523" t="s">
        <v>1285</v>
      </c>
      <c r="B22" s="1527" t="s">
        <v>1408</v>
      </c>
      <c r="C22" s="1517">
        <v>26530</v>
      </c>
      <c r="D22" s="1517">
        <v>22980</v>
      </c>
      <c r="E22" s="1517">
        <v>22650</v>
      </c>
      <c r="F22" s="1532"/>
      <c r="K22" s="1517" t="s">
        <v>1409</v>
      </c>
      <c r="L22" s="1517" t="s">
        <v>1410</v>
      </c>
      <c r="M22" s="1517" t="s">
        <v>1411</v>
      </c>
      <c r="N22" s="1517" t="s">
        <v>1412</v>
      </c>
      <c r="O22" s="1517" t="s">
        <v>1413</v>
      </c>
      <c r="P22" s="1517" t="s">
        <v>1414</v>
      </c>
      <c r="Q22" s="1517" t="s">
        <v>1415</v>
      </c>
      <c r="R22" s="1527" t="s">
        <v>1416</v>
      </c>
    </row>
    <row r="23" spans="1:18" ht="14.25" customHeight="1" thickBot="1">
      <c r="A23" s="1523" t="s">
        <v>1285</v>
      </c>
      <c r="B23" s="1527" t="s">
        <v>1338</v>
      </c>
      <c r="C23" s="1517">
        <v>24700</v>
      </c>
      <c r="D23" s="1517">
        <v>27290</v>
      </c>
      <c r="E23" s="1517">
        <v>26710</v>
      </c>
      <c r="F23" s="1532"/>
      <c r="K23" s="1517" t="s">
        <v>1417</v>
      </c>
      <c r="L23" s="1517" t="s">
        <v>1418</v>
      </c>
      <c r="M23" s="1517" t="s">
        <v>1419</v>
      </c>
      <c r="N23" s="1517" t="s">
        <v>1420</v>
      </c>
      <c r="O23" s="1517" t="s">
        <v>1421</v>
      </c>
      <c r="P23" s="1517" t="s">
        <v>1422</v>
      </c>
      <c r="Q23" s="1517" t="s">
        <v>1423</v>
      </c>
    </row>
    <row r="24" spans="1:18" ht="14.25" customHeight="1" thickBot="1">
      <c r="A24" s="1523" t="s">
        <v>1285</v>
      </c>
      <c r="B24" s="1527" t="s">
        <v>1349</v>
      </c>
      <c r="C24" s="1517">
        <v>23070</v>
      </c>
      <c r="D24" s="1517">
        <v>24130</v>
      </c>
      <c r="E24" s="1517">
        <v>23860</v>
      </c>
      <c r="F24" s="1532"/>
      <c r="K24" s="1517" t="s">
        <v>1424</v>
      </c>
      <c r="L24" s="1517" t="s">
        <v>1425</v>
      </c>
      <c r="M24" s="1517" t="s">
        <v>1426</v>
      </c>
      <c r="N24" s="1517" t="s">
        <v>1427</v>
      </c>
      <c r="O24" s="1517" t="s">
        <v>1428</v>
      </c>
      <c r="P24" s="1517" t="s">
        <v>1429</v>
      </c>
      <c r="Q24" s="1517" t="s">
        <v>1430</v>
      </c>
    </row>
    <row r="25" spans="1:18" ht="14.25" customHeight="1" thickBot="1">
      <c r="A25" s="1523" t="s">
        <v>1285</v>
      </c>
      <c r="B25" s="1527" t="s">
        <v>1359</v>
      </c>
      <c r="C25" s="1517">
        <v>27550</v>
      </c>
      <c r="D25" s="1517">
        <v>25850</v>
      </c>
      <c r="E25" s="1517">
        <v>25340</v>
      </c>
      <c r="F25" s="1532"/>
      <c r="K25" s="1517" t="s">
        <v>1431</v>
      </c>
      <c r="L25" s="1517" t="s">
        <v>1432</v>
      </c>
      <c r="M25" s="1517" t="s">
        <v>1433</v>
      </c>
      <c r="N25" s="1517" t="s">
        <v>1434</v>
      </c>
      <c r="O25" s="1517" t="s">
        <v>1435</v>
      </c>
      <c r="P25" s="1517" t="s">
        <v>1436</v>
      </c>
      <c r="Q25" s="1517" t="s">
        <v>1437</v>
      </c>
    </row>
    <row r="26" spans="1:18" ht="14.25" customHeight="1" thickBot="1">
      <c r="A26" s="1523" t="s">
        <v>1285</v>
      </c>
      <c r="B26" s="1527" t="s">
        <v>1369</v>
      </c>
      <c r="C26" s="1517"/>
      <c r="D26" s="1517">
        <v>23900</v>
      </c>
      <c r="E26" s="1517">
        <v>23590</v>
      </c>
      <c r="F26" s="1532"/>
      <c r="K26" s="1517" t="s">
        <v>1438</v>
      </c>
      <c r="L26" s="1517" t="s">
        <v>1439</v>
      </c>
      <c r="M26" s="1517" t="s">
        <v>1440</v>
      </c>
      <c r="N26" s="1517" t="s">
        <v>1441</v>
      </c>
      <c r="O26" s="1517" t="s">
        <v>1442</v>
      </c>
      <c r="P26" s="1517" t="s">
        <v>1443</v>
      </c>
      <c r="Q26" s="1517" t="s">
        <v>1444</v>
      </c>
    </row>
    <row r="27" spans="1:18" ht="14.25" customHeight="1" thickBot="1">
      <c r="A27" s="1523" t="s">
        <v>1285</v>
      </c>
      <c r="B27" s="1527" t="s">
        <v>1379</v>
      </c>
      <c r="C27" s="1517"/>
      <c r="D27" s="1517">
        <v>22850</v>
      </c>
      <c r="E27" s="1517">
        <v>21920</v>
      </c>
      <c r="F27" s="1532"/>
      <c r="K27" s="1517" t="s">
        <v>1445</v>
      </c>
      <c r="L27" s="1517" t="s">
        <v>1446</v>
      </c>
      <c r="M27" s="1517" t="s">
        <v>1447</v>
      </c>
      <c r="N27" s="1517" t="s">
        <v>1448</v>
      </c>
      <c r="O27" s="1517" t="s">
        <v>1449</v>
      </c>
      <c r="P27" s="1517" t="s">
        <v>1450</v>
      </c>
      <c r="Q27" s="1517" t="s">
        <v>1451</v>
      </c>
    </row>
    <row r="28" spans="1:18" ht="14.25" customHeight="1" thickBot="1">
      <c r="A28" s="1533" t="s">
        <v>1285</v>
      </c>
      <c r="B28" s="1528" t="s">
        <v>1389</v>
      </c>
      <c r="C28" s="1529"/>
      <c r="D28" s="1529">
        <v>26610</v>
      </c>
      <c r="E28" s="1529">
        <v>26370</v>
      </c>
      <c r="F28" s="1530"/>
      <c r="K28" s="1517" t="s">
        <v>1452</v>
      </c>
      <c r="L28" s="1517" t="s">
        <v>1453</v>
      </c>
      <c r="M28" s="1517" t="s">
        <v>1454</v>
      </c>
      <c r="N28" s="1517" t="s">
        <v>1455</v>
      </c>
      <c r="O28" s="1517" t="s">
        <v>1456</v>
      </c>
      <c r="P28" s="1517" t="s">
        <v>1457</v>
      </c>
    </row>
    <row r="29" spans="1:18" ht="14.25" customHeight="1" thickBot="1">
      <c r="A29" s="1523" t="s">
        <v>1458</v>
      </c>
      <c r="B29" s="1524" t="s">
        <v>1459</v>
      </c>
      <c r="C29" s="1524">
        <v>22090</v>
      </c>
      <c r="D29" s="1524">
        <v>21860</v>
      </c>
      <c r="E29" s="1524">
        <v>19380</v>
      </c>
      <c r="F29" s="1525">
        <v>6610</v>
      </c>
      <c r="L29" s="1517" t="s">
        <v>1460</v>
      </c>
      <c r="M29" s="1517" t="s">
        <v>1461</v>
      </c>
      <c r="N29" s="1517" t="s">
        <v>1462</v>
      </c>
      <c r="O29" s="1517" t="s">
        <v>1463</v>
      </c>
      <c r="P29" s="1517" t="s">
        <v>1464</v>
      </c>
    </row>
    <row r="30" spans="1:18" ht="14.25" customHeight="1" thickBot="1">
      <c r="A30" s="1523" t="s">
        <v>1458</v>
      </c>
      <c r="B30" s="1527" t="s">
        <v>1205</v>
      </c>
      <c r="C30" s="1517">
        <v>21380</v>
      </c>
      <c r="D30" s="1517">
        <v>19930</v>
      </c>
      <c r="E30" s="1517">
        <v>19860</v>
      </c>
      <c r="F30" s="1531">
        <v>6010</v>
      </c>
      <c r="L30" s="1517" t="s">
        <v>1465</v>
      </c>
      <c r="M30" s="1517" t="s">
        <v>1466</v>
      </c>
      <c r="N30" s="1517" t="s">
        <v>1467</v>
      </c>
      <c r="O30" s="1517" t="s">
        <v>2498</v>
      </c>
      <c r="P30" s="1517" t="s">
        <v>1468</v>
      </c>
    </row>
    <row r="31" spans="1:18" ht="14.25" customHeight="1" thickBot="1">
      <c r="A31" s="1523" t="s">
        <v>1458</v>
      </c>
      <c r="B31" s="1527" t="s">
        <v>1218</v>
      </c>
      <c r="C31" s="1517">
        <v>21670</v>
      </c>
      <c r="D31" s="1517">
        <v>20660</v>
      </c>
      <c r="E31" s="1517">
        <v>20290</v>
      </c>
      <c r="F31" s="1531">
        <v>5840</v>
      </c>
      <c r="L31" s="1517" t="s">
        <v>1469</v>
      </c>
      <c r="M31" s="1517" t="s">
        <v>1470</v>
      </c>
      <c r="N31" s="1517" t="s">
        <v>1471</v>
      </c>
      <c r="O31" s="1517" t="s">
        <v>1472</v>
      </c>
      <c r="P31" s="1517" t="s">
        <v>1473</v>
      </c>
    </row>
    <row r="32" spans="1:18" ht="14.25" customHeight="1" thickBot="1">
      <c r="A32" s="1523" t="s">
        <v>1458</v>
      </c>
      <c r="B32" s="1527" t="s">
        <v>1231</v>
      </c>
      <c r="C32" s="1517">
        <v>22280</v>
      </c>
      <c r="D32" s="1517">
        <v>21800</v>
      </c>
      <c r="E32" s="1517">
        <v>17650</v>
      </c>
      <c r="F32" s="1531">
        <v>4690</v>
      </c>
      <c r="L32" s="1517" t="s">
        <v>1474</v>
      </c>
      <c r="M32" s="1517" t="s">
        <v>1475</v>
      </c>
      <c r="N32" s="1517" t="s">
        <v>1476</v>
      </c>
      <c r="O32" s="1517" t="s">
        <v>1477</v>
      </c>
      <c r="P32" s="1517" t="s">
        <v>1478</v>
      </c>
    </row>
    <row r="33" spans="1:16" ht="14.25" customHeight="1" thickBot="1">
      <c r="A33" s="1523" t="s">
        <v>1458</v>
      </c>
      <c r="B33" s="1527" t="s">
        <v>1243</v>
      </c>
      <c r="C33" s="1517">
        <v>22130</v>
      </c>
      <c r="D33" s="1517">
        <v>20460</v>
      </c>
      <c r="E33" s="1517">
        <v>18500</v>
      </c>
      <c r="F33" s="1531">
        <v>5340</v>
      </c>
      <c r="L33" s="1517" t="s">
        <v>1479</v>
      </c>
      <c r="M33" s="1517" t="s">
        <v>1480</v>
      </c>
      <c r="N33" s="1517" t="s">
        <v>1481</v>
      </c>
      <c r="O33" s="1517" t="s">
        <v>1482</v>
      </c>
      <c r="P33" s="1517" t="s">
        <v>1483</v>
      </c>
    </row>
    <row r="34" spans="1:16" ht="14.25" customHeight="1" thickBot="1">
      <c r="A34" s="1523" t="s">
        <v>1458</v>
      </c>
      <c r="B34" s="1527" t="s">
        <v>1254</v>
      </c>
      <c r="C34" s="1517">
        <v>22070</v>
      </c>
      <c r="D34" s="1517">
        <v>20110</v>
      </c>
      <c r="E34" s="1517">
        <v>18830</v>
      </c>
      <c r="F34" s="1531">
        <v>5190</v>
      </c>
      <c r="L34" s="1517" t="s">
        <v>1484</v>
      </c>
      <c r="M34" s="1517" t="s">
        <v>1485</v>
      </c>
      <c r="N34" s="1517" t="s">
        <v>1486</v>
      </c>
      <c r="O34" s="1517" t="s">
        <v>1487</v>
      </c>
      <c r="P34" s="1517" t="s">
        <v>1488</v>
      </c>
    </row>
    <row r="35" spans="1:16" ht="14.25" customHeight="1" thickBot="1">
      <c r="A35" s="1523" t="s">
        <v>1458</v>
      </c>
      <c r="B35" s="1527" t="s">
        <v>1265</v>
      </c>
      <c r="C35" s="1517">
        <v>22240</v>
      </c>
      <c r="D35" s="1517">
        <v>19550</v>
      </c>
      <c r="E35" s="1517">
        <v>19220</v>
      </c>
      <c r="F35" s="1531">
        <v>5800</v>
      </c>
      <c r="L35" s="1517" t="s">
        <v>1489</v>
      </c>
      <c r="M35" s="1517" t="s">
        <v>1490</v>
      </c>
      <c r="N35" s="1517" t="s">
        <v>1491</v>
      </c>
      <c r="O35" s="1517" t="s">
        <v>1492</v>
      </c>
      <c r="P35" s="1517" t="s">
        <v>1493</v>
      </c>
    </row>
    <row r="36" spans="1:16" ht="14.25" customHeight="1" thickBot="1">
      <c r="A36" s="1523" t="s">
        <v>1458</v>
      </c>
      <c r="B36" s="1527" t="s">
        <v>1276</v>
      </c>
      <c r="C36" s="1517">
        <v>19750</v>
      </c>
      <c r="D36" s="1517">
        <v>19790</v>
      </c>
      <c r="E36" s="1517">
        <v>18510</v>
      </c>
      <c r="F36" s="1531">
        <v>6520</v>
      </c>
      <c r="M36" s="1517" t="s">
        <v>1494</v>
      </c>
      <c r="N36" s="1517" t="s">
        <v>1495</v>
      </c>
      <c r="O36" s="1517" t="s">
        <v>1496</v>
      </c>
      <c r="P36" s="1517" t="s">
        <v>1497</v>
      </c>
    </row>
    <row r="37" spans="1:16" ht="14.25" customHeight="1" thickBot="1">
      <c r="A37" s="1523" t="s">
        <v>1458</v>
      </c>
      <c r="B37" s="1527" t="s">
        <v>1288</v>
      </c>
      <c r="C37" s="1517">
        <v>22380</v>
      </c>
      <c r="D37" s="1517">
        <v>18530</v>
      </c>
      <c r="E37" s="1517">
        <v>17930</v>
      </c>
      <c r="F37" s="1531">
        <v>6270</v>
      </c>
      <c r="M37" s="1517" t="s">
        <v>1498</v>
      </c>
      <c r="N37" s="1517" t="s">
        <v>1499</v>
      </c>
      <c r="O37" s="1517" t="s">
        <v>1500</v>
      </c>
      <c r="P37" s="1517" t="s">
        <v>1501</v>
      </c>
    </row>
    <row r="38" spans="1:16" ht="14.25" customHeight="1" thickBot="1">
      <c r="A38" s="1523" t="s">
        <v>1458</v>
      </c>
      <c r="B38" s="1527" t="s">
        <v>1298</v>
      </c>
      <c r="C38" s="1517">
        <v>20200</v>
      </c>
      <c r="D38" s="1517">
        <v>20070</v>
      </c>
      <c r="E38" s="1517">
        <v>19950</v>
      </c>
      <c r="F38" s="1531"/>
      <c r="M38" s="1517" t="s">
        <v>1502</v>
      </c>
      <c r="N38" s="1517" t="s">
        <v>1503</v>
      </c>
      <c r="O38" s="1517" t="s">
        <v>1504</v>
      </c>
      <c r="P38" s="1517" t="s">
        <v>1505</v>
      </c>
    </row>
    <row r="39" spans="1:16" ht="14.25" customHeight="1" thickBot="1">
      <c r="A39" s="1523" t="s">
        <v>1458</v>
      </c>
      <c r="B39" s="1527" t="s">
        <v>1308</v>
      </c>
      <c r="C39" s="1517">
        <v>19300</v>
      </c>
      <c r="D39" s="1517">
        <v>20360</v>
      </c>
      <c r="E39" s="1517">
        <v>20230</v>
      </c>
      <c r="F39" s="1531"/>
      <c r="M39" s="1517" t="s">
        <v>1506</v>
      </c>
      <c r="N39" s="1517" t="s">
        <v>1507</v>
      </c>
      <c r="O39" s="1517" t="s">
        <v>1508</v>
      </c>
      <c r="P39" s="1517" t="s">
        <v>1509</v>
      </c>
    </row>
    <row r="40" spans="1:16" ht="14.25" customHeight="1" thickBot="1">
      <c r="A40" s="1523" t="s">
        <v>1458</v>
      </c>
      <c r="B40" s="1527" t="s">
        <v>1318</v>
      </c>
      <c r="C40" s="1517">
        <v>20210</v>
      </c>
      <c r="D40" s="1517">
        <v>19060</v>
      </c>
      <c r="E40" s="1517">
        <v>18890</v>
      </c>
      <c r="F40" s="1531"/>
      <c r="M40" s="1517" t="s">
        <v>1510</v>
      </c>
      <c r="N40" s="1517" t="s">
        <v>1511</v>
      </c>
      <c r="O40" s="1517" t="s">
        <v>1512</v>
      </c>
      <c r="P40" s="1517" t="s">
        <v>1513</v>
      </c>
    </row>
    <row r="41" spans="1:16" ht="14.25" customHeight="1" thickBot="1">
      <c r="A41" s="1523" t="s">
        <v>1458</v>
      </c>
      <c r="B41" s="1527" t="s">
        <v>1328</v>
      </c>
      <c r="C41" s="1517">
        <v>20560</v>
      </c>
      <c r="D41" s="1517">
        <v>21040</v>
      </c>
      <c r="E41" s="1517">
        <v>20740</v>
      </c>
      <c r="F41" s="1531"/>
      <c r="M41" s="1527" t="s">
        <v>1514</v>
      </c>
      <c r="N41" s="1527" t="s">
        <v>1515</v>
      </c>
      <c r="P41" s="1527" t="s">
        <v>1516</v>
      </c>
    </row>
    <row r="42" spans="1:16" ht="14.25" customHeight="1" thickBot="1">
      <c r="A42" s="1523" t="s">
        <v>1458</v>
      </c>
      <c r="B42" s="1527" t="s">
        <v>1339</v>
      </c>
      <c r="C42" s="1517">
        <v>19280</v>
      </c>
      <c r="D42" s="1517">
        <v>22940</v>
      </c>
      <c r="E42" s="1517">
        <v>22500</v>
      </c>
      <c r="F42" s="1531"/>
      <c r="M42" s="1517" t="s">
        <v>1517</v>
      </c>
      <c r="N42" s="1517" t="s">
        <v>1518</v>
      </c>
      <c r="P42" s="1517" t="s">
        <v>1519</v>
      </c>
    </row>
    <row r="43" spans="1:16" ht="14.25" customHeight="1" thickBot="1">
      <c r="A43" s="1523" t="s">
        <v>1458</v>
      </c>
      <c r="B43" s="1527" t="s">
        <v>1350</v>
      </c>
      <c r="C43" s="1517">
        <v>21520</v>
      </c>
      <c r="D43" s="1517">
        <v>19230</v>
      </c>
      <c r="E43" s="1517">
        <v>18540</v>
      </c>
      <c r="F43" s="1531"/>
      <c r="M43" s="1517" t="s">
        <v>1520</v>
      </c>
      <c r="N43" s="1517" t="s">
        <v>1521</v>
      </c>
      <c r="P43" s="1517" t="s">
        <v>1522</v>
      </c>
    </row>
    <row r="44" spans="1:16" ht="14.25" customHeight="1" thickBot="1">
      <c r="A44" s="1523" t="s">
        <v>1458</v>
      </c>
      <c r="B44" s="1527" t="s">
        <v>1360</v>
      </c>
      <c r="C44" s="1517">
        <v>23260</v>
      </c>
      <c r="D44" s="1517">
        <v>21180</v>
      </c>
      <c r="E44" s="1517">
        <v>20730</v>
      </c>
      <c r="F44" s="1531"/>
      <c r="M44" s="1517" t="s">
        <v>1523</v>
      </c>
      <c r="N44" s="1517" t="s">
        <v>1524</v>
      </c>
      <c r="P44" s="1517" t="s">
        <v>1525</v>
      </c>
    </row>
    <row r="45" spans="1:16" ht="14.25" customHeight="1" thickBot="1">
      <c r="A45" s="1523" t="s">
        <v>1458</v>
      </c>
      <c r="B45" s="1527" t="s">
        <v>1370</v>
      </c>
      <c r="C45" s="1517">
        <v>19610</v>
      </c>
      <c r="D45" s="1517">
        <v>18090</v>
      </c>
      <c r="E45" s="1517">
        <v>17970</v>
      </c>
      <c r="F45" s="1531"/>
      <c r="M45" s="1517" t="s">
        <v>1526</v>
      </c>
      <c r="N45" s="1517" t="s">
        <v>1527</v>
      </c>
      <c r="P45" s="1517" t="s">
        <v>1528</v>
      </c>
    </row>
    <row r="46" spans="1:16" ht="14.25" customHeight="1" thickBot="1">
      <c r="A46" s="1523" t="s">
        <v>1458</v>
      </c>
      <c r="B46" s="1527" t="s">
        <v>1380</v>
      </c>
      <c r="C46" s="1517">
        <v>21660</v>
      </c>
      <c r="D46" s="1517">
        <v>19190</v>
      </c>
      <c r="E46" s="1517">
        <v>19790</v>
      </c>
      <c r="F46" s="1531"/>
      <c r="M46" s="1517" t="s">
        <v>1529</v>
      </c>
      <c r="N46" s="1517" t="s">
        <v>1530</v>
      </c>
      <c r="P46" s="1517" t="s">
        <v>1531</v>
      </c>
    </row>
    <row r="47" spans="1:16" ht="14.25" customHeight="1" thickBot="1">
      <c r="A47" s="1523" t="s">
        <v>1458</v>
      </c>
      <c r="B47" s="1527" t="s">
        <v>1390</v>
      </c>
      <c r="C47" s="1517">
        <v>18220</v>
      </c>
      <c r="D47" s="1517"/>
      <c r="E47" s="1517">
        <v>17220</v>
      </c>
      <c r="F47" s="1531"/>
      <c r="M47" s="1517" t="s">
        <v>1532</v>
      </c>
      <c r="N47" s="1517" t="s">
        <v>1533</v>
      </c>
    </row>
    <row r="48" spans="1:16" ht="14.25" customHeight="1" thickBot="1">
      <c r="A48" s="1523" t="s">
        <v>1458</v>
      </c>
      <c r="B48" s="1528" t="s">
        <v>1399</v>
      </c>
      <c r="C48" s="1529">
        <v>19430</v>
      </c>
      <c r="D48" s="1529"/>
      <c r="E48" s="1529">
        <v>17830</v>
      </c>
      <c r="F48" s="1534"/>
      <c r="M48" s="1517" t="s">
        <v>1534</v>
      </c>
      <c r="N48" s="1517" t="s">
        <v>1535</v>
      </c>
    </row>
    <row r="49" spans="1:14" ht="14.25" customHeight="1" thickBot="1">
      <c r="A49" s="1523" t="s">
        <v>1139</v>
      </c>
      <c r="B49" s="1524" t="s">
        <v>1536</v>
      </c>
      <c r="C49" s="1524">
        <v>17090</v>
      </c>
      <c r="D49" s="1524">
        <v>16950</v>
      </c>
      <c r="E49" s="1524">
        <v>16310</v>
      </c>
      <c r="F49" s="1525">
        <v>4540</v>
      </c>
      <c r="M49" s="1517" t="s">
        <v>1537</v>
      </c>
      <c r="N49" s="1517" t="s">
        <v>1538</v>
      </c>
    </row>
    <row r="50" spans="1:14" ht="14.25" customHeight="1" thickBot="1">
      <c r="A50" s="1523" t="s">
        <v>1139</v>
      </c>
      <c r="B50" s="1517" t="s">
        <v>1206</v>
      </c>
      <c r="C50" s="1517">
        <v>19040</v>
      </c>
      <c r="D50" s="1517">
        <v>16960</v>
      </c>
      <c r="E50" s="1517">
        <v>14800</v>
      </c>
      <c r="F50" s="1531">
        <v>3940</v>
      </c>
    </row>
    <row r="51" spans="1:14" ht="14.25" customHeight="1" thickBot="1">
      <c r="A51" s="1523" t="s">
        <v>1139</v>
      </c>
      <c r="B51" s="1517" t="s">
        <v>1219</v>
      </c>
      <c r="C51" s="1517">
        <v>17040</v>
      </c>
      <c r="D51" s="1517">
        <v>16930</v>
      </c>
      <c r="E51" s="1517">
        <v>15030</v>
      </c>
      <c r="F51" s="1531">
        <v>4120</v>
      </c>
    </row>
    <row r="52" spans="1:14" ht="14.25" customHeight="1" thickBot="1">
      <c r="A52" s="1523" t="s">
        <v>1139</v>
      </c>
      <c r="B52" s="1517" t="s">
        <v>1232</v>
      </c>
      <c r="C52" s="1517">
        <v>17110</v>
      </c>
      <c r="D52" s="1517">
        <v>17750</v>
      </c>
      <c r="E52" s="1517">
        <v>17310</v>
      </c>
      <c r="F52" s="1531">
        <v>3220</v>
      </c>
    </row>
    <row r="53" spans="1:14" ht="14.25" customHeight="1" thickBot="1">
      <c r="A53" s="1523" t="s">
        <v>1139</v>
      </c>
      <c r="B53" s="1517" t="s">
        <v>1244</v>
      </c>
      <c r="C53" s="1517">
        <v>17810</v>
      </c>
      <c r="D53" s="1517">
        <v>17260</v>
      </c>
      <c r="E53" s="1517">
        <v>17090</v>
      </c>
      <c r="F53" s="1531">
        <v>3520</v>
      </c>
    </row>
    <row r="54" spans="1:14" ht="14.25" customHeight="1" thickBot="1">
      <c r="A54" s="1523" t="s">
        <v>1139</v>
      </c>
      <c r="B54" s="1517" t="s">
        <v>1255</v>
      </c>
      <c r="C54" s="1517">
        <v>17410</v>
      </c>
      <c r="D54" s="1517">
        <v>16780</v>
      </c>
      <c r="E54" s="1517">
        <v>16370</v>
      </c>
      <c r="F54" s="1531">
        <v>3410</v>
      </c>
    </row>
    <row r="55" spans="1:14" ht="14.25" customHeight="1" thickBot="1">
      <c r="A55" s="1523" t="s">
        <v>1139</v>
      </c>
      <c r="B55" s="1517" t="s">
        <v>1266</v>
      </c>
      <c r="C55" s="1517">
        <v>16930</v>
      </c>
      <c r="D55" s="1517">
        <v>14720</v>
      </c>
      <c r="E55" s="1517">
        <v>15000</v>
      </c>
      <c r="F55" s="1531">
        <v>3710</v>
      </c>
    </row>
    <row r="56" spans="1:14" ht="14.25" customHeight="1" thickBot="1">
      <c r="A56" s="1523" t="s">
        <v>1139</v>
      </c>
      <c r="B56" s="1517" t="s">
        <v>1277</v>
      </c>
      <c r="C56" s="1517">
        <v>14930</v>
      </c>
      <c r="D56" s="1517">
        <v>15850</v>
      </c>
      <c r="E56" s="1517">
        <v>14320</v>
      </c>
      <c r="F56" s="1531">
        <v>3960</v>
      </c>
    </row>
    <row r="57" spans="1:14" ht="14.25" customHeight="1" thickBot="1">
      <c r="A57" s="1523" t="s">
        <v>1139</v>
      </c>
      <c r="B57" s="1517" t="s">
        <v>1289</v>
      </c>
      <c r="C57" s="1517">
        <v>16160</v>
      </c>
      <c r="D57" s="1517">
        <v>16190</v>
      </c>
      <c r="E57" s="1517">
        <v>15650</v>
      </c>
      <c r="F57" s="1531">
        <v>4200</v>
      </c>
    </row>
    <row r="58" spans="1:14" ht="14.25" customHeight="1" thickBot="1">
      <c r="A58" s="1523" t="s">
        <v>1139</v>
      </c>
      <c r="B58" s="1517" t="s">
        <v>1299</v>
      </c>
      <c r="C58" s="1517">
        <v>16360</v>
      </c>
      <c r="D58" s="1517">
        <v>14050</v>
      </c>
      <c r="E58" s="1517">
        <v>16070</v>
      </c>
      <c r="F58" s="1531">
        <v>3990</v>
      </c>
    </row>
    <row r="59" spans="1:14" ht="14.25" customHeight="1" thickBot="1">
      <c r="A59" s="1523" t="s">
        <v>1139</v>
      </c>
      <c r="B59" s="1517" t="s">
        <v>1309</v>
      </c>
      <c r="C59" s="1517">
        <v>14160</v>
      </c>
      <c r="D59" s="1517">
        <v>16620</v>
      </c>
      <c r="E59" s="1517">
        <v>13940</v>
      </c>
      <c r="F59" s="1531">
        <v>4260</v>
      </c>
    </row>
    <row r="60" spans="1:14" ht="14.25" customHeight="1" thickBot="1">
      <c r="A60" s="1523" t="s">
        <v>1139</v>
      </c>
      <c r="B60" s="1517" t="s">
        <v>1319</v>
      </c>
      <c r="C60" s="1517">
        <v>16750</v>
      </c>
      <c r="D60" s="1517">
        <v>13910</v>
      </c>
      <c r="E60" s="1517">
        <v>16550</v>
      </c>
      <c r="F60" s="1531">
        <v>4550</v>
      </c>
    </row>
    <row r="61" spans="1:14" ht="14.25" customHeight="1" thickBot="1">
      <c r="A61" s="1523" t="s">
        <v>1139</v>
      </c>
      <c r="B61" s="1517" t="s">
        <v>1329</v>
      </c>
      <c r="C61" s="1517">
        <v>14000</v>
      </c>
      <c r="D61" s="1517">
        <v>14550</v>
      </c>
      <c r="E61" s="1517">
        <v>13860</v>
      </c>
      <c r="F61" s="1535"/>
    </row>
    <row r="62" spans="1:14" ht="14.25" customHeight="1" thickBot="1">
      <c r="A62" s="1523" t="s">
        <v>1139</v>
      </c>
      <c r="B62" s="1517" t="s">
        <v>1340</v>
      </c>
      <c r="C62" s="1517">
        <v>14660</v>
      </c>
      <c r="D62" s="1517">
        <v>17450</v>
      </c>
      <c r="E62" s="1517">
        <v>14470</v>
      </c>
      <c r="F62" s="1535"/>
    </row>
    <row r="63" spans="1:14" ht="14.25" customHeight="1" thickBot="1">
      <c r="A63" s="1523" t="s">
        <v>1139</v>
      </c>
      <c r="B63" s="1517" t="s">
        <v>1351</v>
      </c>
      <c r="C63" s="1517">
        <v>17610</v>
      </c>
      <c r="D63" s="1517">
        <v>16500</v>
      </c>
      <c r="E63" s="1517">
        <v>17330</v>
      </c>
      <c r="F63" s="1535"/>
    </row>
    <row r="64" spans="1:14" ht="14.25" customHeight="1" thickBot="1">
      <c r="A64" s="1523" t="s">
        <v>1139</v>
      </c>
      <c r="B64" s="1517" t="s">
        <v>1361</v>
      </c>
      <c r="C64" s="1517">
        <v>16590</v>
      </c>
      <c r="D64" s="1517">
        <v>15130</v>
      </c>
      <c r="E64" s="1517">
        <v>16420</v>
      </c>
      <c r="F64" s="1535"/>
    </row>
    <row r="65" spans="1:6" s="1511" customFormat="1" ht="14.25" customHeight="1" thickBot="1">
      <c r="A65" s="1523" t="s">
        <v>1139</v>
      </c>
      <c r="B65" s="1517" t="s">
        <v>1371</v>
      </c>
      <c r="C65" s="1517">
        <v>15220</v>
      </c>
      <c r="D65" s="1517">
        <v>14660</v>
      </c>
      <c r="E65" s="1517">
        <v>15060</v>
      </c>
      <c r="F65" s="1531"/>
    </row>
    <row r="66" spans="1:6" s="1511" customFormat="1" ht="14.25" customHeight="1" thickBot="1">
      <c r="A66" s="1523" t="s">
        <v>1139</v>
      </c>
      <c r="B66" s="1517" t="s">
        <v>1381</v>
      </c>
      <c r="C66" s="1517">
        <v>14720</v>
      </c>
      <c r="D66" s="1517">
        <v>15970</v>
      </c>
      <c r="E66" s="1517">
        <v>14610</v>
      </c>
      <c r="F66" s="1531"/>
    </row>
    <row r="67" spans="1:6" s="1511" customFormat="1" ht="14.25" customHeight="1" thickBot="1">
      <c r="A67" s="1523" t="s">
        <v>1139</v>
      </c>
      <c r="B67" s="1517" t="s">
        <v>1391</v>
      </c>
      <c r="C67" s="1517">
        <v>16080</v>
      </c>
      <c r="D67" s="1517">
        <v>14840</v>
      </c>
      <c r="E67" s="1517">
        <v>15630</v>
      </c>
      <c r="F67" s="1531"/>
    </row>
    <row r="68" spans="1:6" s="1511" customFormat="1" ht="14.25" customHeight="1" thickBot="1">
      <c r="A68" s="1523" t="s">
        <v>1139</v>
      </c>
      <c r="B68" s="1517" t="s">
        <v>1400</v>
      </c>
      <c r="C68" s="1517">
        <v>14940</v>
      </c>
      <c r="D68" s="1517">
        <v>18000</v>
      </c>
      <c r="E68" s="1517">
        <v>14040</v>
      </c>
      <c r="F68" s="1531"/>
    </row>
    <row r="69" spans="1:6" s="1511" customFormat="1" ht="14.25" customHeight="1" thickBot="1">
      <c r="A69" s="1523" t="s">
        <v>1139</v>
      </c>
      <c r="B69" s="1517" t="s">
        <v>1409</v>
      </c>
      <c r="C69" s="1517">
        <v>18810</v>
      </c>
      <c r="D69" s="1517">
        <v>15100</v>
      </c>
      <c r="E69" s="1517">
        <v>14710</v>
      </c>
      <c r="F69" s="1531"/>
    </row>
    <row r="70" spans="1:6" s="1511" customFormat="1" ht="14.25" customHeight="1" thickBot="1">
      <c r="A70" s="1523" t="s">
        <v>1139</v>
      </c>
      <c r="B70" s="1517" t="s">
        <v>1417</v>
      </c>
      <c r="C70" s="1517">
        <v>18270</v>
      </c>
      <c r="D70" s="1517"/>
      <c r="E70" s="1517"/>
      <c r="F70" s="1531"/>
    </row>
    <row r="71" spans="1:6" s="1511" customFormat="1" ht="14.25" customHeight="1" thickBot="1">
      <c r="A71" s="1523" t="s">
        <v>1139</v>
      </c>
      <c r="B71" s="1517" t="s">
        <v>1424</v>
      </c>
      <c r="C71" s="1517">
        <v>15230</v>
      </c>
      <c r="D71" s="1517"/>
      <c r="E71" s="1517"/>
      <c r="F71" s="1531"/>
    </row>
    <row r="72" spans="1:6" s="1511" customFormat="1" ht="14.25" customHeight="1" thickBot="1">
      <c r="A72" s="1523" t="s">
        <v>1139</v>
      </c>
      <c r="B72" s="1517" t="s">
        <v>1431</v>
      </c>
      <c r="C72" s="1517"/>
      <c r="D72" s="1517"/>
      <c r="E72" s="1517"/>
      <c r="F72" s="1531">
        <v>4120</v>
      </c>
    </row>
    <row r="73" spans="1:6" s="1511" customFormat="1" ht="14.25" customHeight="1" thickBot="1">
      <c r="A73" s="1523" t="s">
        <v>1139</v>
      </c>
      <c r="B73" s="1517" t="s">
        <v>1438</v>
      </c>
      <c r="C73" s="1517"/>
      <c r="D73" s="1517"/>
      <c r="E73" s="1517"/>
      <c r="F73" s="1531">
        <v>3930</v>
      </c>
    </row>
    <row r="74" spans="1:6" s="1511" customFormat="1" ht="14.25" customHeight="1" thickBot="1">
      <c r="A74" s="1523" t="s">
        <v>1139</v>
      </c>
      <c r="B74" s="1517" t="s">
        <v>1445</v>
      </c>
      <c r="C74" s="1517"/>
      <c r="D74" s="1517"/>
      <c r="E74" s="1517"/>
      <c r="F74" s="1531">
        <v>4060</v>
      </c>
    </row>
    <row r="75" spans="1:6" s="1511" customFormat="1" ht="14.25" customHeight="1" thickBot="1">
      <c r="A75" s="1523" t="s">
        <v>1139</v>
      </c>
      <c r="B75" s="1529" t="s">
        <v>1452</v>
      </c>
      <c r="C75" s="1529"/>
      <c r="D75" s="1529"/>
      <c r="E75" s="1529"/>
      <c r="F75" s="1534">
        <v>3750</v>
      </c>
    </row>
    <row r="76" spans="1:6" s="1511" customFormat="1" ht="14.25" customHeight="1" thickBot="1">
      <c r="A76" s="1523" t="s">
        <v>1539</v>
      </c>
      <c r="B76" s="1524" t="s">
        <v>1540</v>
      </c>
      <c r="C76" s="1524">
        <v>14690</v>
      </c>
      <c r="D76" s="1524">
        <v>14640</v>
      </c>
      <c r="E76" s="1524">
        <v>14590</v>
      </c>
      <c r="F76" s="1525">
        <v>3060</v>
      </c>
    </row>
    <row r="77" spans="1:6" s="1511" customFormat="1" ht="14.25" customHeight="1" thickBot="1">
      <c r="A77" s="1523" t="s">
        <v>1539</v>
      </c>
      <c r="B77" s="1517" t="s">
        <v>1207</v>
      </c>
      <c r="C77" s="1517">
        <v>12550</v>
      </c>
      <c r="D77" s="1517">
        <v>12480</v>
      </c>
      <c r="E77" s="1517">
        <v>12450</v>
      </c>
      <c r="F77" s="1531">
        <v>2590</v>
      </c>
    </row>
    <row r="78" spans="1:6" s="1511" customFormat="1" ht="14.25" customHeight="1" thickBot="1">
      <c r="A78" s="1523" t="s">
        <v>1539</v>
      </c>
      <c r="B78" s="1517" t="s">
        <v>1220</v>
      </c>
      <c r="C78" s="1517">
        <v>14360</v>
      </c>
      <c r="D78" s="1517">
        <v>14320</v>
      </c>
      <c r="E78" s="1517">
        <v>12510</v>
      </c>
      <c r="F78" s="1531">
        <v>2700</v>
      </c>
    </row>
    <row r="79" spans="1:6" s="1511" customFormat="1" ht="14.25" customHeight="1" thickBot="1">
      <c r="A79" s="1523" t="s">
        <v>1539</v>
      </c>
      <c r="B79" s="1517" t="s">
        <v>1233</v>
      </c>
      <c r="C79" s="1517">
        <v>12590</v>
      </c>
      <c r="D79" s="1517">
        <v>12540</v>
      </c>
      <c r="E79" s="1517">
        <v>12350</v>
      </c>
      <c r="F79" s="1531">
        <v>2740</v>
      </c>
    </row>
    <row r="80" spans="1:6" s="1511" customFormat="1" ht="14.25" customHeight="1" thickBot="1">
      <c r="A80" s="1523" t="s">
        <v>1539</v>
      </c>
      <c r="B80" s="1517" t="s">
        <v>1245</v>
      </c>
      <c r="C80" s="1517">
        <v>12450</v>
      </c>
      <c r="D80" s="1517">
        <v>12370</v>
      </c>
      <c r="E80" s="1517">
        <v>10790</v>
      </c>
      <c r="F80" s="1531">
        <v>2290</v>
      </c>
    </row>
    <row r="81" spans="1:6" s="1511" customFormat="1" ht="14.25" customHeight="1" thickBot="1">
      <c r="A81" s="1523" t="s">
        <v>1539</v>
      </c>
      <c r="B81" s="1517" t="s">
        <v>1256</v>
      </c>
      <c r="C81" s="1517">
        <v>14210</v>
      </c>
      <c r="D81" s="1517">
        <v>14150</v>
      </c>
      <c r="E81" s="1517">
        <v>12730</v>
      </c>
      <c r="F81" s="1531">
        <v>2240</v>
      </c>
    </row>
    <row r="82" spans="1:6" s="1511" customFormat="1" ht="14.25" customHeight="1" thickBot="1">
      <c r="A82" s="1523" t="s">
        <v>1539</v>
      </c>
      <c r="B82" s="1517" t="s">
        <v>1267</v>
      </c>
      <c r="C82" s="1517">
        <v>10860</v>
      </c>
      <c r="D82" s="1517">
        <v>10820</v>
      </c>
      <c r="E82" s="1517">
        <v>14720</v>
      </c>
      <c r="F82" s="1531">
        <v>2490</v>
      </c>
    </row>
    <row r="83" spans="1:6" s="1511" customFormat="1" ht="14.25" customHeight="1" thickBot="1">
      <c r="A83" s="1523" t="s">
        <v>1539</v>
      </c>
      <c r="B83" s="1517" t="s">
        <v>1278</v>
      </c>
      <c r="C83" s="1517">
        <v>12810</v>
      </c>
      <c r="D83" s="1517">
        <v>12760</v>
      </c>
      <c r="E83" s="1517">
        <v>14830</v>
      </c>
      <c r="F83" s="1531">
        <v>2450</v>
      </c>
    </row>
    <row r="84" spans="1:6" s="1511" customFormat="1" ht="14.25" customHeight="1" thickBot="1">
      <c r="A84" s="1523" t="s">
        <v>1539</v>
      </c>
      <c r="B84" s="1517" t="s">
        <v>1290</v>
      </c>
      <c r="C84" s="1517">
        <v>14950</v>
      </c>
      <c r="D84" s="1517">
        <v>14810</v>
      </c>
      <c r="E84" s="1517">
        <v>12590</v>
      </c>
      <c r="F84" s="1531">
        <v>2540</v>
      </c>
    </row>
    <row r="85" spans="1:6" s="1511" customFormat="1" ht="14.25" customHeight="1" thickBot="1">
      <c r="A85" s="1523" t="s">
        <v>1539</v>
      </c>
      <c r="B85" s="1517" t="s">
        <v>1300</v>
      </c>
      <c r="C85" s="1517">
        <v>14960</v>
      </c>
      <c r="D85" s="1517">
        <v>14890</v>
      </c>
      <c r="E85" s="1517">
        <v>12840</v>
      </c>
      <c r="F85" s="1531">
        <v>2840</v>
      </c>
    </row>
    <row r="86" spans="1:6" s="1511" customFormat="1" ht="14.25" customHeight="1" thickBot="1">
      <c r="A86" s="1523" t="s">
        <v>1539</v>
      </c>
      <c r="B86" s="1517" t="s">
        <v>1310</v>
      </c>
      <c r="C86" s="1517">
        <v>12730</v>
      </c>
      <c r="D86" s="1517">
        <v>12660</v>
      </c>
      <c r="E86" s="1517">
        <v>13310</v>
      </c>
      <c r="F86" s="1531">
        <v>3140</v>
      </c>
    </row>
    <row r="87" spans="1:6" s="1511" customFormat="1" ht="14.25" customHeight="1" thickBot="1">
      <c r="A87" s="1523" t="s">
        <v>1539</v>
      </c>
      <c r="B87" s="1517" t="s">
        <v>1320</v>
      </c>
      <c r="C87" s="1517">
        <v>12940</v>
      </c>
      <c r="D87" s="1517">
        <v>12890</v>
      </c>
      <c r="E87" s="1517">
        <v>11580</v>
      </c>
      <c r="F87" s="1535"/>
    </row>
    <row r="88" spans="1:6" s="1511" customFormat="1" ht="14.25" customHeight="1" thickBot="1">
      <c r="A88" s="1523" t="s">
        <v>1539</v>
      </c>
      <c r="B88" s="1517" t="s">
        <v>1330</v>
      </c>
      <c r="C88" s="1517">
        <v>13430</v>
      </c>
      <c r="D88" s="1517">
        <v>13360</v>
      </c>
      <c r="E88" s="1517">
        <v>12790</v>
      </c>
      <c r="F88" s="1535"/>
    </row>
    <row r="89" spans="1:6" s="1511" customFormat="1" ht="14.25" customHeight="1" thickBot="1">
      <c r="A89" s="1523" t="s">
        <v>1539</v>
      </c>
      <c r="B89" s="1517" t="s">
        <v>1341</v>
      </c>
      <c r="C89" s="1517">
        <v>11680</v>
      </c>
      <c r="D89" s="1517">
        <v>11630</v>
      </c>
      <c r="E89" s="1517">
        <v>11320</v>
      </c>
      <c r="F89" s="1535"/>
    </row>
    <row r="90" spans="1:6" s="1511" customFormat="1" ht="14.25" customHeight="1" thickBot="1">
      <c r="A90" s="1523" t="s">
        <v>1539</v>
      </c>
      <c r="B90" s="1517" t="s">
        <v>1352</v>
      </c>
      <c r="C90" s="1517">
        <v>12890</v>
      </c>
      <c r="D90" s="1517">
        <v>12820</v>
      </c>
      <c r="E90" s="1517">
        <v>12710</v>
      </c>
      <c r="F90" s="1535"/>
    </row>
    <row r="91" spans="1:6" s="1511" customFormat="1" ht="14.25" customHeight="1" thickBot="1">
      <c r="A91" s="1523" t="s">
        <v>1539</v>
      </c>
      <c r="B91" s="1517" t="s">
        <v>1362</v>
      </c>
      <c r="C91" s="1517">
        <v>11410</v>
      </c>
      <c r="D91" s="1517">
        <v>11360</v>
      </c>
      <c r="E91" s="1517">
        <v>12670</v>
      </c>
      <c r="F91" s="1535"/>
    </row>
    <row r="92" spans="1:6" s="1511" customFormat="1" ht="14.25" customHeight="1" thickBot="1">
      <c r="A92" s="1523" t="s">
        <v>1539</v>
      </c>
      <c r="B92" s="1517" t="s">
        <v>1372</v>
      </c>
      <c r="C92" s="1517">
        <v>12770</v>
      </c>
      <c r="D92" s="1517">
        <v>12740</v>
      </c>
      <c r="E92" s="1517">
        <v>11970</v>
      </c>
      <c r="F92" s="1535"/>
    </row>
    <row r="93" spans="1:6" s="1511" customFormat="1" ht="14.25" customHeight="1" thickBot="1">
      <c r="A93" s="1523" t="s">
        <v>1539</v>
      </c>
      <c r="B93" s="1517" t="s">
        <v>1382</v>
      </c>
      <c r="C93" s="1517">
        <v>12740</v>
      </c>
      <c r="D93" s="1517">
        <v>12700</v>
      </c>
      <c r="E93" s="1517">
        <v>12540</v>
      </c>
      <c r="F93" s="1535"/>
    </row>
    <row r="94" spans="1:6" s="1511" customFormat="1" ht="14.25" customHeight="1" thickBot="1">
      <c r="A94" s="1523" t="s">
        <v>1539</v>
      </c>
      <c r="B94" s="1517" t="s">
        <v>1392</v>
      </c>
      <c r="C94" s="1517">
        <v>12020</v>
      </c>
      <c r="D94" s="1517">
        <v>11990</v>
      </c>
      <c r="E94" s="1517">
        <v>13110</v>
      </c>
      <c r="F94" s="1535"/>
    </row>
    <row r="95" spans="1:6" s="1511" customFormat="1" ht="14.25" customHeight="1" thickBot="1">
      <c r="A95" s="1523" t="s">
        <v>1539</v>
      </c>
      <c r="B95" s="1517" t="s">
        <v>1401</v>
      </c>
      <c r="C95" s="1517">
        <v>12620</v>
      </c>
      <c r="D95" s="1517">
        <v>12580</v>
      </c>
      <c r="E95" s="1517">
        <v>13160</v>
      </c>
      <c r="F95" s="1531"/>
    </row>
    <row r="96" spans="1:6" s="1511" customFormat="1" ht="14.25" customHeight="1" thickBot="1">
      <c r="A96" s="1523" t="s">
        <v>1539</v>
      </c>
      <c r="B96" s="1517" t="s">
        <v>1410</v>
      </c>
      <c r="C96" s="1517">
        <v>13200</v>
      </c>
      <c r="D96" s="1517">
        <v>13150</v>
      </c>
      <c r="E96" s="1517">
        <v>12900</v>
      </c>
      <c r="F96" s="1531"/>
    </row>
    <row r="97" spans="1:6" s="1511" customFormat="1" ht="14.25" customHeight="1" thickBot="1">
      <c r="A97" s="1523" t="s">
        <v>1539</v>
      </c>
      <c r="B97" s="1517" t="s">
        <v>1418</v>
      </c>
      <c r="C97" s="1517">
        <v>13270</v>
      </c>
      <c r="D97" s="1517">
        <v>13210</v>
      </c>
      <c r="E97" s="1517">
        <v>11080</v>
      </c>
      <c r="F97" s="1531"/>
    </row>
    <row r="98" spans="1:6" s="1511" customFormat="1" ht="14.25" customHeight="1" thickBot="1">
      <c r="A98" s="1523" t="s">
        <v>1539</v>
      </c>
      <c r="B98" s="1517" t="s">
        <v>1425</v>
      </c>
      <c r="C98" s="1517">
        <v>13010</v>
      </c>
      <c r="D98" s="1517">
        <v>12930</v>
      </c>
      <c r="E98" s="1517">
        <v>12840</v>
      </c>
      <c r="F98" s="1531"/>
    </row>
    <row r="99" spans="1:6" s="1511" customFormat="1" ht="14.25" customHeight="1" thickBot="1">
      <c r="A99" s="1523" t="s">
        <v>1539</v>
      </c>
      <c r="B99" s="1517" t="s">
        <v>1432</v>
      </c>
      <c r="C99" s="1517">
        <v>11190</v>
      </c>
      <c r="D99" s="1517">
        <v>11130</v>
      </c>
      <c r="E99" s="1517"/>
      <c r="F99" s="1531"/>
    </row>
    <row r="100" spans="1:6" s="1511" customFormat="1" ht="14.25" customHeight="1" thickBot="1">
      <c r="A100" s="1523" t="s">
        <v>1539</v>
      </c>
      <c r="B100" s="1517" t="s">
        <v>1439</v>
      </c>
      <c r="C100" s="1517">
        <v>14280</v>
      </c>
      <c r="D100" s="1517">
        <v>14180</v>
      </c>
      <c r="E100" s="1517"/>
      <c r="F100" s="1531"/>
    </row>
    <row r="101" spans="1:6" s="1511" customFormat="1" ht="14.25" customHeight="1" thickBot="1">
      <c r="A101" s="1523" t="s">
        <v>1539</v>
      </c>
      <c r="B101" s="1517" t="s">
        <v>1446</v>
      </c>
      <c r="C101" s="1517">
        <v>12960</v>
      </c>
      <c r="D101" s="1517">
        <v>12890</v>
      </c>
      <c r="E101" s="1517"/>
      <c r="F101" s="1531"/>
    </row>
    <row r="102" spans="1:6" s="1511" customFormat="1" ht="14.25" customHeight="1" thickBot="1">
      <c r="A102" s="1523" t="s">
        <v>1539</v>
      </c>
      <c r="B102" s="1517" t="s">
        <v>1453</v>
      </c>
      <c r="C102" s="1517"/>
      <c r="D102" s="1517"/>
      <c r="E102" s="1517"/>
      <c r="F102" s="1531">
        <v>3100</v>
      </c>
    </row>
    <row r="103" spans="1:6" s="1511" customFormat="1" ht="14.25" customHeight="1" thickBot="1">
      <c r="A103" s="1523" t="s">
        <v>1539</v>
      </c>
      <c r="B103" s="1517" t="s">
        <v>1460</v>
      </c>
      <c r="C103" s="1517"/>
      <c r="D103" s="1517"/>
      <c r="E103" s="1517"/>
      <c r="F103" s="1531">
        <v>2320</v>
      </c>
    </row>
    <row r="104" spans="1:6" s="1511" customFormat="1" ht="14.25" customHeight="1" thickBot="1">
      <c r="A104" s="1523" t="s">
        <v>1539</v>
      </c>
      <c r="B104" s="1517" t="s">
        <v>1465</v>
      </c>
      <c r="C104" s="1517"/>
      <c r="D104" s="1517"/>
      <c r="E104" s="1517"/>
      <c r="F104" s="1531">
        <v>2320</v>
      </c>
    </row>
    <row r="105" spans="1:6" s="1511" customFormat="1" ht="14.25" customHeight="1" thickBot="1">
      <c r="A105" s="1523" t="s">
        <v>1539</v>
      </c>
      <c r="B105" s="1517" t="s">
        <v>1469</v>
      </c>
      <c r="C105" s="1517"/>
      <c r="D105" s="1517"/>
      <c r="E105" s="1517"/>
      <c r="F105" s="1531">
        <v>2320</v>
      </c>
    </row>
    <row r="106" spans="1:6" s="1511" customFormat="1" ht="14.25" customHeight="1" thickBot="1">
      <c r="A106" s="1523" t="s">
        <v>1539</v>
      </c>
      <c r="B106" s="1517" t="s">
        <v>1474</v>
      </c>
      <c r="C106" s="1517"/>
      <c r="D106" s="1517"/>
      <c r="E106" s="1517"/>
      <c r="F106" s="1531">
        <v>2320</v>
      </c>
    </row>
    <row r="107" spans="1:6" s="1511" customFormat="1" ht="14.25" customHeight="1" thickBot="1">
      <c r="A107" s="1523" t="s">
        <v>1539</v>
      </c>
      <c r="B107" s="1517" t="s">
        <v>1479</v>
      </c>
      <c r="C107" s="1517"/>
      <c r="D107" s="1517"/>
      <c r="E107" s="1517"/>
      <c r="F107" s="1531">
        <v>2280</v>
      </c>
    </row>
    <row r="108" spans="1:6" s="1511" customFormat="1" ht="14.25" customHeight="1" thickBot="1">
      <c r="A108" s="1523" t="s">
        <v>1539</v>
      </c>
      <c r="B108" s="1517" t="s">
        <v>1484</v>
      </c>
      <c r="C108" s="1517"/>
      <c r="D108" s="1517"/>
      <c r="E108" s="1517"/>
      <c r="F108" s="1531">
        <v>2280</v>
      </c>
    </row>
    <row r="109" spans="1:6" s="1511" customFormat="1" ht="14.25" customHeight="1" thickBot="1">
      <c r="A109" s="1523" t="s">
        <v>1539</v>
      </c>
      <c r="B109" s="1529" t="s">
        <v>1489</v>
      </c>
      <c r="C109" s="1529"/>
      <c r="D109" s="1529"/>
      <c r="E109" s="1529"/>
      <c r="F109" s="1534">
        <v>2280</v>
      </c>
    </row>
    <row r="110" spans="1:6" s="1511" customFormat="1" ht="14.25" customHeight="1" thickBot="1">
      <c r="A110" s="1523" t="s">
        <v>201</v>
      </c>
      <c r="B110" s="1524" t="s">
        <v>1541</v>
      </c>
      <c r="C110" s="1524">
        <v>10520</v>
      </c>
      <c r="D110" s="1524">
        <v>10490</v>
      </c>
      <c r="E110" s="1524">
        <v>10760</v>
      </c>
      <c r="F110" s="1525">
        <v>2160</v>
      </c>
    </row>
    <row r="111" spans="1:6" s="1511" customFormat="1" ht="14.25" customHeight="1" thickBot="1">
      <c r="A111" s="1523" t="s">
        <v>201</v>
      </c>
      <c r="B111" s="1517" t="s">
        <v>1208</v>
      </c>
      <c r="C111" s="1517">
        <v>10090</v>
      </c>
      <c r="D111" s="1517">
        <v>10060</v>
      </c>
      <c r="E111" s="1517">
        <v>10300</v>
      </c>
      <c r="F111" s="1531">
        <v>2010</v>
      </c>
    </row>
    <row r="112" spans="1:6" s="1511" customFormat="1" ht="14.25" customHeight="1" thickBot="1">
      <c r="A112" s="1523" t="s">
        <v>201</v>
      </c>
      <c r="B112" s="1517" t="s">
        <v>1221</v>
      </c>
      <c r="C112" s="1517">
        <v>9910</v>
      </c>
      <c r="D112" s="1517">
        <v>9850</v>
      </c>
      <c r="E112" s="1517">
        <v>9960</v>
      </c>
      <c r="F112" s="1531">
        <v>2090</v>
      </c>
    </row>
    <row r="113" spans="1:6" s="1511" customFormat="1" ht="14.25" customHeight="1" thickBot="1">
      <c r="A113" s="1523" t="s">
        <v>201</v>
      </c>
      <c r="B113" s="1517" t="s">
        <v>1234</v>
      </c>
      <c r="C113" s="1517">
        <v>11430</v>
      </c>
      <c r="D113" s="1517">
        <v>11400</v>
      </c>
      <c r="E113" s="1517">
        <v>11710</v>
      </c>
      <c r="F113" s="1531">
        <v>2050</v>
      </c>
    </row>
    <row r="114" spans="1:6" s="1511" customFormat="1" ht="14.25" customHeight="1" thickBot="1">
      <c r="A114" s="1523" t="s">
        <v>201</v>
      </c>
      <c r="B114" s="1517" t="s">
        <v>1246</v>
      </c>
      <c r="C114" s="1517">
        <v>11390</v>
      </c>
      <c r="D114" s="1517">
        <v>11350</v>
      </c>
      <c r="E114" s="1517">
        <v>11640</v>
      </c>
      <c r="F114" s="1531">
        <v>1620</v>
      </c>
    </row>
    <row r="115" spans="1:6" s="1511" customFormat="1" ht="14.25" customHeight="1" thickBot="1">
      <c r="A115" s="1523" t="s">
        <v>201</v>
      </c>
      <c r="B115" s="1517" t="s">
        <v>1257</v>
      </c>
      <c r="C115" s="1517">
        <v>9930</v>
      </c>
      <c r="D115" s="1517">
        <v>9900</v>
      </c>
      <c r="E115" s="1517">
        <v>10160</v>
      </c>
      <c r="F115" s="1531">
        <v>1580</v>
      </c>
    </row>
    <row r="116" spans="1:6" s="1511" customFormat="1" ht="14.25" customHeight="1" thickBot="1">
      <c r="A116" s="1523" t="s">
        <v>201</v>
      </c>
      <c r="B116" s="1517" t="s">
        <v>1268</v>
      </c>
      <c r="C116" s="1517">
        <v>9150</v>
      </c>
      <c r="D116" s="1517">
        <v>9120</v>
      </c>
      <c r="E116" s="1517">
        <v>9380</v>
      </c>
      <c r="F116" s="1531">
        <v>1750</v>
      </c>
    </row>
    <row r="117" spans="1:6" s="1511" customFormat="1" ht="14.25" customHeight="1" thickBot="1">
      <c r="A117" s="1523" t="s">
        <v>201</v>
      </c>
      <c r="B117" s="1517" t="s">
        <v>1279</v>
      </c>
      <c r="C117" s="1517">
        <v>10680</v>
      </c>
      <c r="D117" s="1517">
        <v>10650</v>
      </c>
      <c r="E117" s="1517">
        <v>10970</v>
      </c>
      <c r="F117" s="1531">
        <v>1730</v>
      </c>
    </row>
    <row r="118" spans="1:6" s="1511" customFormat="1" ht="14.25" customHeight="1" thickBot="1">
      <c r="A118" s="1523" t="s">
        <v>201</v>
      </c>
      <c r="B118" s="1517" t="s">
        <v>1291</v>
      </c>
      <c r="C118" s="1517">
        <v>10080</v>
      </c>
      <c r="D118" s="1517">
        <v>10050</v>
      </c>
      <c r="E118" s="1517">
        <v>10350</v>
      </c>
      <c r="F118" s="1531">
        <v>1920</v>
      </c>
    </row>
    <row r="119" spans="1:6" s="1511" customFormat="1" ht="14.25" customHeight="1" thickBot="1">
      <c r="A119" s="1523" t="s">
        <v>201</v>
      </c>
      <c r="B119" s="1517" t="s">
        <v>1301</v>
      </c>
      <c r="C119" s="1517">
        <v>9450</v>
      </c>
      <c r="D119" s="1517">
        <v>9410</v>
      </c>
      <c r="E119" s="1517">
        <v>9680</v>
      </c>
      <c r="F119" s="1531">
        <v>1880</v>
      </c>
    </row>
    <row r="120" spans="1:6" s="1511" customFormat="1" ht="14.25" customHeight="1" thickBot="1">
      <c r="A120" s="1523" t="s">
        <v>201</v>
      </c>
      <c r="B120" s="1517" t="s">
        <v>1311</v>
      </c>
      <c r="C120" s="1517">
        <v>8730</v>
      </c>
      <c r="D120" s="1517">
        <v>8700</v>
      </c>
      <c r="E120" s="1517">
        <v>8950</v>
      </c>
      <c r="F120" s="1531">
        <v>1830</v>
      </c>
    </row>
    <row r="121" spans="1:6" s="1511" customFormat="1" ht="14.25" customHeight="1" thickBot="1">
      <c r="A121" s="1523" t="s">
        <v>201</v>
      </c>
      <c r="B121" s="1517" t="s">
        <v>1321</v>
      </c>
      <c r="C121" s="1517">
        <v>10070</v>
      </c>
      <c r="D121" s="1517">
        <v>10040</v>
      </c>
      <c r="E121" s="1517">
        <v>10270</v>
      </c>
      <c r="F121" s="1531">
        <v>1960</v>
      </c>
    </row>
    <row r="122" spans="1:6" s="1511" customFormat="1" ht="14.25" customHeight="1" thickBot="1">
      <c r="A122" s="1523" t="s">
        <v>201</v>
      </c>
      <c r="B122" s="1517" t="s">
        <v>1331</v>
      </c>
      <c r="C122" s="1517">
        <v>10500</v>
      </c>
      <c r="D122" s="1517">
        <v>10470</v>
      </c>
      <c r="E122" s="1517">
        <v>10780</v>
      </c>
      <c r="F122" s="1531">
        <v>2180</v>
      </c>
    </row>
    <row r="123" spans="1:6" s="1511" customFormat="1" ht="14.25" customHeight="1" thickBot="1">
      <c r="A123" s="1523" t="s">
        <v>201</v>
      </c>
      <c r="B123" s="1517" t="s">
        <v>1342</v>
      </c>
      <c r="C123" s="1517">
        <v>10390</v>
      </c>
      <c r="D123" s="1517">
        <v>10360</v>
      </c>
      <c r="E123" s="1517">
        <v>10660</v>
      </c>
      <c r="F123" s="1531">
        <v>2040</v>
      </c>
    </row>
    <row r="124" spans="1:6" s="1511" customFormat="1" ht="14.25" customHeight="1" thickBot="1">
      <c r="A124" s="1523" t="s">
        <v>201</v>
      </c>
      <c r="B124" s="1517" t="s">
        <v>1353</v>
      </c>
      <c r="C124" s="1517">
        <v>10390</v>
      </c>
      <c r="D124" s="1517">
        <v>10360</v>
      </c>
      <c r="E124" s="1517">
        <v>10680</v>
      </c>
      <c r="F124" s="1535"/>
    </row>
    <row r="125" spans="1:6" s="1511" customFormat="1" ht="14.25" customHeight="1" thickBot="1">
      <c r="A125" s="1523" t="s">
        <v>201</v>
      </c>
      <c r="B125" s="1517" t="s">
        <v>1363</v>
      </c>
      <c r="C125" s="1517">
        <v>10440</v>
      </c>
      <c r="D125" s="1517">
        <v>10410</v>
      </c>
      <c r="E125" s="1517">
        <v>10710</v>
      </c>
      <c r="F125" s="1535"/>
    </row>
    <row r="126" spans="1:6" s="1511" customFormat="1" ht="14.25" customHeight="1" thickBot="1">
      <c r="A126" s="1523" t="s">
        <v>201</v>
      </c>
      <c r="B126" s="1517" t="s">
        <v>1373</v>
      </c>
      <c r="C126" s="1517">
        <v>10780</v>
      </c>
      <c r="D126" s="1517">
        <v>10750</v>
      </c>
      <c r="E126" s="1517">
        <v>11080</v>
      </c>
      <c r="F126" s="1535"/>
    </row>
    <row r="127" spans="1:6" s="1511" customFormat="1" ht="14.25" customHeight="1" thickBot="1">
      <c r="A127" s="1523" t="s">
        <v>201</v>
      </c>
      <c r="B127" s="1517" t="s">
        <v>1383</v>
      </c>
      <c r="C127" s="1517">
        <v>10100</v>
      </c>
      <c r="D127" s="1517">
        <v>10070</v>
      </c>
      <c r="E127" s="1517">
        <v>10350</v>
      </c>
      <c r="F127" s="1535"/>
    </row>
    <row r="128" spans="1:6" s="1511" customFormat="1" ht="14.25" customHeight="1" thickBot="1">
      <c r="A128" s="1523" t="s">
        <v>201</v>
      </c>
      <c r="B128" s="1517" t="s">
        <v>1393</v>
      </c>
      <c r="C128" s="1517">
        <v>9200</v>
      </c>
      <c r="D128" s="1517">
        <v>9160</v>
      </c>
      <c r="E128" s="1517">
        <v>9660</v>
      </c>
      <c r="F128" s="1535"/>
    </row>
    <row r="129" spans="1:6" s="1511" customFormat="1" ht="14.25" customHeight="1" thickBot="1">
      <c r="A129" s="1523" t="s">
        <v>201</v>
      </c>
      <c r="B129" s="1517" t="s">
        <v>1402</v>
      </c>
      <c r="C129" s="1517">
        <v>10340</v>
      </c>
      <c r="D129" s="1517">
        <v>10310</v>
      </c>
      <c r="E129" s="1517">
        <v>10580</v>
      </c>
      <c r="F129" s="1535"/>
    </row>
    <row r="130" spans="1:6" s="1511" customFormat="1" ht="14.25" customHeight="1" thickBot="1">
      <c r="A130" s="1523" t="s">
        <v>201</v>
      </c>
      <c r="B130" s="1517" t="s">
        <v>1411</v>
      </c>
      <c r="C130" s="1517">
        <v>9680</v>
      </c>
      <c r="D130" s="1517">
        <v>9660</v>
      </c>
      <c r="E130" s="1517">
        <v>9950</v>
      </c>
      <c r="F130" s="1535"/>
    </row>
    <row r="131" spans="1:6" s="1511" customFormat="1" ht="14.25" customHeight="1" thickBot="1">
      <c r="A131" s="1523" t="s">
        <v>201</v>
      </c>
      <c r="B131" s="1517" t="s">
        <v>1419</v>
      </c>
      <c r="C131" s="1517">
        <v>9540</v>
      </c>
      <c r="D131" s="1517">
        <v>9510</v>
      </c>
      <c r="E131" s="1517">
        <v>9790</v>
      </c>
      <c r="F131" s="1535"/>
    </row>
    <row r="132" spans="1:6" s="1511" customFormat="1" ht="14.25" customHeight="1" thickBot="1">
      <c r="A132" s="1523" t="s">
        <v>201</v>
      </c>
      <c r="B132" s="1517" t="s">
        <v>1426</v>
      </c>
      <c r="C132" s="1517">
        <v>9320</v>
      </c>
      <c r="D132" s="1517">
        <v>9290</v>
      </c>
      <c r="E132" s="1517">
        <v>9570</v>
      </c>
      <c r="F132" s="1535"/>
    </row>
    <row r="133" spans="1:6" s="1511" customFormat="1" ht="14.25" customHeight="1" thickBot="1">
      <c r="A133" s="1523" t="s">
        <v>201</v>
      </c>
      <c r="B133" s="1517" t="s">
        <v>1433</v>
      </c>
      <c r="C133" s="1517">
        <v>10310</v>
      </c>
      <c r="D133" s="1517">
        <v>10280</v>
      </c>
      <c r="E133" s="1517">
        <v>10530</v>
      </c>
      <c r="F133" s="1535"/>
    </row>
    <row r="134" spans="1:6" s="1511" customFormat="1" ht="14.25" customHeight="1" thickBot="1">
      <c r="A134" s="1523" t="s">
        <v>201</v>
      </c>
      <c r="B134" s="1517" t="s">
        <v>1440</v>
      </c>
      <c r="C134" s="1517">
        <v>10370</v>
      </c>
      <c r="D134" s="1517">
        <v>10310</v>
      </c>
      <c r="E134" s="1517">
        <v>10240</v>
      </c>
      <c r="F134" s="1531">
        <v>2060</v>
      </c>
    </row>
    <row r="135" spans="1:6" s="1511" customFormat="1" ht="14.25" customHeight="1" thickBot="1">
      <c r="A135" s="1523" t="s">
        <v>201</v>
      </c>
      <c r="B135" s="1517" t="s">
        <v>1447</v>
      </c>
      <c r="C135" s="1517">
        <v>9300</v>
      </c>
      <c r="D135" s="1517">
        <v>9270</v>
      </c>
      <c r="E135" s="1517">
        <v>9350</v>
      </c>
      <c r="F135" s="1535"/>
    </row>
    <row r="136" spans="1:6" s="1511" customFormat="1" ht="14.25" customHeight="1" thickBot="1">
      <c r="A136" s="1523" t="s">
        <v>201</v>
      </c>
      <c r="B136" s="1517" t="s">
        <v>1454</v>
      </c>
      <c r="C136" s="1517">
        <v>10160</v>
      </c>
      <c r="D136" s="1517">
        <v>10110</v>
      </c>
      <c r="E136" s="1517">
        <v>10080</v>
      </c>
      <c r="F136" s="1535"/>
    </row>
    <row r="137" spans="1:6" s="1511" customFormat="1" ht="14.25" customHeight="1" thickBot="1">
      <c r="A137" s="1523" t="s">
        <v>201</v>
      </c>
      <c r="B137" s="1517" t="s">
        <v>1461</v>
      </c>
      <c r="C137" s="1517">
        <v>9200</v>
      </c>
      <c r="D137" s="1517">
        <v>9170</v>
      </c>
      <c r="E137" s="1517">
        <v>9450</v>
      </c>
      <c r="F137" s="1535"/>
    </row>
    <row r="138" spans="1:6" s="1511" customFormat="1" ht="14.25" customHeight="1" thickBot="1">
      <c r="A138" s="1523" t="s">
        <v>201</v>
      </c>
      <c r="B138" s="1517" t="s">
        <v>1466</v>
      </c>
      <c r="C138" s="1517">
        <v>9690</v>
      </c>
      <c r="D138" s="1517">
        <v>9660</v>
      </c>
      <c r="E138" s="1517">
        <v>9840</v>
      </c>
      <c r="F138" s="1535"/>
    </row>
    <row r="139" spans="1:6" s="1511" customFormat="1" ht="14.25" customHeight="1" thickBot="1">
      <c r="A139" s="1523" t="s">
        <v>201</v>
      </c>
      <c r="B139" s="1517" t="s">
        <v>1470</v>
      </c>
      <c r="C139" s="1517">
        <v>10290</v>
      </c>
      <c r="D139" s="1517">
        <v>10260</v>
      </c>
      <c r="E139" s="1517">
        <v>10550</v>
      </c>
      <c r="F139" s="1531">
        <v>1700</v>
      </c>
    </row>
    <row r="140" spans="1:6" s="1511" customFormat="1" ht="14.25" customHeight="1" thickBot="1">
      <c r="A140" s="1523" t="s">
        <v>201</v>
      </c>
      <c r="B140" s="1517" t="s">
        <v>1475</v>
      </c>
      <c r="C140" s="1517">
        <v>9740</v>
      </c>
      <c r="D140" s="1517">
        <v>9710</v>
      </c>
      <c r="E140" s="1517">
        <v>10000</v>
      </c>
      <c r="F140" s="1531">
        <v>2000</v>
      </c>
    </row>
    <row r="141" spans="1:6" s="1511" customFormat="1" ht="14.25" customHeight="1" thickBot="1">
      <c r="A141" s="1523" t="s">
        <v>201</v>
      </c>
      <c r="B141" s="1517" t="s">
        <v>1480</v>
      </c>
      <c r="C141" s="1517">
        <v>9810</v>
      </c>
      <c r="D141" s="1517">
        <v>9770</v>
      </c>
      <c r="E141" s="1517">
        <v>10060</v>
      </c>
      <c r="F141" s="1535"/>
    </row>
    <row r="142" spans="1:6" s="1511" customFormat="1" ht="14.25" customHeight="1" thickBot="1">
      <c r="A142" s="1523" t="s">
        <v>201</v>
      </c>
      <c r="B142" s="1517" t="s">
        <v>1485</v>
      </c>
      <c r="C142" s="1517">
        <v>9300</v>
      </c>
      <c r="D142" s="1517">
        <v>9270</v>
      </c>
      <c r="E142" s="1517">
        <v>9530</v>
      </c>
      <c r="F142" s="1535"/>
    </row>
    <row r="143" spans="1:6" s="1511" customFormat="1" ht="14.25" customHeight="1" thickBot="1">
      <c r="A143" s="1523" t="s">
        <v>201</v>
      </c>
      <c r="B143" s="1517" t="s">
        <v>1490</v>
      </c>
      <c r="C143" s="1517">
        <v>10080</v>
      </c>
      <c r="D143" s="1517">
        <v>10050</v>
      </c>
      <c r="E143" s="1517">
        <v>10340</v>
      </c>
      <c r="F143" s="1535"/>
    </row>
    <row r="144" spans="1:6" s="1511" customFormat="1" ht="14.25" customHeight="1" thickBot="1">
      <c r="A144" s="1523" t="s">
        <v>201</v>
      </c>
      <c r="B144" s="1517" t="s">
        <v>1494</v>
      </c>
      <c r="C144" s="1517">
        <v>9820</v>
      </c>
      <c r="D144" s="1517">
        <v>9750</v>
      </c>
      <c r="E144" s="1517">
        <v>9900</v>
      </c>
      <c r="F144" s="1535"/>
    </row>
    <row r="145" spans="1:6" s="1511" customFormat="1" ht="14.25" customHeight="1" thickBot="1">
      <c r="A145" s="1523" t="s">
        <v>201</v>
      </c>
      <c r="B145" s="1517" t="s">
        <v>1498</v>
      </c>
      <c r="C145" s="1517"/>
      <c r="D145" s="1517"/>
      <c r="E145" s="1517"/>
      <c r="F145" s="1531">
        <v>1740</v>
      </c>
    </row>
    <row r="146" spans="1:6" s="1511" customFormat="1" ht="14.25" customHeight="1" thickBot="1">
      <c r="A146" s="1523" t="s">
        <v>201</v>
      </c>
      <c r="B146" s="1517" t="s">
        <v>1502</v>
      </c>
      <c r="C146" s="1517"/>
      <c r="D146" s="1517"/>
      <c r="E146" s="1517"/>
      <c r="F146" s="1531">
        <v>1740</v>
      </c>
    </row>
    <row r="147" spans="1:6" s="1511" customFormat="1" ht="14.25" customHeight="1" thickBot="1">
      <c r="A147" s="1523" t="s">
        <v>201</v>
      </c>
      <c r="B147" s="1517" t="s">
        <v>1506</v>
      </c>
      <c r="C147" s="1517"/>
      <c r="D147" s="1517"/>
      <c r="E147" s="1517"/>
      <c r="F147" s="1531">
        <v>1740</v>
      </c>
    </row>
    <row r="148" spans="1:6" s="1511" customFormat="1" ht="14.25" customHeight="1" thickBot="1">
      <c r="A148" s="1523" t="s">
        <v>201</v>
      </c>
      <c r="B148" s="1517" t="s">
        <v>1510</v>
      </c>
      <c r="C148" s="1517"/>
      <c r="D148" s="1517"/>
      <c r="E148" s="1517"/>
      <c r="F148" s="1531">
        <v>1740</v>
      </c>
    </row>
    <row r="149" spans="1:6" s="1511" customFormat="1" ht="14.25" customHeight="1" thickBot="1">
      <c r="A149" s="1523" t="s">
        <v>201</v>
      </c>
      <c r="B149" s="1517" t="s">
        <v>1514</v>
      </c>
      <c r="C149" s="1517"/>
      <c r="D149" s="1517"/>
      <c r="E149" s="1517"/>
      <c r="F149" s="1531">
        <v>1740</v>
      </c>
    </row>
    <row r="150" spans="1:6" s="1511" customFormat="1" ht="14.25" customHeight="1" thickBot="1">
      <c r="A150" s="1523" t="s">
        <v>201</v>
      </c>
      <c r="B150" s="1517" t="s">
        <v>1517</v>
      </c>
      <c r="C150" s="1517"/>
      <c r="D150" s="1517"/>
      <c r="E150" s="1517"/>
      <c r="F150" s="1531">
        <v>1610</v>
      </c>
    </row>
    <row r="151" spans="1:6" s="1511" customFormat="1" ht="14.25" customHeight="1" thickBot="1">
      <c r="A151" s="1523" t="s">
        <v>201</v>
      </c>
      <c r="B151" s="1517" t="s">
        <v>1520</v>
      </c>
      <c r="C151" s="1517"/>
      <c r="D151" s="1517"/>
      <c r="E151" s="1517"/>
      <c r="F151" s="1531">
        <v>1610</v>
      </c>
    </row>
    <row r="152" spans="1:6" s="1511" customFormat="1" ht="14.25" customHeight="1" thickBot="1">
      <c r="A152" s="1523" t="s">
        <v>201</v>
      </c>
      <c r="B152" s="1517" t="s">
        <v>1523</v>
      </c>
      <c r="C152" s="1517"/>
      <c r="D152" s="1517"/>
      <c r="E152" s="1517"/>
      <c r="F152" s="1531">
        <v>1610</v>
      </c>
    </row>
    <row r="153" spans="1:6" s="1511" customFormat="1" ht="14.25" customHeight="1" thickBot="1">
      <c r="A153" s="1523" t="s">
        <v>201</v>
      </c>
      <c r="B153" s="1517" t="s">
        <v>1526</v>
      </c>
      <c r="C153" s="1517"/>
      <c r="D153" s="1517"/>
      <c r="E153" s="1517"/>
      <c r="F153" s="1531">
        <v>1610</v>
      </c>
    </row>
    <row r="154" spans="1:6" s="1511" customFormat="1" ht="14.25" customHeight="1" thickBot="1">
      <c r="A154" s="1523" t="s">
        <v>201</v>
      </c>
      <c r="B154" s="1517" t="s">
        <v>1529</v>
      </c>
      <c r="C154" s="1517"/>
      <c r="D154" s="1517"/>
      <c r="E154" s="1517"/>
      <c r="F154" s="1531">
        <v>1610</v>
      </c>
    </row>
    <row r="155" spans="1:6" s="1511" customFormat="1" ht="14.25" customHeight="1" thickBot="1">
      <c r="A155" s="1523" t="s">
        <v>201</v>
      </c>
      <c r="B155" s="1517" t="s">
        <v>1532</v>
      </c>
      <c r="C155" s="1517"/>
      <c r="D155" s="1517"/>
      <c r="E155" s="1517"/>
      <c r="F155" s="1531">
        <v>1800</v>
      </c>
    </row>
    <row r="156" spans="1:6" s="1511" customFormat="1" ht="14.25" customHeight="1" thickBot="1">
      <c r="A156" s="1523" t="s">
        <v>201</v>
      </c>
      <c r="B156" s="1517" t="s">
        <v>1534</v>
      </c>
      <c r="C156" s="1517"/>
      <c r="D156" s="1517"/>
      <c r="E156" s="1517"/>
      <c r="F156" s="1531">
        <v>1910</v>
      </c>
    </row>
    <row r="157" spans="1:6" s="1511" customFormat="1" ht="14.25" customHeight="1" thickBot="1">
      <c r="A157" s="1523" t="s">
        <v>201</v>
      </c>
      <c r="B157" s="1529" t="s">
        <v>1537</v>
      </c>
      <c r="C157" s="1529"/>
      <c r="D157" s="1529"/>
      <c r="E157" s="1529"/>
      <c r="F157" s="1534">
        <v>1500</v>
      </c>
    </row>
    <row r="158" spans="1:6" s="1511" customFormat="1" ht="14.25" customHeight="1" thickBot="1">
      <c r="A158" s="1523" t="s">
        <v>1542</v>
      </c>
      <c r="B158" s="1524" t="s">
        <v>1543</v>
      </c>
      <c r="C158" s="1524">
        <v>8170</v>
      </c>
      <c r="D158" s="1524">
        <v>8140</v>
      </c>
      <c r="E158" s="1524">
        <v>8590</v>
      </c>
      <c r="F158" s="1525">
        <v>1450</v>
      </c>
    </row>
    <row r="159" spans="1:6" s="1511" customFormat="1" ht="14.25" customHeight="1" thickBot="1">
      <c r="A159" s="1523" t="s">
        <v>1542</v>
      </c>
      <c r="B159" s="1517" t="s">
        <v>1209</v>
      </c>
      <c r="C159" s="1517">
        <v>7410</v>
      </c>
      <c r="D159" s="1517">
        <v>7370</v>
      </c>
      <c r="E159" s="1517">
        <v>8030</v>
      </c>
      <c r="F159" s="1531">
        <v>1510</v>
      </c>
    </row>
    <row r="160" spans="1:6" s="1511" customFormat="1" ht="14.25" customHeight="1" thickBot="1">
      <c r="A160" s="1523" t="s">
        <v>1542</v>
      </c>
      <c r="B160" s="1517" t="s">
        <v>1222</v>
      </c>
      <c r="C160" s="1517">
        <v>7240</v>
      </c>
      <c r="D160" s="1517">
        <v>7210</v>
      </c>
      <c r="E160" s="1517">
        <v>7860</v>
      </c>
      <c r="F160" s="1531">
        <v>1370</v>
      </c>
    </row>
    <row r="161" spans="1:6" s="1511" customFormat="1" ht="14.25" customHeight="1" thickBot="1">
      <c r="A161" s="1523" t="s">
        <v>1542</v>
      </c>
      <c r="B161" s="1517" t="s">
        <v>1235</v>
      </c>
      <c r="C161" s="1517">
        <v>7720</v>
      </c>
      <c r="D161" s="1517">
        <v>7690</v>
      </c>
      <c r="E161" s="1517">
        <v>8200</v>
      </c>
      <c r="F161" s="1531">
        <v>1190</v>
      </c>
    </row>
    <row r="162" spans="1:6" s="1511" customFormat="1" ht="14.25" customHeight="1" thickBot="1">
      <c r="A162" s="1523" t="s">
        <v>1542</v>
      </c>
      <c r="B162" s="1517" t="s">
        <v>1247</v>
      </c>
      <c r="C162" s="1517">
        <v>6900</v>
      </c>
      <c r="D162" s="1517">
        <v>6870</v>
      </c>
      <c r="E162" s="1517">
        <v>7500</v>
      </c>
      <c r="F162" s="1531">
        <v>1390</v>
      </c>
    </row>
    <row r="163" spans="1:6" s="1511" customFormat="1" ht="14.25" customHeight="1" thickBot="1">
      <c r="A163" s="1523" t="s">
        <v>1542</v>
      </c>
      <c r="B163" s="1517" t="s">
        <v>1258</v>
      </c>
      <c r="C163" s="1517">
        <v>7120</v>
      </c>
      <c r="D163" s="1517">
        <v>7090</v>
      </c>
      <c r="E163" s="1517">
        <v>7690</v>
      </c>
      <c r="F163" s="1531">
        <v>1230</v>
      </c>
    </row>
    <row r="164" spans="1:6" s="1511" customFormat="1" ht="14.25" customHeight="1" thickBot="1">
      <c r="A164" s="1523" t="s">
        <v>1542</v>
      </c>
      <c r="B164" s="1517" t="s">
        <v>1269</v>
      </c>
      <c r="C164" s="1517">
        <v>6560</v>
      </c>
      <c r="D164" s="1517">
        <v>6530</v>
      </c>
      <c r="E164" s="1517">
        <v>7110</v>
      </c>
      <c r="F164" s="1531">
        <v>1340</v>
      </c>
    </row>
    <row r="165" spans="1:6" s="1511" customFormat="1" ht="14.25" customHeight="1" thickBot="1">
      <c r="A165" s="1523" t="s">
        <v>1542</v>
      </c>
      <c r="B165" s="1517" t="s">
        <v>1280</v>
      </c>
      <c r="C165" s="1517">
        <v>7450</v>
      </c>
      <c r="D165" s="1517">
        <v>7430</v>
      </c>
      <c r="E165" s="1517">
        <v>8110</v>
      </c>
      <c r="F165" s="1531">
        <v>1290</v>
      </c>
    </row>
    <row r="166" spans="1:6" s="1511" customFormat="1" ht="14.25" customHeight="1" thickBot="1">
      <c r="A166" s="1523" t="s">
        <v>1542</v>
      </c>
      <c r="B166" s="1517" t="s">
        <v>1292</v>
      </c>
      <c r="C166" s="1517">
        <v>7490</v>
      </c>
      <c r="D166" s="1517">
        <v>7460</v>
      </c>
      <c r="E166" s="1517">
        <v>8150</v>
      </c>
      <c r="F166" s="1531">
        <v>1350</v>
      </c>
    </row>
    <row r="167" spans="1:6" s="1511" customFormat="1" ht="14.25" customHeight="1" thickBot="1">
      <c r="A167" s="1523" t="s">
        <v>1542</v>
      </c>
      <c r="B167" s="1517" t="s">
        <v>1302</v>
      </c>
      <c r="C167" s="1517">
        <v>7540</v>
      </c>
      <c r="D167" s="1517">
        <v>7510</v>
      </c>
      <c r="E167" s="1517">
        <v>8030</v>
      </c>
      <c r="F167" s="1535"/>
    </row>
    <row r="168" spans="1:6" s="1511" customFormat="1" ht="14.25" customHeight="1" thickBot="1">
      <c r="A168" s="1523" t="s">
        <v>1542</v>
      </c>
      <c r="B168" s="1517" t="s">
        <v>1312</v>
      </c>
      <c r="C168" s="1517">
        <v>7210</v>
      </c>
      <c r="D168" s="1517">
        <v>7180</v>
      </c>
      <c r="E168" s="1517">
        <v>7830</v>
      </c>
      <c r="F168" s="1535"/>
    </row>
    <row r="169" spans="1:6" s="1511" customFormat="1" ht="14.25" customHeight="1" thickBot="1">
      <c r="A169" s="1523" t="s">
        <v>1542</v>
      </c>
      <c r="B169" s="1517" t="s">
        <v>1322</v>
      </c>
      <c r="C169" s="1517">
        <v>7040</v>
      </c>
      <c r="D169" s="1517">
        <v>7020</v>
      </c>
      <c r="E169" s="1517">
        <v>7670</v>
      </c>
      <c r="F169" s="1535"/>
    </row>
    <row r="170" spans="1:6" s="1511" customFormat="1" ht="14.25" customHeight="1" thickBot="1">
      <c r="A170" s="1523" t="s">
        <v>1542</v>
      </c>
      <c r="B170" s="1517" t="s">
        <v>1332</v>
      </c>
      <c r="C170" s="1517">
        <v>8040</v>
      </c>
      <c r="D170" s="1517">
        <v>7190</v>
      </c>
      <c r="E170" s="1517">
        <v>7850</v>
      </c>
      <c r="F170" s="1535"/>
    </row>
    <row r="171" spans="1:6" s="1511" customFormat="1" ht="14.25" customHeight="1" thickBot="1">
      <c r="A171" s="1523" t="s">
        <v>1542</v>
      </c>
      <c r="B171" s="1517" t="s">
        <v>1343</v>
      </c>
      <c r="C171" s="1517">
        <v>7860</v>
      </c>
      <c r="D171" s="1517">
        <v>7720</v>
      </c>
      <c r="E171" s="1517">
        <v>8150</v>
      </c>
      <c r="F171" s="1531">
        <v>1110</v>
      </c>
    </row>
    <row r="172" spans="1:6" s="1511" customFormat="1" ht="14.25" customHeight="1" thickBot="1">
      <c r="A172" s="1523" t="s">
        <v>1542</v>
      </c>
      <c r="B172" s="1517" t="s">
        <v>1354</v>
      </c>
      <c r="C172" s="1517">
        <v>7210</v>
      </c>
      <c r="D172" s="1517">
        <v>7170</v>
      </c>
      <c r="E172" s="1517">
        <v>7320</v>
      </c>
      <c r="F172" s="1535"/>
    </row>
    <row r="173" spans="1:6" s="1511" customFormat="1" ht="14.25" customHeight="1" thickBot="1">
      <c r="A173" s="1523" t="s">
        <v>1542</v>
      </c>
      <c r="B173" s="1517" t="s">
        <v>1364</v>
      </c>
      <c r="C173" s="1517">
        <v>6860</v>
      </c>
      <c r="D173" s="1517">
        <v>6810</v>
      </c>
      <c r="E173" s="1517">
        <v>7440</v>
      </c>
      <c r="F173" s="1535"/>
    </row>
    <row r="174" spans="1:6" s="1511" customFormat="1" ht="14.25" customHeight="1" thickBot="1">
      <c r="A174" s="1523" t="s">
        <v>1542</v>
      </c>
      <c r="B174" s="1517" t="s">
        <v>1374</v>
      </c>
      <c r="C174" s="1517">
        <v>7120</v>
      </c>
      <c r="D174" s="1517">
        <v>7090</v>
      </c>
      <c r="E174" s="1517">
        <v>7500</v>
      </c>
      <c r="F174" s="1531">
        <v>1490</v>
      </c>
    </row>
    <row r="175" spans="1:6" s="1511" customFormat="1" ht="14.25" customHeight="1" thickBot="1">
      <c r="A175" s="1523" t="s">
        <v>1542</v>
      </c>
      <c r="B175" s="1517" t="s">
        <v>1384</v>
      </c>
      <c r="C175" s="1517">
        <v>7850</v>
      </c>
      <c r="D175" s="1517">
        <v>7820</v>
      </c>
      <c r="E175" s="1517">
        <v>8120</v>
      </c>
      <c r="F175" s="1531">
        <v>1530</v>
      </c>
    </row>
    <row r="176" spans="1:6" s="1511" customFormat="1" ht="14.25" customHeight="1" thickBot="1">
      <c r="A176" s="1523" t="s">
        <v>1542</v>
      </c>
      <c r="B176" s="1517" t="s">
        <v>1394</v>
      </c>
      <c r="C176" s="1517">
        <v>7620</v>
      </c>
      <c r="D176" s="1517">
        <v>7570</v>
      </c>
      <c r="E176" s="1517">
        <v>7990</v>
      </c>
      <c r="F176" s="1531">
        <v>1480</v>
      </c>
    </row>
    <row r="177" spans="1:6" s="1511" customFormat="1" ht="14.25" customHeight="1" thickBot="1">
      <c r="A177" s="1523" t="s">
        <v>1542</v>
      </c>
      <c r="B177" s="1517" t="s">
        <v>1403</v>
      </c>
      <c r="C177" s="1517">
        <v>8590</v>
      </c>
      <c r="D177" s="1517">
        <v>8570</v>
      </c>
      <c r="E177" s="1517">
        <v>8740</v>
      </c>
      <c r="F177" s="1531">
        <v>1540</v>
      </c>
    </row>
    <row r="178" spans="1:6" s="1511" customFormat="1" ht="14.25" customHeight="1" thickBot="1">
      <c r="A178" s="1523" t="s">
        <v>1542</v>
      </c>
      <c r="B178" s="1517" t="s">
        <v>1412</v>
      </c>
      <c r="C178" s="1517">
        <v>7510</v>
      </c>
      <c r="D178" s="1517">
        <v>7470</v>
      </c>
      <c r="E178" s="1517">
        <v>8090</v>
      </c>
      <c r="F178" s="1531">
        <v>1320</v>
      </c>
    </row>
    <row r="179" spans="1:6" s="1511" customFormat="1" ht="14.25" customHeight="1" thickBot="1">
      <c r="A179" s="1523" t="s">
        <v>1542</v>
      </c>
      <c r="B179" s="1517" t="s">
        <v>1420</v>
      </c>
      <c r="C179" s="1517">
        <v>6380</v>
      </c>
      <c r="D179" s="1517">
        <v>6340</v>
      </c>
      <c r="E179" s="1517">
        <v>6810</v>
      </c>
      <c r="F179" s="1535"/>
    </row>
    <row r="180" spans="1:6" s="1511" customFormat="1" ht="14.25" customHeight="1" thickBot="1">
      <c r="A180" s="1523" t="s">
        <v>1542</v>
      </c>
      <c r="B180" s="1517" t="s">
        <v>1427</v>
      </c>
      <c r="C180" s="1517">
        <v>7830</v>
      </c>
      <c r="D180" s="1517">
        <v>7800</v>
      </c>
      <c r="E180" s="1517">
        <v>7780</v>
      </c>
      <c r="F180" s="1531">
        <v>1440</v>
      </c>
    </row>
    <row r="181" spans="1:6" s="1511" customFormat="1" ht="14.25" customHeight="1" thickBot="1">
      <c r="A181" s="1523" t="s">
        <v>1542</v>
      </c>
      <c r="B181" s="1517" t="s">
        <v>1434</v>
      </c>
      <c r="C181" s="1517">
        <v>7110</v>
      </c>
      <c r="D181" s="1517">
        <v>7080</v>
      </c>
      <c r="E181" s="1517">
        <v>7730</v>
      </c>
      <c r="F181" s="1531">
        <v>1350</v>
      </c>
    </row>
    <row r="182" spans="1:6" s="1511" customFormat="1" ht="14.25" customHeight="1" thickBot="1">
      <c r="A182" s="1523" t="s">
        <v>1542</v>
      </c>
      <c r="B182" s="1517" t="s">
        <v>1441</v>
      </c>
      <c r="C182" s="1517">
        <v>7310</v>
      </c>
      <c r="D182" s="1517">
        <v>7280</v>
      </c>
      <c r="E182" s="1517">
        <v>7950</v>
      </c>
      <c r="F182" s="1531">
        <v>1220</v>
      </c>
    </row>
    <row r="183" spans="1:6" s="1511" customFormat="1" ht="14.25" customHeight="1" thickBot="1">
      <c r="A183" s="1523" t="s">
        <v>1542</v>
      </c>
      <c r="B183" s="1517" t="s">
        <v>1448</v>
      </c>
      <c r="C183" s="1517">
        <v>7470</v>
      </c>
      <c r="D183" s="1517">
        <v>7440</v>
      </c>
      <c r="E183" s="1517">
        <v>7880</v>
      </c>
      <c r="F183" s="1535"/>
    </row>
    <row r="184" spans="1:6" s="1511" customFormat="1" ht="14.25" customHeight="1" thickBot="1">
      <c r="A184" s="1523" t="s">
        <v>1542</v>
      </c>
      <c r="B184" s="1517" t="s">
        <v>1455</v>
      </c>
      <c r="C184" s="1517">
        <v>6960</v>
      </c>
      <c r="D184" s="1517">
        <v>6930</v>
      </c>
      <c r="E184" s="1517">
        <v>7570</v>
      </c>
      <c r="F184" s="1535"/>
    </row>
    <row r="185" spans="1:6" s="1511" customFormat="1" ht="14.25" customHeight="1" thickBot="1">
      <c r="A185" s="1523" t="s">
        <v>1542</v>
      </c>
      <c r="B185" s="1517" t="s">
        <v>1462</v>
      </c>
      <c r="C185" s="1517">
        <v>7260</v>
      </c>
      <c r="D185" s="1517">
        <v>7230</v>
      </c>
      <c r="E185" s="1517">
        <v>7710</v>
      </c>
      <c r="F185" s="1531">
        <v>1360</v>
      </c>
    </row>
    <row r="186" spans="1:6" s="1511" customFormat="1" ht="14.25" customHeight="1" thickBot="1">
      <c r="A186" s="1523" t="s">
        <v>1542</v>
      </c>
      <c r="B186" s="1517" t="s">
        <v>1467</v>
      </c>
      <c r="C186" s="1517"/>
      <c r="D186" s="1517"/>
      <c r="E186" s="1517"/>
      <c r="F186" s="1531">
        <v>1560</v>
      </c>
    </row>
    <row r="187" spans="1:6" s="1511" customFormat="1" ht="14.25" customHeight="1" thickBot="1">
      <c r="A187" s="1523" t="s">
        <v>1542</v>
      </c>
      <c r="B187" s="1517" t="s">
        <v>1471</v>
      </c>
      <c r="C187" s="1517"/>
      <c r="D187" s="1517"/>
      <c r="E187" s="1517"/>
      <c r="F187" s="1531">
        <v>1560</v>
      </c>
    </row>
    <row r="188" spans="1:6" s="1511" customFormat="1" ht="14.25" customHeight="1" thickBot="1">
      <c r="A188" s="1523" t="s">
        <v>1542</v>
      </c>
      <c r="B188" s="1517" t="s">
        <v>1476</v>
      </c>
      <c r="C188" s="1517"/>
      <c r="D188" s="1517"/>
      <c r="E188" s="1517"/>
      <c r="F188" s="1531">
        <v>1560</v>
      </c>
    </row>
    <row r="189" spans="1:6" s="1511" customFormat="1" ht="14.25" customHeight="1" thickBot="1">
      <c r="A189" s="1523" t="s">
        <v>1542</v>
      </c>
      <c r="B189" s="1517" t="s">
        <v>1481</v>
      </c>
      <c r="C189" s="1517"/>
      <c r="D189" s="1517"/>
      <c r="E189" s="1517"/>
      <c r="F189" s="1531">
        <v>1320</v>
      </c>
    </row>
    <row r="190" spans="1:6" s="1511" customFormat="1" ht="14.25" customHeight="1" thickBot="1">
      <c r="A190" s="1523" t="s">
        <v>1542</v>
      </c>
      <c r="B190" s="1517" t="s">
        <v>1486</v>
      </c>
      <c r="C190" s="1517"/>
      <c r="D190" s="1517"/>
      <c r="E190" s="1517"/>
      <c r="F190" s="1531">
        <v>1320</v>
      </c>
    </row>
    <row r="191" spans="1:6" s="1511" customFormat="1" ht="14.25" customHeight="1" thickBot="1">
      <c r="A191" s="1523" t="s">
        <v>1542</v>
      </c>
      <c r="B191" s="1517" t="s">
        <v>1491</v>
      </c>
      <c r="C191" s="1517"/>
      <c r="D191" s="1517"/>
      <c r="E191" s="1517"/>
      <c r="F191" s="1531">
        <v>1320</v>
      </c>
    </row>
    <row r="192" spans="1:6" s="1511" customFormat="1" ht="14.25" customHeight="1" thickBot="1">
      <c r="A192" s="1523" t="s">
        <v>1542</v>
      </c>
      <c r="B192" s="1517" t="s">
        <v>1495</v>
      </c>
      <c r="C192" s="1517"/>
      <c r="D192" s="1517"/>
      <c r="E192" s="1517"/>
      <c r="F192" s="1531">
        <v>1100</v>
      </c>
    </row>
    <row r="193" spans="1:6" s="1511" customFormat="1" ht="14.25" customHeight="1" thickBot="1">
      <c r="A193" s="1523" t="s">
        <v>1542</v>
      </c>
      <c r="B193" s="1517" t="s">
        <v>1499</v>
      </c>
      <c r="C193" s="1517"/>
      <c r="D193" s="1517"/>
      <c r="E193" s="1517"/>
      <c r="F193" s="1531">
        <v>1100</v>
      </c>
    </row>
    <row r="194" spans="1:6" s="1511" customFormat="1" ht="14.25" customHeight="1" thickBot="1">
      <c r="A194" s="1523" t="s">
        <v>1542</v>
      </c>
      <c r="B194" s="1517" t="s">
        <v>1503</v>
      </c>
      <c r="C194" s="1517"/>
      <c r="D194" s="1517"/>
      <c r="E194" s="1517"/>
      <c r="F194" s="1531">
        <v>1080</v>
      </c>
    </row>
    <row r="195" spans="1:6" s="1511" customFormat="1" ht="14.25" customHeight="1" thickBot="1">
      <c r="A195" s="1523" t="s">
        <v>1542</v>
      </c>
      <c r="B195" s="1517" t="s">
        <v>1507</v>
      </c>
      <c r="C195" s="1517"/>
      <c r="D195" s="1517"/>
      <c r="E195" s="1517"/>
      <c r="F195" s="1531">
        <v>1270</v>
      </c>
    </row>
    <row r="196" spans="1:6" s="1511" customFormat="1" ht="14.25" customHeight="1" thickBot="1">
      <c r="A196" s="1523" t="s">
        <v>1542</v>
      </c>
      <c r="B196" s="1517" t="s">
        <v>1511</v>
      </c>
      <c r="C196" s="1517"/>
      <c r="D196" s="1517"/>
      <c r="E196" s="1517"/>
      <c r="F196" s="1531">
        <v>1150</v>
      </c>
    </row>
    <row r="197" spans="1:6" s="1511" customFormat="1" ht="14.25" customHeight="1" thickBot="1">
      <c r="A197" s="1523" t="s">
        <v>1542</v>
      </c>
      <c r="B197" s="1517" t="s">
        <v>1515</v>
      </c>
      <c r="C197" s="1517"/>
      <c r="D197" s="1517"/>
      <c r="E197" s="1517"/>
      <c r="F197" s="1531">
        <v>1330</v>
      </c>
    </row>
    <row r="198" spans="1:6" s="1511" customFormat="1" ht="14.25" customHeight="1" thickBot="1">
      <c r="A198" s="1523" t="s">
        <v>1542</v>
      </c>
      <c r="B198" s="1517" t="s">
        <v>1518</v>
      </c>
      <c r="C198" s="1517"/>
      <c r="D198" s="1517"/>
      <c r="E198" s="1517"/>
      <c r="F198" s="1531">
        <v>1170</v>
      </c>
    </row>
    <row r="199" spans="1:6" s="1511" customFormat="1" ht="14.25" customHeight="1" thickBot="1">
      <c r="A199" s="1523" t="s">
        <v>1542</v>
      </c>
      <c r="B199" s="1517" t="s">
        <v>1521</v>
      </c>
      <c r="C199" s="1517"/>
      <c r="D199" s="1517"/>
      <c r="E199" s="1517"/>
      <c r="F199" s="1531">
        <v>1120</v>
      </c>
    </row>
    <row r="200" spans="1:6" s="1511" customFormat="1" ht="14.25" customHeight="1" thickBot="1">
      <c r="A200" s="1523" t="s">
        <v>1542</v>
      </c>
      <c r="B200" s="1517" t="s">
        <v>1524</v>
      </c>
      <c r="C200" s="1517"/>
      <c r="D200" s="1517"/>
      <c r="E200" s="1517"/>
      <c r="F200" s="1531">
        <v>1120</v>
      </c>
    </row>
    <row r="201" spans="1:6" s="1511" customFormat="1" ht="14.25" customHeight="1" thickBot="1">
      <c r="A201" s="1523" t="s">
        <v>1542</v>
      </c>
      <c r="B201" s="1517" t="s">
        <v>1527</v>
      </c>
      <c r="C201" s="1517"/>
      <c r="D201" s="1517"/>
      <c r="E201" s="1517"/>
      <c r="F201" s="1531">
        <v>1540</v>
      </c>
    </row>
    <row r="202" spans="1:6" s="1511" customFormat="1" ht="14.25" customHeight="1" thickBot="1">
      <c r="A202" s="1523" t="s">
        <v>1542</v>
      </c>
      <c r="B202" s="1517" t="s">
        <v>1530</v>
      </c>
      <c r="C202" s="1517"/>
      <c r="D202" s="1517"/>
      <c r="E202" s="1517"/>
      <c r="F202" s="1531">
        <v>1310</v>
      </c>
    </row>
    <row r="203" spans="1:6" s="1511" customFormat="1" ht="14.25" customHeight="1" thickBot="1">
      <c r="A203" s="1523" t="s">
        <v>1542</v>
      </c>
      <c r="B203" s="1517" t="s">
        <v>1533</v>
      </c>
      <c r="C203" s="1517"/>
      <c r="D203" s="1517"/>
      <c r="E203" s="1517"/>
      <c r="F203" s="1531">
        <v>1310</v>
      </c>
    </row>
    <row r="204" spans="1:6" s="1511" customFormat="1" ht="14.25" customHeight="1" thickBot="1">
      <c r="A204" s="1523" t="s">
        <v>1542</v>
      </c>
      <c r="B204" s="1517" t="s">
        <v>1535</v>
      </c>
      <c r="C204" s="1517"/>
      <c r="D204" s="1517"/>
      <c r="E204" s="1517"/>
      <c r="F204" s="1531">
        <v>1080</v>
      </c>
    </row>
    <row r="205" spans="1:6" s="1511" customFormat="1" ht="14.25" customHeight="1" thickBot="1">
      <c r="A205" s="1523" t="s">
        <v>1542</v>
      </c>
      <c r="B205" s="1517" t="s">
        <v>1538</v>
      </c>
      <c r="C205" s="1517"/>
      <c r="D205" s="1517"/>
      <c r="E205" s="1517"/>
      <c r="F205" s="1531">
        <v>1080</v>
      </c>
    </row>
    <row r="206" spans="1:6" s="1511" customFormat="1" ht="14.25" customHeight="1" thickBot="1">
      <c r="A206" s="1523" t="s">
        <v>1544</v>
      </c>
      <c r="B206" s="1524" t="s">
        <v>1545</v>
      </c>
      <c r="C206" s="1524">
        <v>5450</v>
      </c>
      <c r="D206" s="1524">
        <v>5430</v>
      </c>
      <c r="E206" s="1524">
        <v>5700</v>
      </c>
      <c r="F206" s="1525">
        <v>1020</v>
      </c>
    </row>
    <row r="207" spans="1:6" s="1511" customFormat="1" ht="14.25" customHeight="1" thickBot="1">
      <c r="A207" s="1523" t="s">
        <v>1544</v>
      </c>
      <c r="B207" s="1517" t="s">
        <v>1210</v>
      </c>
      <c r="C207" s="1517">
        <v>5860</v>
      </c>
      <c r="D207" s="1517">
        <v>5820</v>
      </c>
      <c r="E207" s="1517">
        <v>6050</v>
      </c>
      <c r="F207" s="1531">
        <v>1080</v>
      </c>
    </row>
    <row r="208" spans="1:6" s="1511" customFormat="1" ht="14.25" customHeight="1" thickBot="1">
      <c r="A208" s="1523" t="s">
        <v>1544</v>
      </c>
      <c r="B208" s="1517" t="s">
        <v>1223</v>
      </c>
      <c r="C208" s="1517">
        <v>4630</v>
      </c>
      <c r="D208" s="1517">
        <v>4600</v>
      </c>
      <c r="E208" s="1517">
        <v>4840</v>
      </c>
      <c r="F208" s="1531">
        <v>900</v>
      </c>
    </row>
    <row r="209" spans="1:6" s="1511" customFormat="1" ht="14.25" customHeight="1" thickBot="1">
      <c r="A209" s="1523" t="s">
        <v>1544</v>
      </c>
      <c r="B209" s="1517" t="s">
        <v>1236</v>
      </c>
      <c r="C209" s="1517">
        <v>5320</v>
      </c>
      <c r="D209" s="1517">
        <v>5270</v>
      </c>
      <c r="E209" s="1517">
        <v>5540</v>
      </c>
      <c r="F209" s="1531">
        <v>980</v>
      </c>
    </row>
    <row r="210" spans="1:6" s="1511" customFormat="1" ht="14.25" customHeight="1" thickBot="1">
      <c r="A210" s="1523" t="s">
        <v>1544</v>
      </c>
      <c r="B210" s="1517" t="s">
        <v>1248</v>
      </c>
      <c r="C210" s="1517">
        <v>5760</v>
      </c>
      <c r="D210" s="1517">
        <v>5710</v>
      </c>
      <c r="E210" s="1517">
        <v>6010</v>
      </c>
      <c r="F210" s="1531">
        <v>870</v>
      </c>
    </row>
    <row r="211" spans="1:6" s="1511" customFormat="1" ht="14.25" customHeight="1" thickBot="1">
      <c r="A211" s="1523" t="s">
        <v>1544</v>
      </c>
      <c r="B211" s="1517" t="s">
        <v>1259</v>
      </c>
      <c r="C211" s="1517">
        <v>4160</v>
      </c>
      <c r="D211" s="1517">
        <v>4100</v>
      </c>
      <c r="E211" s="1517">
        <v>4270</v>
      </c>
      <c r="F211" s="1531">
        <v>790</v>
      </c>
    </row>
    <row r="212" spans="1:6" s="1511" customFormat="1" ht="14.25" customHeight="1" thickBot="1">
      <c r="A212" s="1523" t="s">
        <v>1544</v>
      </c>
      <c r="B212" s="1517" t="s">
        <v>1270</v>
      </c>
      <c r="C212" s="1517">
        <v>4880</v>
      </c>
      <c r="D212" s="1517">
        <v>4850</v>
      </c>
      <c r="E212" s="1517">
        <v>5110</v>
      </c>
      <c r="F212" s="1531">
        <v>940</v>
      </c>
    </row>
    <row r="213" spans="1:6" s="1511" customFormat="1" ht="14.25" customHeight="1" thickBot="1">
      <c r="A213" s="1523" t="s">
        <v>1544</v>
      </c>
      <c r="B213" s="1517" t="s">
        <v>1281</v>
      </c>
      <c r="C213" s="1517">
        <v>4640</v>
      </c>
      <c r="D213" s="1517">
        <v>4590</v>
      </c>
      <c r="E213" s="1517">
        <v>4700</v>
      </c>
      <c r="F213" s="1531">
        <v>1030</v>
      </c>
    </row>
    <row r="214" spans="1:6" s="1511" customFormat="1" ht="14.25" customHeight="1" thickBot="1">
      <c r="A214" s="1523" t="s">
        <v>1544</v>
      </c>
      <c r="B214" s="1517" t="s">
        <v>1293</v>
      </c>
      <c r="C214" s="1517">
        <v>4540</v>
      </c>
      <c r="D214" s="1517">
        <v>4490</v>
      </c>
      <c r="E214" s="1517">
        <v>4610</v>
      </c>
      <c r="F214" s="1535"/>
    </row>
    <row r="215" spans="1:6" s="1511" customFormat="1" ht="14.25" customHeight="1" thickBot="1">
      <c r="A215" s="1523" t="s">
        <v>1544</v>
      </c>
      <c r="B215" s="1517" t="s">
        <v>1303</v>
      </c>
      <c r="C215" s="1517">
        <v>5280</v>
      </c>
      <c r="D215" s="1517">
        <v>5250</v>
      </c>
      <c r="E215" s="1517">
        <v>5520</v>
      </c>
      <c r="F215" s="1531">
        <v>1000</v>
      </c>
    </row>
    <row r="216" spans="1:6" s="1511" customFormat="1" ht="14.25" customHeight="1" thickBot="1">
      <c r="A216" s="1523" t="s">
        <v>1544</v>
      </c>
      <c r="B216" s="1517" t="s">
        <v>1313</v>
      </c>
      <c r="C216" s="1517">
        <v>5100</v>
      </c>
      <c r="D216" s="1517">
        <v>5050</v>
      </c>
      <c r="E216" s="1517">
        <v>5300</v>
      </c>
      <c r="F216" s="1531">
        <v>950</v>
      </c>
    </row>
    <row r="217" spans="1:6" s="1511" customFormat="1" ht="14.25" customHeight="1" thickBot="1">
      <c r="A217" s="1523" t="s">
        <v>1544</v>
      </c>
      <c r="B217" s="1517" t="s">
        <v>1323</v>
      </c>
      <c r="C217" s="1517">
        <v>5370</v>
      </c>
      <c r="D217" s="1517">
        <v>5320</v>
      </c>
      <c r="E217" s="1517">
        <v>5410</v>
      </c>
      <c r="F217" s="1531">
        <v>950</v>
      </c>
    </row>
    <row r="218" spans="1:6" s="1511" customFormat="1" ht="14.25" customHeight="1" thickBot="1">
      <c r="A218" s="1523" t="s">
        <v>1544</v>
      </c>
      <c r="B218" s="1517" t="s">
        <v>1333</v>
      </c>
      <c r="C218" s="1517">
        <v>5540</v>
      </c>
      <c r="D218" s="1517">
        <v>5480</v>
      </c>
      <c r="E218" s="1517">
        <v>5740</v>
      </c>
      <c r="F218" s="1531">
        <v>1020</v>
      </c>
    </row>
    <row r="219" spans="1:6" s="1511" customFormat="1" ht="14.25" customHeight="1" thickBot="1">
      <c r="A219" s="1523" t="s">
        <v>1544</v>
      </c>
      <c r="B219" s="1517" t="s">
        <v>1344</v>
      </c>
      <c r="C219" s="1517">
        <v>5140</v>
      </c>
      <c r="D219" s="1517">
        <v>5100</v>
      </c>
      <c r="E219" s="1517">
        <v>5350</v>
      </c>
      <c r="F219" s="1531">
        <v>1120</v>
      </c>
    </row>
    <row r="220" spans="1:6" s="1511" customFormat="1" ht="14.25" customHeight="1" thickBot="1">
      <c r="A220" s="1523" t="s">
        <v>1544</v>
      </c>
      <c r="B220" s="1517" t="s">
        <v>1355</v>
      </c>
      <c r="C220" s="1517">
        <v>5040</v>
      </c>
      <c r="D220" s="1517">
        <v>5000</v>
      </c>
      <c r="E220" s="1517">
        <v>5240</v>
      </c>
      <c r="F220" s="1531">
        <v>980</v>
      </c>
    </row>
    <row r="221" spans="1:6" s="1511" customFormat="1" ht="14.25" customHeight="1" thickBot="1">
      <c r="A221" s="1523" t="s">
        <v>1544</v>
      </c>
      <c r="B221" s="1517" t="s">
        <v>1365</v>
      </c>
      <c r="C221" s="1536"/>
      <c r="D221" s="1536"/>
      <c r="E221" s="1536"/>
      <c r="F221" s="1531">
        <v>1070</v>
      </c>
    </row>
    <row r="222" spans="1:6" s="1511" customFormat="1" ht="14.25" customHeight="1" thickBot="1">
      <c r="A222" s="1523" t="s">
        <v>1544</v>
      </c>
      <c r="B222" s="1517" t="s">
        <v>1375</v>
      </c>
      <c r="C222" s="1536"/>
      <c r="D222" s="1536"/>
      <c r="E222" s="1536"/>
      <c r="F222" s="1531">
        <v>870</v>
      </c>
    </row>
    <row r="223" spans="1:6" s="1511" customFormat="1" ht="14.25" customHeight="1" thickBot="1">
      <c r="A223" s="1523" t="s">
        <v>1544</v>
      </c>
      <c r="B223" s="1517" t="s">
        <v>1385</v>
      </c>
      <c r="C223" s="1536"/>
      <c r="D223" s="1536"/>
      <c r="E223" s="1536"/>
      <c r="F223" s="1531">
        <v>940</v>
      </c>
    </row>
    <row r="224" spans="1:6" s="1511" customFormat="1" ht="14.25" customHeight="1" thickBot="1">
      <c r="A224" s="1523" t="s">
        <v>1544</v>
      </c>
      <c r="B224" s="1517" t="s">
        <v>1395</v>
      </c>
      <c r="C224" s="1536"/>
      <c r="D224" s="1536"/>
      <c r="E224" s="1536"/>
      <c r="F224" s="1531">
        <v>990</v>
      </c>
    </row>
    <row r="225" spans="1:6" s="1511" customFormat="1" ht="14.25" customHeight="1" thickBot="1">
      <c r="A225" s="1523" t="s">
        <v>1544</v>
      </c>
      <c r="B225" s="1517" t="s">
        <v>1404</v>
      </c>
      <c r="C225" s="1517">
        <v>5730</v>
      </c>
      <c r="D225" s="1517">
        <v>5680</v>
      </c>
      <c r="E225" s="1517">
        <v>6020</v>
      </c>
      <c r="F225" s="1531">
        <v>1000</v>
      </c>
    </row>
    <row r="226" spans="1:6" s="1511" customFormat="1" ht="14.25" customHeight="1" thickBot="1">
      <c r="A226" s="1523" t="s">
        <v>1544</v>
      </c>
      <c r="B226" s="1517" t="s">
        <v>1413</v>
      </c>
      <c r="C226" s="1517">
        <v>4970</v>
      </c>
      <c r="D226" s="1517">
        <v>4940</v>
      </c>
      <c r="E226" s="1517">
        <v>5180</v>
      </c>
      <c r="F226" s="1531">
        <v>960</v>
      </c>
    </row>
    <row r="227" spans="1:6" s="1511" customFormat="1" ht="14.25" customHeight="1" thickBot="1">
      <c r="A227" s="1523" t="s">
        <v>1544</v>
      </c>
      <c r="B227" s="1517" t="s">
        <v>1421</v>
      </c>
      <c r="C227" s="1517">
        <v>5550</v>
      </c>
      <c r="D227" s="1517">
        <v>5500</v>
      </c>
      <c r="E227" s="1517">
        <v>5780</v>
      </c>
      <c r="F227" s="1531">
        <v>940</v>
      </c>
    </row>
    <row r="228" spans="1:6" s="1511" customFormat="1" ht="14.25" customHeight="1" thickBot="1">
      <c r="A228" s="1523" t="s">
        <v>1544</v>
      </c>
      <c r="B228" s="1517" t="s">
        <v>1428</v>
      </c>
      <c r="C228" s="1517">
        <v>5460</v>
      </c>
      <c r="D228" s="1517">
        <v>5420</v>
      </c>
      <c r="E228" s="1517">
        <v>5690</v>
      </c>
      <c r="F228" s="1531">
        <v>910</v>
      </c>
    </row>
    <row r="229" spans="1:6" s="1511" customFormat="1" ht="14.25" customHeight="1" thickBot="1">
      <c r="A229" s="1523" t="s">
        <v>1544</v>
      </c>
      <c r="B229" s="1517" t="s">
        <v>1435</v>
      </c>
      <c r="C229" s="1517">
        <v>5310</v>
      </c>
      <c r="D229" s="1517">
        <v>5270</v>
      </c>
      <c r="E229" s="1517">
        <v>5510</v>
      </c>
      <c r="F229" s="1535"/>
    </row>
    <row r="230" spans="1:6" s="1511" customFormat="1" ht="14.25" customHeight="1" thickBot="1">
      <c r="A230" s="1523" t="s">
        <v>1544</v>
      </c>
      <c r="B230" s="1517" t="s">
        <v>1442</v>
      </c>
      <c r="C230" s="1517">
        <v>4540</v>
      </c>
      <c r="D230" s="1517">
        <v>4500</v>
      </c>
      <c r="E230" s="1517">
        <v>4730</v>
      </c>
      <c r="F230" s="1535"/>
    </row>
    <row r="231" spans="1:6" s="1511" customFormat="1" ht="14.25" customHeight="1" thickBot="1">
      <c r="A231" s="1523" t="s">
        <v>1544</v>
      </c>
      <c r="B231" s="1517" t="s">
        <v>1449</v>
      </c>
      <c r="C231" s="1517">
        <v>4480</v>
      </c>
      <c r="D231" s="1517">
        <v>4410</v>
      </c>
      <c r="E231" s="1517">
        <v>4640</v>
      </c>
      <c r="F231" s="1535"/>
    </row>
    <row r="232" spans="1:6" s="1511" customFormat="1" ht="14.25" customHeight="1" thickBot="1">
      <c r="A232" s="1523" t="s">
        <v>1544</v>
      </c>
      <c r="B232" s="1517" t="s">
        <v>1456</v>
      </c>
      <c r="C232" s="1517">
        <v>5670</v>
      </c>
      <c r="D232" s="1517">
        <v>5600</v>
      </c>
      <c r="E232" s="1517">
        <v>5890</v>
      </c>
      <c r="F232" s="1531">
        <v>1150</v>
      </c>
    </row>
    <row r="233" spans="1:6" s="1511" customFormat="1" ht="14.25" customHeight="1" thickBot="1">
      <c r="A233" s="1523" t="s">
        <v>1544</v>
      </c>
      <c r="B233" s="1517" t="s">
        <v>1463</v>
      </c>
      <c r="C233" s="1517">
        <v>4590</v>
      </c>
      <c r="D233" s="1517">
        <v>4500</v>
      </c>
      <c r="E233" s="1517">
        <v>4600</v>
      </c>
      <c r="F233" s="1535"/>
    </row>
    <row r="234" spans="1:6" s="1511" customFormat="1" ht="14.25" customHeight="1" thickBot="1">
      <c r="A234" s="1523" t="s">
        <v>1544</v>
      </c>
      <c r="B234" s="1517" t="s">
        <v>2498</v>
      </c>
      <c r="C234" s="1517">
        <v>3990</v>
      </c>
      <c r="D234" s="1517">
        <v>3950</v>
      </c>
      <c r="E234" s="1517">
        <v>4180</v>
      </c>
      <c r="F234" s="1535"/>
    </row>
    <row r="235" spans="1:6" s="1511" customFormat="1" ht="14.25" customHeight="1" thickBot="1">
      <c r="A235" s="1523" t="s">
        <v>1544</v>
      </c>
      <c r="B235" s="1517" t="s">
        <v>1472</v>
      </c>
      <c r="C235" s="1517">
        <v>5590</v>
      </c>
      <c r="D235" s="1517">
        <v>5540</v>
      </c>
      <c r="E235" s="1517">
        <v>5810</v>
      </c>
      <c r="F235" s="1531">
        <v>970</v>
      </c>
    </row>
    <row r="236" spans="1:6" s="1511" customFormat="1" ht="14.25" customHeight="1" thickBot="1">
      <c r="A236" s="1523" t="s">
        <v>1544</v>
      </c>
      <c r="B236" s="1517" t="s">
        <v>1477</v>
      </c>
      <c r="C236" s="1517"/>
      <c r="D236" s="1517"/>
      <c r="E236" s="1517"/>
      <c r="F236" s="1531">
        <v>1020</v>
      </c>
    </row>
    <row r="237" spans="1:6" s="1511" customFormat="1" ht="14.25" customHeight="1" thickBot="1">
      <c r="A237" s="1523" t="s">
        <v>1544</v>
      </c>
      <c r="B237" s="1517" t="s">
        <v>1482</v>
      </c>
      <c r="C237" s="1517"/>
      <c r="D237" s="1517"/>
      <c r="E237" s="1517"/>
      <c r="F237" s="1531">
        <v>960</v>
      </c>
    </row>
    <row r="238" spans="1:6" s="1511" customFormat="1" ht="14.25" customHeight="1" thickBot="1">
      <c r="A238" s="1523" t="s">
        <v>1544</v>
      </c>
      <c r="B238" s="1517" t="s">
        <v>1487</v>
      </c>
      <c r="C238" s="1517"/>
      <c r="D238" s="1517"/>
      <c r="E238" s="1517"/>
      <c r="F238" s="1531">
        <v>960</v>
      </c>
    </row>
    <row r="239" spans="1:6" s="1511" customFormat="1" ht="14.25" customHeight="1" thickBot="1">
      <c r="A239" s="1523" t="s">
        <v>1544</v>
      </c>
      <c r="B239" s="1517" t="s">
        <v>1492</v>
      </c>
      <c r="C239" s="1517"/>
      <c r="D239" s="1517"/>
      <c r="E239" s="1517"/>
      <c r="F239" s="1531">
        <v>960</v>
      </c>
    </row>
    <row r="240" spans="1:6" s="1511" customFormat="1" ht="14.25" customHeight="1" thickBot="1">
      <c r="A240" s="1523" t="s">
        <v>1544</v>
      </c>
      <c r="B240" s="1517" t="s">
        <v>1496</v>
      </c>
      <c r="C240" s="1517"/>
      <c r="D240" s="1517"/>
      <c r="E240" s="1517"/>
      <c r="F240" s="1531">
        <v>990</v>
      </c>
    </row>
    <row r="241" spans="1:6" s="1511" customFormat="1" ht="14.25" customHeight="1" thickBot="1">
      <c r="A241" s="1523" t="s">
        <v>1544</v>
      </c>
      <c r="B241" s="1517" t="s">
        <v>1500</v>
      </c>
      <c r="C241" s="1517"/>
      <c r="D241" s="1517"/>
      <c r="E241" s="1517"/>
      <c r="F241" s="1531">
        <v>1000</v>
      </c>
    </row>
    <row r="242" spans="1:6" s="1511" customFormat="1" ht="14.25" customHeight="1" thickBot="1">
      <c r="A242" s="1523" t="s">
        <v>1544</v>
      </c>
      <c r="B242" s="1517" t="s">
        <v>1504</v>
      </c>
      <c r="C242" s="1517"/>
      <c r="D242" s="1517"/>
      <c r="E242" s="1517"/>
      <c r="F242" s="1531">
        <v>980</v>
      </c>
    </row>
    <row r="243" spans="1:6" s="1511" customFormat="1" ht="14.25" customHeight="1" thickBot="1">
      <c r="A243" s="1523" t="s">
        <v>1544</v>
      </c>
      <c r="B243" s="1517" t="s">
        <v>1508</v>
      </c>
      <c r="C243" s="1517"/>
      <c r="D243" s="1517"/>
      <c r="E243" s="1517"/>
      <c r="F243" s="1531">
        <v>970</v>
      </c>
    </row>
    <row r="244" spans="1:6" s="1511" customFormat="1" ht="14.25" customHeight="1" thickBot="1">
      <c r="A244" s="1523" t="s">
        <v>1544</v>
      </c>
      <c r="B244" s="1529" t="s">
        <v>1512</v>
      </c>
      <c r="C244" s="1529"/>
      <c r="D244" s="1529"/>
      <c r="E244" s="1529"/>
      <c r="F244" s="1534">
        <v>970</v>
      </c>
    </row>
    <row r="245" spans="1:6" s="1511" customFormat="1" ht="14.25" customHeight="1" thickBot="1">
      <c r="A245" s="1523" t="s">
        <v>1546</v>
      </c>
      <c r="B245" s="1524" t="s">
        <v>1547</v>
      </c>
      <c r="C245" s="1524">
        <v>4050</v>
      </c>
      <c r="D245" s="1524">
        <v>4020</v>
      </c>
      <c r="E245" s="1524">
        <v>4160</v>
      </c>
      <c r="F245" s="1525">
        <v>840</v>
      </c>
    </row>
    <row r="246" spans="1:6" s="1511" customFormat="1" ht="14.25" customHeight="1" thickBot="1">
      <c r="A246" s="1523" t="s">
        <v>1546</v>
      </c>
      <c r="B246" s="1517" t="s">
        <v>1211</v>
      </c>
      <c r="C246" s="1517">
        <v>4010</v>
      </c>
      <c r="D246" s="1517">
        <v>3960</v>
      </c>
      <c r="E246" s="1517">
        <v>4130</v>
      </c>
      <c r="F246" s="1531">
        <v>840</v>
      </c>
    </row>
    <row r="247" spans="1:6" s="1511" customFormat="1" ht="14.25" customHeight="1" thickBot="1">
      <c r="A247" s="1523" t="s">
        <v>1546</v>
      </c>
      <c r="B247" s="1517" t="s">
        <v>1548</v>
      </c>
      <c r="C247" s="1517">
        <v>3170</v>
      </c>
      <c r="D247" s="1517">
        <v>3140</v>
      </c>
      <c r="E247" s="1517">
        <v>3270</v>
      </c>
      <c r="F247" s="1531">
        <v>640</v>
      </c>
    </row>
    <row r="248" spans="1:6" s="1511" customFormat="1" ht="14.25" customHeight="1" thickBot="1">
      <c r="A248" s="1523" t="s">
        <v>1546</v>
      </c>
      <c r="B248" s="1517" t="s">
        <v>1549</v>
      </c>
      <c r="C248" s="1517">
        <v>3140</v>
      </c>
      <c r="D248" s="1517">
        <v>3120</v>
      </c>
      <c r="E248" s="1517">
        <v>3240</v>
      </c>
      <c r="F248" s="1531">
        <v>620</v>
      </c>
    </row>
    <row r="249" spans="1:6" s="1511" customFormat="1" ht="14.25" customHeight="1" thickBot="1">
      <c r="A249" s="1523" t="s">
        <v>1546</v>
      </c>
      <c r="B249" s="1517" t="s">
        <v>1249</v>
      </c>
      <c r="C249" s="1517">
        <v>3200</v>
      </c>
      <c r="D249" s="1517">
        <v>3100</v>
      </c>
      <c r="E249" s="1517">
        <v>3230</v>
      </c>
      <c r="F249" s="1531">
        <v>750</v>
      </c>
    </row>
    <row r="250" spans="1:6" s="1511" customFormat="1" ht="14.25" customHeight="1" thickBot="1">
      <c r="A250" s="1523" t="s">
        <v>1546</v>
      </c>
      <c r="B250" s="1517" t="s">
        <v>1260</v>
      </c>
      <c r="C250" s="1517">
        <v>4060</v>
      </c>
      <c r="D250" s="1517">
        <v>4000</v>
      </c>
      <c r="E250" s="1517">
        <v>4140</v>
      </c>
      <c r="F250" s="1531">
        <v>790</v>
      </c>
    </row>
    <row r="251" spans="1:6" s="1511" customFormat="1" ht="14.25" customHeight="1" thickBot="1">
      <c r="A251" s="1523" t="s">
        <v>1546</v>
      </c>
      <c r="B251" s="1517" t="s">
        <v>1271</v>
      </c>
      <c r="C251" s="1517">
        <v>3990</v>
      </c>
      <c r="D251" s="1517">
        <v>3970</v>
      </c>
      <c r="E251" s="1517">
        <v>4110</v>
      </c>
      <c r="F251" s="1531">
        <v>730</v>
      </c>
    </row>
    <row r="252" spans="1:6" s="1511" customFormat="1" ht="14.25" customHeight="1" thickBot="1">
      <c r="A252" s="1523" t="s">
        <v>1546</v>
      </c>
      <c r="B252" s="1517" t="s">
        <v>1282</v>
      </c>
      <c r="C252" s="1517">
        <v>3560</v>
      </c>
      <c r="D252" s="1517">
        <v>3530</v>
      </c>
      <c r="E252" s="1517">
        <v>3650</v>
      </c>
      <c r="F252" s="1531">
        <v>750</v>
      </c>
    </row>
    <row r="253" spans="1:6" s="1511" customFormat="1" ht="14.25" customHeight="1" thickBot="1">
      <c r="A253" s="1523" t="s">
        <v>1546</v>
      </c>
      <c r="B253" s="1517" t="s">
        <v>1294</v>
      </c>
      <c r="C253" s="1517">
        <v>3780</v>
      </c>
      <c r="D253" s="1517">
        <v>3750</v>
      </c>
      <c r="E253" s="1517">
        <v>3870</v>
      </c>
      <c r="F253" s="1531">
        <v>770</v>
      </c>
    </row>
    <row r="254" spans="1:6" s="1511" customFormat="1" ht="14.25" customHeight="1" thickBot="1">
      <c r="A254" s="1523" t="s">
        <v>1546</v>
      </c>
      <c r="B254" s="1517" t="s">
        <v>1304</v>
      </c>
      <c r="C254" s="1536"/>
      <c r="D254" s="1536"/>
      <c r="E254" s="1536"/>
      <c r="F254" s="1531">
        <v>740</v>
      </c>
    </row>
    <row r="255" spans="1:6" s="1511" customFormat="1" ht="14.25" customHeight="1" thickBot="1">
      <c r="A255" s="1523" t="s">
        <v>1546</v>
      </c>
      <c r="B255" s="1517" t="s">
        <v>1314</v>
      </c>
      <c r="C255" s="1536"/>
      <c r="D255" s="1536"/>
      <c r="E255" s="1536"/>
      <c r="F255" s="1531">
        <v>760</v>
      </c>
    </row>
    <row r="256" spans="1:6" s="1511" customFormat="1" ht="14.25" customHeight="1" thickBot="1">
      <c r="A256" s="1523" t="s">
        <v>1546</v>
      </c>
      <c r="B256" s="1517" t="s">
        <v>1324</v>
      </c>
      <c r="C256" s="1517">
        <v>3760</v>
      </c>
      <c r="D256" s="1517">
        <v>3730</v>
      </c>
      <c r="E256" s="1517">
        <v>3870</v>
      </c>
      <c r="F256" s="1531">
        <v>830</v>
      </c>
    </row>
    <row r="257" spans="1:6" s="1511" customFormat="1" ht="14.25" customHeight="1" thickBot="1">
      <c r="A257" s="1523" t="s">
        <v>1546</v>
      </c>
      <c r="B257" s="1517" t="s">
        <v>1334</v>
      </c>
      <c r="C257" s="1517">
        <v>3570</v>
      </c>
      <c r="D257" s="1517">
        <v>3540</v>
      </c>
      <c r="E257" s="1517">
        <v>3650</v>
      </c>
      <c r="F257" s="1531">
        <v>790</v>
      </c>
    </row>
    <row r="258" spans="1:6" s="1511" customFormat="1" ht="14.25" customHeight="1" thickBot="1">
      <c r="A258" s="1523" t="s">
        <v>1546</v>
      </c>
      <c r="B258" s="1517" t="s">
        <v>1345</v>
      </c>
      <c r="C258" s="1517">
        <v>3410</v>
      </c>
      <c r="D258" s="1517">
        <v>3380</v>
      </c>
      <c r="E258" s="1517">
        <v>3500</v>
      </c>
      <c r="F258" s="1531">
        <v>830</v>
      </c>
    </row>
    <row r="259" spans="1:6" s="1511" customFormat="1" ht="14.25" customHeight="1" thickBot="1">
      <c r="A259" s="1523" t="s">
        <v>1546</v>
      </c>
      <c r="B259" s="1517" t="s">
        <v>1356</v>
      </c>
      <c r="C259" s="1517">
        <v>3870</v>
      </c>
      <c r="D259" s="1517">
        <v>3840</v>
      </c>
      <c r="E259" s="1517">
        <v>3970</v>
      </c>
      <c r="F259" s="1531">
        <v>830</v>
      </c>
    </row>
    <row r="260" spans="1:6" s="1511" customFormat="1" ht="14.25" customHeight="1" thickBot="1">
      <c r="A260" s="1523" t="s">
        <v>1546</v>
      </c>
      <c r="B260" s="1517" t="s">
        <v>1366</v>
      </c>
      <c r="C260" s="1517">
        <v>3700</v>
      </c>
      <c r="D260" s="1517">
        <v>3660</v>
      </c>
      <c r="E260" s="1517">
        <v>3810</v>
      </c>
      <c r="F260" s="1531">
        <v>790</v>
      </c>
    </row>
    <row r="261" spans="1:6" s="1511" customFormat="1" ht="14.25" customHeight="1" thickBot="1">
      <c r="A261" s="1523" t="s">
        <v>1546</v>
      </c>
      <c r="B261" s="1517" t="s">
        <v>1376</v>
      </c>
      <c r="C261" s="1517">
        <v>3470</v>
      </c>
      <c r="D261" s="1517">
        <v>3430</v>
      </c>
      <c r="E261" s="1517">
        <v>3640</v>
      </c>
      <c r="F261" s="1531">
        <v>760</v>
      </c>
    </row>
    <row r="262" spans="1:6" s="1511" customFormat="1" ht="14.25" customHeight="1" thickBot="1">
      <c r="A262" s="1523" t="s">
        <v>1546</v>
      </c>
      <c r="B262" s="1517" t="s">
        <v>1386</v>
      </c>
      <c r="C262" s="1517">
        <v>3510</v>
      </c>
      <c r="D262" s="1517">
        <v>3470</v>
      </c>
      <c r="E262" s="1517">
        <v>3680</v>
      </c>
      <c r="F262" s="1535"/>
    </row>
    <row r="263" spans="1:6" s="1511" customFormat="1" ht="14.25" customHeight="1" thickBot="1">
      <c r="A263" s="1523" t="s">
        <v>1546</v>
      </c>
      <c r="B263" s="1517" t="s">
        <v>1396</v>
      </c>
      <c r="C263" s="1517">
        <v>3960</v>
      </c>
      <c r="D263" s="1517">
        <v>3930</v>
      </c>
      <c r="E263" s="1517">
        <v>4070</v>
      </c>
      <c r="F263" s="1531">
        <v>830</v>
      </c>
    </row>
    <row r="264" spans="1:6" s="1511" customFormat="1" ht="14.25" customHeight="1" thickBot="1">
      <c r="A264" s="1523" t="s">
        <v>1546</v>
      </c>
      <c r="B264" s="1517" t="s">
        <v>1405</v>
      </c>
      <c r="C264" s="1517">
        <v>4010</v>
      </c>
      <c r="D264" s="1517">
        <v>3980</v>
      </c>
      <c r="E264" s="1517">
        <v>4150</v>
      </c>
      <c r="F264" s="1531">
        <v>760</v>
      </c>
    </row>
    <row r="265" spans="1:6" s="1511" customFormat="1" ht="14.25" customHeight="1" thickBot="1">
      <c r="A265" s="1523" t="s">
        <v>1546</v>
      </c>
      <c r="B265" s="1517" t="s">
        <v>1414</v>
      </c>
      <c r="C265" s="1517">
        <v>3910</v>
      </c>
      <c r="D265" s="1517">
        <v>3890</v>
      </c>
      <c r="E265" s="1517">
        <v>4040</v>
      </c>
      <c r="F265" s="1531">
        <v>780</v>
      </c>
    </row>
    <row r="266" spans="1:6" s="1511" customFormat="1" ht="14.25" customHeight="1" thickBot="1">
      <c r="A266" s="1523" t="s">
        <v>1546</v>
      </c>
      <c r="B266" s="1517" t="s">
        <v>1422</v>
      </c>
      <c r="C266" s="1517">
        <v>3930</v>
      </c>
      <c r="D266" s="1517">
        <v>3900</v>
      </c>
      <c r="E266" s="1517">
        <v>4080</v>
      </c>
      <c r="F266" s="1531">
        <v>770</v>
      </c>
    </row>
    <row r="267" spans="1:6" s="1511" customFormat="1" ht="14.25" customHeight="1" thickBot="1">
      <c r="A267" s="1523" t="s">
        <v>1546</v>
      </c>
      <c r="B267" s="1517" t="s">
        <v>1429</v>
      </c>
      <c r="C267" s="1517">
        <v>3800</v>
      </c>
      <c r="D267" s="1517">
        <v>3780</v>
      </c>
      <c r="E267" s="1517">
        <v>3930</v>
      </c>
      <c r="F267" s="1535"/>
    </row>
    <row r="268" spans="1:6" s="1511" customFormat="1" ht="14.25" customHeight="1" thickBot="1">
      <c r="A268" s="1523" t="s">
        <v>1546</v>
      </c>
      <c r="B268" s="1517" t="s">
        <v>1436</v>
      </c>
      <c r="C268" s="1517">
        <v>3460</v>
      </c>
      <c r="D268" s="1517">
        <v>3430</v>
      </c>
      <c r="E268" s="1517">
        <v>3560</v>
      </c>
      <c r="F268" s="1531">
        <v>840</v>
      </c>
    </row>
    <row r="269" spans="1:6" s="1511" customFormat="1" ht="14.25" customHeight="1" thickBot="1">
      <c r="A269" s="1523" t="s">
        <v>1546</v>
      </c>
      <c r="B269" s="1517" t="s">
        <v>1443</v>
      </c>
      <c r="C269" s="1517">
        <v>3210</v>
      </c>
      <c r="D269" s="1517">
        <v>3190</v>
      </c>
      <c r="E269" s="1517">
        <v>3310</v>
      </c>
      <c r="F269" s="1531">
        <v>730</v>
      </c>
    </row>
    <row r="270" spans="1:6" s="1511" customFormat="1" ht="14.25" customHeight="1" thickBot="1">
      <c r="A270" s="1523" t="s">
        <v>1546</v>
      </c>
      <c r="B270" s="1517" t="s">
        <v>1450</v>
      </c>
      <c r="C270" s="1517">
        <v>3240</v>
      </c>
      <c r="D270" s="1517">
        <v>3210</v>
      </c>
      <c r="E270" s="1517">
        <v>3390</v>
      </c>
      <c r="F270" s="1531">
        <v>820</v>
      </c>
    </row>
    <row r="271" spans="1:6" s="1511" customFormat="1" ht="14.25" customHeight="1" thickBot="1">
      <c r="A271" s="1523" t="s">
        <v>1546</v>
      </c>
      <c r="B271" s="1517" t="s">
        <v>1457</v>
      </c>
      <c r="C271" s="1517">
        <v>3300</v>
      </c>
      <c r="D271" s="1517">
        <v>3270</v>
      </c>
      <c r="E271" s="1517">
        <v>3380</v>
      </c>
      <c r="F271" s="1531">
        <v>750</v>
      </c>
    </row>
    <row r="272" spans="1:6" s="1511" customFormat="1" ht="14.25" customHeight="1" thickBot="1">
      <c r="A272" s="1523" t="s">
        <v>1546</v>
      </c>
      <c r="B272" s="1517" t="s">
        <v>1464</v>
      </c>
      <c r="C272" s="1536"/>
      <c r="D272" s="1536"/>
      <c r="E272" s="1536"/>
      <c r="F272" s="1531">
        <v>740</v>
      </c>
    </row>
    <row r="273" spans="1:6" s="1511" customFormat="1" ht="14.25" customHeight="1" thickBot="1">
      <c r="A273" s="1523" t="s">
        <v>1546</v>
      </c>
      <c r="B273" s="1517" t="s">
        <v>1468</v>
      </c>
      <c r="C273" s="1517">
        <v>3130</v>
      </c>
      <c r="D273" s="1517">
        <v>3100</v>
      </c>
      <c r="E273" s="1517">
        <v>3230</v>
      </c>
      <c r="F273" s="1531">
        <v>700</v>
      </c>
    </row>
    <row r="274" spans="1:6" s="1511" customFormat="1" ht="14.25" customHeight="1" thickBot="1">
      <c r="A274" s="1523" t="s">
        <v>1546</v>
      </c>
      <c r="B274" s="1517" t="s">
        <v>1473</v>
      </c>
      <c r="C274" s="1517">
        <v>3460</v>
      </c>
      <c r="D274" s="1517">
        <v>3430</v>
      </c>
      <c r="E274" s="1517">
        <v>3560</v>
      </c>
      <c r="F274" s="1531">
        <v>690</v>
      </c>
    </row>
    <row r="275" spans="1:6" s="1511" customFormat="1" ht="14.25" customHeight="1" thickBot="1">
      <c r="A275" s="1523" t="s">
        <v>1546</v>
      </c>
      <c r="B275" s="1517" t="s">
        <v>1478</v>
      </c>
      <c r="C275" s="1517">
        <v>4040</v>
      </c>
      <c r="D275" s="1517">
        <v>4020</v>
      </c>
      <c r="E275" s="1517">
        <v>4160</v>
      </c>
      <c r="F275" s="1531">
        <v>820</v>
      </c>
    </row>
    <row r="276" spans="1:6" s="1511" customFormat="1" ht="14.25" customHeight="1" thickBot="1">
      <c r="A276" s="1523" t="s">
        <v>1546</v>
      </c>
      <c r="B276" s="1517" t="s">
        <v>1483</v>
      </c>
      <c r="C276" s="1517">
        <v>3270</v>
      </c>
      <c r="D276" s="1517">
        <v>3240</v>
      </c>
      <c r="E276" s="1517">
        <v>3350</v>
      </c>
      <c r="F276" s="1531">
        <v>680</v>
      </c>
    </row>
    <row r="277" spans="1:6" s="1511" customFormat="1" ht="14.25" customHeight="1" thickBot="1">
      <c r="A277" s="1523" t="s">
        <v>1546</v>
      </c>
      <c r="B277" s="1517" t="s">
        <v>1488</v>
      </c>
      <c r="C277" s="1517">
        <v>2930</v>
      </c>
      <c r="D277" s="1517">
        <v>2900</v>
      </c>
      <c r="E277" s="1517">
        <v>3000</v>
      </c>
      <c r="F277" s="1531">
        <v>640</v>
      </c>
    </row>
    <row r="278" spans="1:6" s="1511" customFormat="1" ht="14.25" customHeight="1" thickBot="1">
      <c r="A278" s="1523" t="s">
        <v>1546</v>
      </c>
      <c r="B278" s="1517" t="s">
        <v>1493</v>
      </c>
      <c r="C278" s="1517">
        <v>4080</v>
      </c>
      <c r="D278" s="1517">
        <v>4030</v>
      </c>
      <c r="E278" s="1517">
        <v>4140</v>
      </c>
      <c r="F278" s="1531">
        <v>850</v>
      </c>
    </row>
    <row r="279" spans="1:6" s="1511" customFormat="1" ht="14.25" customHeight="1" thickBot="1">
      <c r="A279" s="1523" t="s">
        <v>1546</v>
      </c>
      <c r="B279" s="1517" t="s">
        <v>1497</v>
      </c>
      <c r="C279" s="1517"/>
      <c r="D279" s="1517"/>
      <c r="E279" s="1517"/>
      <c r="F279" s="1531">
        <v>760</v>
      </c>
    </row>
    <row r="280" spans="1:6" s="1511" customFormat="1" ht="14.25" customHeight="1" thickBot="1">
      <c r="A280" s="1523" t="s">
        <v>1546</v>
      </c>
      <c r="B280" s="1517" t="s">
        <v>1501</v>
      </c>
      <c r="C280" s="1517"/>
      <c r="D280" s="1517"/>
      <c r="E280" s="1517"/>
      <c r="F280" s="1531">
        <v>760</v>
      </c>
    </row>
    <row r="281" spans="1:6" s="1511" customFormat="1" ht="14.25" customHeight="1" thickBot="1">
      <c r="A281" s="1523" t="s">
        <v>1546</v>
      </c>
      <c r="B281" s="1517" t="s">
        <v>1505</v>
      </c>
      <c r="C281" s="1517"/>
      <c r="D281" s="1517"/>
      <c r="E281" s="1517"/>
      <c r="F281" s="1531">
        <v>780</v>
      </c>
    </row>
    <row r="282" spans="1:6" s="1511" customFormat="1" ht="14.25" customHeight="1" thickBot="1">
      <c r="A282" s="1523" t="s">
        <v>1546</v>
      </c>
      <c r="B282" s="1517" t="s">
        <v>1509</v>
      </c>
      <c r="C282" s="1517"/>
      <c r="D282" s="1517"/>
      <c r="E282" s="1517"/>
      <c r="F282" s="1531">
        <v>730</v>
      </c>
    </row>
    <row r="283" spans="1:6" s="1511" customFormat="1" ht="14.25" customHeight="1" thickBot="1">
      <c r="A283" s="1523" t="s">
        <v>1546</v>
      </c>
      <c r="B283" s="1517" t="s">
        <v>1513</v>
      </c>
      <c r="C283" s="1517"/>
      <c r="D283" s="1517"/>
      <c r="E283" s="1517"/>
      <c r="F283" s="1531">
        <v>770</v>
      </c>
    </row>
    <row r="284" spans="1:6" s="1511" customFormat="1" ht="14.25" customHeight="1" thickBot="1">
      <c r="A284" s="1523" t="s">
        <v>1546</v>
      </c>
      <c r="B284" s="1517" t="s">
        <v>1516</v>
      </c>
      <c r="C284" s="1517"/>
      <c r="D284" s="1517"/>
      <c r="E284" s="1517"/>
      <c r="F284" s="1531">
        <v>640</v>
      </c>
    </row>
    <row r="285" spans="1:6" s="1511" customFormat="1" ht="14.25" customHeight="1" thickBot="1">
      <c r="A285" s="1523" t="s">
        <v>1546</v>
      </c>
      <c r="B285" s="1517" t="s">
        <v>1519</v>
      </c>
      <c r="C285" s="1517"/>
      <c r="D285" s="1517"/>
      <c r="E285" s="1517"/>
      <c r="F285" s="1531">
        <v>640</v>
      </c>
    </row>
    <row r="286" spans="1:6" s="1511" customFormat="1" ht="14.25" customHeight="1" thickBot="1">
      <c r="A286" s="1523" t="s">
        <v>1546</v>
      </c>
      <c r="B286" s="1517" t="s">
        <v>1522</v>
      </c>
      <c r="C286" s="1517"/>
      <c r="D286" s="1517"/>
      <c r="E286" s="1517"/>
      <c r="F286" s="1531">
        <v>850</v>
      </c>
    </row>
    <row r="287" spans="1:6" s="1511" customFormat="1" ht="14.25" customHeight="1" thickBot="1">
      <c r="A287" s="1523" t="s">
        <v>1546</v>
      </c>
      <c r="B287" s="1517" t="s">
        <v>1525</v>
      </c>
      <c r="C287" s="1517"/>
      <c r="D287" s="1517"/>
      <c r="E287" s="1517"/>
      <c r="F287" s="1531">
        <v>760</v>
      </c>
    </row>
    <row r="288" spans="1:6" s="1511" customFormat="1" ht="14.25" customHeight="1" thickBot="1">
      <c r="A288" s="1523" t="s">
        <v>1546</v>
      </c>
      <c r="B288" s="1517" t="s">
        <v>1528</v>
      </c>
      <c r="C288" s="1517"/>
      <c r="D288" s="1517"/>
      <c r="E288" s="1517"/>
      <c r="F288" s="1531">
        <v>830</v>
      </c>
    </row>
    <row r="289" spans="1:6" s="1511" customFormat="1" ht="14.25" customHeight="1" thickBot="1">
      <c r="A289" s="1523" t="s">
        <v>1546</v>
      </c>
      <c r="B289" s="1529" t="s">
        <v>1531</v>
      </c>
      <c r="C289" s="1529"/>
      <c r="D289" s="1529"/>
      <c r="E289" s="1529"/>
      <c r="F289" s="1534">
        <v>680</v>
      </c>
    </row>
    <row r="290" spans="1:6" s="1511" customFormat="1" ht="14.25" customHeight="1" thickBot="1">
      <c r="A290" s="1523" t="s">
        <v>1550</v>
      </c>
      <c r="B290" s="1524" t="s">
        <v>1551</v>
      </c>
      <c r="C290" s="1524">
        <v>2770</v>
      </c>
      <c r="D290" s="1524">
        <v>2740</v>
      </c>
      <c r="E290" s="1524">
        <v>2720</v>
      </c>
      <c r="F290" s="1537"/>
    </row>
    <row r="291" spans="1:6" s="1511" customFormat="1" ht="14.25" customHeight="1" thickBot="1">
      <c r="A291" s="1523" t="s">
        <v>1550</v>
      </c>
      <c r="B291" s="1517" t="s">
        <v>1212</v>
      </c>
      <c r="C291" s="1517">
        <v>2670</v>
      </c>
      <c r="D291" s="1517">
        <v>2640</v>
      </c>
      <c r="E291" s="1517">
        <v>2620</v>
      </c>
      <c r="F291" s="1535"/>
    </row>
    <row r="292" spans="1:6" s="1511" customFormat="1" ht="14.25" customHeight="1" thickBot="1">
      <c r="A292" s="1523" t="s">
        <v>1550</v>
      </c>
      <c r="B292" s="1517" t="s">
        <v>1552</v>
      </c>
      <c r="C292" s="1517">
        <v>2180</v>
      </c>
      <c r="D292" s="1517">
        <v>2140</v>
      </c>
      <c r="E292" s="1517">
        <v>2120</v>
      </c>
      <c r="F292" s="1531">
        <v>490</v>
      </c>
    </row>
    <row r="293" spans="1:6" s="1511" customFormat="1" ht="14.25" customHeight="1" thickBot="1">
      <c r="A293" s="1523" t="s">
        <v>1550</v>
      </c>
      <c r="B293" s="1517" t="s">
        <v>1553</v>
      </c>
      <c r="C293" s="1517"/>
      <c r="D293" s="1517"/>
      <c r="E293" s="1517"/>
      <c r="F293" s="1531">
        <v>470</v>
      </c>
    </row>
    <row r="294" spans="1:6" s="1511" customFormat="1" ht="14.25" customHeight="1" thickBot="1">
      <c r="A294" s="1523" t="s">
        <v>1550</v>
      </c>
      <c r="B294" s="1517" t="s">
        <v>1554</v>
      </c>
      <c r="C294" s="1517">
        <v>2730</v>
      </c>
      <c r="D294" s="1517">
        <v>2700</v>
      </c>
      <c r="E294" s="1517">
        <v>2680</v>
      </c>
      <c r="F294" s="1531">
        <v>490</v>
      </c>
    </row>
    <row r="295" spans="1:6" s="1511" customFormat="1" ht="14.25" customHeight="1" thickBot="1">
      <c r="A295" s="1523" t="s">
        <v>1550</v>
      </c>
      <c r="B295" s="1517" t="s">
        <v>1250</v>
      </c>
      <c r="C295" s="1517">
        <v>2380</v>
      </c>
      <c r="D295" s="1517">
        <v>2350</v>
      </c>
      <c r="E295" s="1517">
        <v>2330</v>
      </c>
      <c r="F295" s="1531">
        <v>530</v>
      </c>
    </row>
    <row r="296" spans="1:6" s="1511" customFormat="1" ht="14.25" customHeight="1" thickBot="1">
      <c r="A296" s="1523" t="s">
        <v>1550</v>
      </c>
      <c r="B296" s="1517" t="s">
        <v>1261</v>
      </c>
      <c r="C296" s="1517">
        <v>2650</v>
      </c>
      <c r="D296" s="1517">
        <v>2620</v>
      </c>
      <c r="E296" s="1517">
        <v>2590</v>
      </c>
      <c r="F296" s="1531">
        <v>590</v>
      </c>
    </row>
    <row r="297" spans="1:6" s="1511" customFormat="1" ht="14.25" customHeight="1" thickBot="1">
      <c r="A297" s="1523" t="s">
        <v>1550</v>
      </c>
      <c r="B297" s="1517" t="s">
        <v>1272</v>
      </c>
      <c r="C297" s="1517">
        <v>2700</v>
      </c>
      <c r="D297" s="1517">
        <v>2670</v>
      </c>
      <c r="E297" s="1517">
        <v>2650</v>
      </c>
      <c r="F297" s="1531">
        <v>630</v>
      </c>
    </row>
    <row r="298" spans="1:6" s="1511" customFormat="1" ht="14.25" customHeight="1" thickBot="1">
      <c r="A298" s="1523" t="s">
        <v>1550</v>
      </c>
      <c r="B298" s="1517" t="s">
        <v>1283</v>
      </c>
      <c r="C298" s="1517">
        <v>2650</v>
      </c>
      <c r="D298" s="1517">
        <v>2620</v>
      </c>
      <c r="E298" s="1517">
        <v>2590</v>
      </c>
      <c r="F298" s="1531">
        <v>640</v>
      </c>
    </row>
    <row r="299" spans="1:6" s="1511" customFormat="1" ht="14.25" customHeight="1" thickBot="1">
      <c r="A299" s="1523" t="s">
        <v>1550</v>
      </c>
      <c r="B299" s="1517" t="s">
        <v>1295</v>
      </c>
      <c r="C299" s="1517">
        <v>2500</v>
      </c>
      <c r="D299" s="1517">
        <v>2480</v>
      </c>
      <c r="E299" s="1517">
        <v>2460</v>
      </c>
      <c r="F299" s="1535"/>
    </row>
    <row r="300" spans="1:6" s="1511" customFormat="1" ht="14.25" customHeight="1" thickBot="1">
      <c r="A300" s="1523" t="s">
        <v>1550</v>
      </c>
      <c r="B300" s="1517" t="s">
        <v>1305</v>
      </c>
      <c r="C300" s="1517">
        <v>2760</v>
      </c>
      <c r="D300" s="1517">
        <v>2730</v>
      </c>
      <c r="E300" s="1517">
        <v>2700</v>
      </c>
      <c r="F300" s="1531">
        <v>630</v>
      </c>
    </row>
    <row r="301" spans="1:6" s="1511" customFormat="1" ht="14.25" customHeight="1" thickBot="1">
      <c r="A301" s="1523" t="s">
        <v>1550</v>
      </c>
      <c r="B301" s="1517" t="s">
        <v>1315</v>
      </c>
      <c r="C301" s="1517">
        <v>2510</v>
      </c>
      <c r="D301" s="1517">
        <v>2480</v>
      </c>
      <c r="E301" s="1517">
        <v>2460</v>
      </c>
      <c r="F301" s="1535"/>
    </row>
    <row r="302" spans="1:6" s="1511" customFormat="1" ht="14.25" customHeight="1" thickBot="1">
      <c r="A302" s="1523" t="s">
        <v>1550</v>
      </c>
      <c r="B302" s="1517" t="s">
        <v>1325</v>
      </c>
      <c r="C302" s="1517">
        <v>2480</v>
      </c>
      <c r="D302" s="1517">
        <v>2450</v>
      </c>
      <c r="E302" s="1517">
        <v>2420</v>
      </c>
      <c r="F302" s="1531">
        <v>600</v>
      </c>
    </row>
    <row r="303" spans="1:6" s="1511" customFormat="1" ht="14.25" customHeight="1" thickBot="1">
      <c r="A303" s="1523" t="s">
        <v>1550</v>
      </c>
      <c r="B303" s="1517" t="s">
        <v>1335</v>
      </c>
      <c r="C303" s="1517">
        <v>2270</v>
      </c>
      <c r="D303" s="1517">
        <v>2240</v>
      </c>
      <c r="E303" s="1517">
        <v>2210</v>
      </c>
      <c r="F303" s="1531">
        <v>540</v>
      </c>
    </row>
    <row r="304" spans="1:6" s="1511" customFormat="1" ht="14.25" customHeight="1" thickBot="1">
      <c r="A304" s="1523" t="s">
        <v>1550</v>
      </c>
      <c r="B304" s="1517" t="s">
        <v>1346</v>
      </c>
      <c r="C304" s="1517">
        <v>2310</v>
      </c>
      <c r="D304" s="1517">
        <v>2290</v>
      </c>
      <c r="E304" s="1517">
        <v>2270</v>
      </c>
      <c r="F304" s="1535"/>
    </row>
    <row r="305" spans="1:6" s="1511" customFormat="1" ht="14.25" customHeight="1" thickBot="1">
      <c r="A305" s="1523" t="s">
        <v>1550</v>
      </c>
      <c r="B305" s="1517" t="s">
        <v>1357</v>
      </c>
      <c r="C305" s="1517">
        <v>2490</v>
      </c>
      <c r="D305" s="1517">
        <v>2470</v>
      </c>
      <c r="E305" s="1517">
        <v>2440</v>
      </c>
      <c r="F305" s="1531">
        <v>560</v>
      </c>
    </row>
    <row r="306" spans="1:6" s="1511" customFormat="1" ht="14.25" customHeight="1" thickBot="1">
      <c r="A306" s="1523" t="s">
        <v>1550</v>
      </c>
      <c r="B306" s="1517" t="s">
        <v>1367</v>
      </c>
      <c r="C306" s="1517">
        <v>2420</v>
      </c>
      <c r="D306" s="1517">
        <v>2400</v>
      </c>
      <c r="E306" s="1517">
        <v>2380</v>
      </c>
      <c r="F306" s="1535"/>
    </row>
    <row r="307" spans="1:6" s="1511" customFormat="1" ht="14.25" customHeight="1" thickBot="1">
      <c r="A307" s="1523" t="s">
        <v>1550</v>
      </c>
      <c r="B307" s="1517" t="s">
        <v>1377</v>
      </c>
      <c r="C307" s="1517">
        <v>2770</v>
      </c>
      <c r="D307" s="1517">
        <v>2740</v>
      </c>
      <c r="E307" s="1517">
        <v>2710</v>
      </c>
      <c r="F307" s="1531">
        <v>650</v>
      </c>
    </row>
    <row r="308" spans="1:6" s="1511" customFormat="1" ht="14.25" customHeight="1" thickBot="1">
      <c r="A308" s="1523" t="s">
        <v>1550</v>
      </c>
      <c r="B308" s="1517" t="s">
        <v>1387</v>
      </c>
      <c r="C308" s="1517">
        <v>2610</v>
      </c>
      <c r="D308" s="1517">
        <v>2580</v>
      </c>
      <c r="E308" s="1517">
        <v>2550</v>
      </c>
      <c r="F308" s="1531">
        <v>580</v>
      </c>
    </row>
    <row r="309" spans="1:6" s="1511" customFormat="1" ht="14.25" customHeight="1" thickBot="1">
      <c r="A309" s="1523" t="s">
        <v>1550</v>
      </c>
      <c r="B309" s="1517" t="s">
        <v>1397</v>
      </c>
      <c r="C309" s="1517">
        <v>2690</v>
      </c>
      <c r="D309" s="1517">
        <v>2670</v>
      </c>
      <c r="E309" s="1517">
        <v>2650</v>
      </c>
      <c r="F309" s="1535"/>
    </row>
    <row r="310" spans="1:6" s="1511" customFormat="1" ht="14.25" customHeight="1" thickBot="1">
      <c r="A310" s="1523" t="s">
        <v>1550</v>
      </c>
      <c r="B310" s="1517" t="s">
        <v>1406</v>
      </c>
      <c r="C310" s="1517">
        <v>2360</v>
      </c>
      <c r="D310" s="1517">
        <v>2330</v>
      </c>
      <c r="E310" s="1517">
        <v>2310</v>
      </c>
      <c r="F310" s="1531">
        <v>560</v>
      </c>
    </row>
    <row r="311" spans="1:6" s="1511" customFormat="1" ht="14.25" customHeight="1" thickBot="1">
      <c r="A311" s="1523" t="s">
        <v>1550</v>
      </c>
      <c r="B311" s="1517" t="s">
        <v>1415</v>
      </c>
      <c r="C311" s="1517">
        <v>1970</v>
      </c>
      <c r="D311" s="1517">
        <v>1950</v>
      </c>
      <c r="E311" s="1517">
        <v>1920</v>
      </c>
      <c r="F311" s="1531">
        <v>470</v>
      </c>
    </row>
    <row r="312" spans="1:6" s="1511" customFormat="1" ht="14.25" customHeight="1" thickBot="1">
      <c r="A312" s="1523" t="s">
        <v>1550</v>
      </c>
      <c r="B312" s="1517" t="s">
        <v>1423</v>
      </c>
      <c r="C312" s="1517">
        <v>2230</v>
      </c>
      <c r="D312" s="1517">
        <v>2200</v>
      </c>
      <c r="E312" s="1517">
        <v>2170</v>
      </c>
      <c r="F312" s="1531">
        <v>460</v>
      </c>
    </row>
    <row r="313" spans="1:6" s="1511" customFormat="1" ht="14.25" customHeight="1" thickBot="1">
      <c r="A313" s="1523" t="s">
        <v>1550</v>
      </c>
      <c r="B313" s="1517" t="s">
        <v>1430</v>
      </c>
      <c r="C313" s="1517">
        <v>2770</v>
      </c>
      <c r="D313" s="1517">
        <v>2740</v>
      </c>
      <c r="E313" s="1517">
        <v>2710</v>
      </c>
      <c r="F313" s="1531">
        <v>610</v>
      </c>
    </row>
    <row r="314" spans="1:6" s="1511" customFormat="1" ht="14.25" customHeight="1" thickBot="1">
      <c r="A314" s="1523" t="s">
        <v>1550</v>
      </c>
      <c r="B314" s="1517" t="s">
        <v>1437</v>
      </c>
      <c r="C314" s="1517"/>
      <c r="D314" s="1517"/>
      <c r="E314" s="1517"/>
      <c r="F314" s="1531">
        <v>490</v>
      </c>
    </row>
    <row r="315" spans="1:6" s="1511" customFormat="1" ht="14.25" customHeight="1" thickBot="1">
      <c r="A315" s="1523" t="s">
        <v>1550</v>
      </c>
      <c r="B315" s="1517" t="s">
        <v>1444</v>
      </c>
      <c r="C315" s="1517"/>
      <c r="D315" s="1517"/>
      <c r="E315" s="1517"/>
      <c r="F315" s="1531">
        <v>520</v>
      </c>
    </row>
    <row r="316" spans="1:6" s="1511" customFormat="1" ht="14.25" customHeight="1" thickBot="1">
      <c r="A316" s="1523" t="s">
        <v>1550</v>
      </c>
      <c r="B316" s="1529" t="s">
        <v>1451</v>
      </c>
      <c r="C316" s="1529"/>
      <c r="D316" s="1529"/>
      <c r="E316" s="1529"/>
      <c r="F316" s="1534">
        <v>460</v>
      </c>
    </row>
    <row r="317" spans="1:6" s="1511" customFormat="1" ht="14.25" customHeight="1" thickBot="1">
      <c r="A317" s="1523" t="s">
        <v>1337</v>
      </c>
      <c r="B317" s="1524" t="s">
        <v>1555</v>
      </c>
      <c r="C317" s="1524">
        <v>1200</v>
      </c>
      <c r="D317" s="1524">
        <v>1180</v>
      </c>
      <c r="E317" s="1524">
        <v>1160</v>
      </c>
      <c r="F317" s="1525">
        <v>370</v>
      </c>
    </row>
    <row r="318" spans="1:6" s="1511" customFormat="1" ht="14.25" customHeight="1" thickBot="1">
      <c r="A318" s="1523" t="s">
        <v>1337</v>
      </c>
      <c r="B318" s="1517" t="s">
        <v>1556</v>
      </c>
      <c r="C318" s="1517">
        <v>1090</v>
      </c>
      <c r="D318" s="1517">
        <v>1060</v>
      </c>
      <c r="E318" s="1517">
        <v>1040</v>
      </c>
      <c r="F318" s="1535"/>
    </row>
    <row r="319" spans="1:6" s="1511" customFormat="1" ht="14.25" customHeight="1" thickBot="1">
      <c r="A319" s="1523" t="s">
        <v>1337</v>
      </c>
      <c r="B319" s="1517" t="s">
        <v>1557</v>
      </c>
      <c r="C319" s="1517">
        <v>1520</v>
      </c>
      <c r="D319" s="1517">
        <v>1470</v>
      </c>
      <c r="E319" s="1517">
        <v>1440</v>
      </c>
      <c r="F319" s="1531">
        <v>370</v>
      </c>
    </row>
    <row r="320" spans="1:6" s="1511" customFormat="1" ht="14.25" customHeight="1" thickBot="1">
      <c r="A320" s="1523" t="s">
        <v>1337</v>
      </c>
      <c r="B320" s="1517" t="s">
        <v>1239</v>
      </c>
      <c r="C320" s="1517">
        <v>1360</v>
      </c>
      <c r="D320" s="1517">
        <v>1300</v>
      </c>
      <c r="E320" s="1517">
        <v>1270</v>
      </c>
      <c r="F320" s="1535"/>
    </row>
    <row r="321" spans="1:6" s="1511" customFormat="1" ht="14.25" customHeight="1" thickBot="1">
      <c r="A321" s="1523" t="s">
        <v>1337</v>
      </c>
      <c r="B321" s="1517" t="s">
        <v>1251</v>
      </c>
      <c r="C321" s="1517">
        <v>1750</v>
      </c>
      <c r="D321" s="1517">
        <v>1690</v>
      </c>
      <c r="E321" s="1517">
        <v>1660</v>
      </c>
      <c r="F321" s="1535"/>
    </row>
    <row r="322" spans="1:6" s="1511" customFormat="1" ht="14.25" customHeight="1" thickBot="1">
      <c r="A322" s="1523" t="s">
        <v>1337</v>
      </c>
      <c r="B322" s="1517" t="s">
        <v>1262</v>
      </c>
      <c r="C322" s="1517">
        <v>1650</v>
      </c>
      <c r="D322" s="1517">
        <v>1610</v>
      </c>
      <c r="E322" s="1517">
        <v>1580</v>
      </c>
      <c r="F322" s="1531">
        <v>500</v>
      </c>
    </row>
    <row r="323" spans="1:6" s="1511" customFormat="1" ht="14.25" customHeight="1" thickBot="1">
      <c r="A323" s="1523" t="s">
        <v>1337</v>
      </c>
      <c r="B323" s="1517" t="s">
        <v>1273</v>
      </c>
      <c r="C323" s="1517">
        <v>1780</v>
      </c>
      <c r="D323" s="1517">
        <v>1740</v>
      </c>
      <c r="E323" s="1517">
        <v>1720</v>
      </c>
      <c r="F323" s="1535"/>
    </row>
    <row r="324" spans="1:6" s="1511" customFormat="1" ht="14.25" customHeight="1" thickBot="1">
      <c r="A324" s="1523" t="s">
        <v>1337</v>
      </c>
      <c r="B324" s="1517" t="s">
        <v>1284</v>
      </c>
      <c r="C324" s="1517">
        <v>1650</v>
      </c>
      <c r="D324" s="1517">
        <v>1610</v>
      </c>
      <c r="E324" s="1517">
        <v>1580</v>
      </c>
      <c r="F324" s="1535"/>
    </row>
    <row r="325" spans="1:6" s="1511" customFormat="1" ht="14.25" customHeight="1" thickBot="1">
      <c r="A325" s="1523" t="s">
        <v>1337</v>
      </c>
      <c r="B325" s="1517" t="s">
        <v>1296</v>
      </c>
      <c r="C325" s="1517">
        <v>1330</v>
      </c>
      <c r="D325" s="1517">
        <v>1270</v>
      </c>
      <c r="E325" s="1517">
        <v>1240</v>
      </c>
      <c r="F325" s="1531">
        <v>430</v>
      </c>
    </row>
    <row r="326" spans="1:6" s="1511" customFormat="1" ht="14.25" customHeight="1" thickBot="1">
      <c r="A326" s="1523" t="s">
        <v>1337</v>
      </c>
      <c r="B326" s="1517" t="s">
        <v>1306</v>
      </c>
      <c r="C326" s="1517">
        <v>1470</v>
      </c>
      <c r="D326" s="1517">
        <v>1430</v>
      </c>
      <c r="E326" s="1517">
        <v>1400</v>
      </c>
      <c r="F326" s="1535"/>
    </row>
    <row r="327" spans="1:6" s="1511" customFormat="1" ht="14.25" customHeight="1" thickBot="1">
      <c r="A327" s="1523" t="s">
        <v>1337</v>
      </c>
      <c r="B327" s="1517" t="s">
        <v>1316</v>
      </c>
      <c r="C327" s="1517">
        <v>1420</v>
      </c>
      <c r="D327" s="1517">
        <v>1380</v>
      </c>
      <c r="E327" s="1517">
        <v>1360</v>
      </c>
      <c r="F327" s="1531">
        <v>420</v>
      </c>
    </row>
    <row r="328" spans="1:6" s="1511" customFormat="1" ht="14.25" customHeight="1" thickBot="1">
      <c r="A328" s="1523" t="s">
        <v>1337</v>
      </c>
      <c r="B328" s="1517" t="s">
        <v>1326</v>
      </c>
      <c r="C328" s="1517">
        <v>1400</v>
      </c>
      <c r="D328" s="1517">
        <v>1360</v>
      </c>
      <c r="E328" s="1517">
        <v>1330</v>
      </c>
      <c r="F328" s="1531">
        <v>460</v>
      </c>
    </row>
    <row r="329" spans="1:6" s="1511" customFormat="1" ht="14.25" customHeight="1" thickBot="1">
      <c r="A329" s="1523" t="s">
        <v>1337</v>
      </c>
      <c r="B329" s="1517" t="s">
        <v>1336</v>
      </c>
      <c r="C329" s="1517">
        <v>1640</v>
      </c>
      <c r="D329" s="1517">
        <v>1610</v>
      </c>
      <c r="E329" s="1517">
        <v>1580</v>
      </c>
      <c r="F329" s="1531">
        <v>410</v>
      </c>
    </row>
    <row r="330" spans="1:6" s="1511" customFormat="1" ht="14.25" customHeight="1" thickBot="1">
      <c r="A330" s="1523" t="s">
        <v>1337</v>
      </c>
      <c r="B330" s="1517" t="s">
        <v>1347</v>
      </c>
      <c r="C330" s="1517">
        <v>1260</v>
      </c>
      <c r="D330" s="1517">
        <v>1220</v>
      </c>
      <c r="E330" s="1517">
        <v>1200</v>
      </c>
      <c r="F330" s="1535"/>
    </row>
    <row r="331" spans="1:6" s="1511" customFormat="1" ht="14.25" customHeight="1" thickBot="1">
      <c r="A331" s="1523" t="s">
        <v>1337</v>
      </c>
      <c r="B331" s="1517" t="s">
        <v>1358</v>
      </c>
      <c r="C331" s="1517">
        <v>1620</v>
      </c>
      <c r="D331" s="1517">
        <v>1560</v>
      </c>
      <c r="E331" s="1517">
        <v>1530</v>
      </c>
      <c r="F331" s="1531">
        <v>490</v>
      </c>
    </row>
    <row r="332" spans="1:6" s="1511" customFormat="1" ht="14.25" customHeight="1" thickBot="1">
      <c r="A332" s="1523" t="s">
        <v>1337</v>
      </c>
      <c r="B332" s="1517" t="s">
        <v>1368</v>
      </c>
      <c r="C332" s="1517">
        <v>1520</v>
      </c>
      <c r="D332" s="1517">
        <v>1470</v>
      </c>
      <c r="E332" s="1517">
        <v>1440</v>
      </c>
      <c r="F332" s="1531">
        <v>440</v>
      </c>
    </row>
    <row r="333" spans="1:6" s="1511" customFormat="1" ht="14.25" customHeight="1" thickBot="1">
      <c r="A333" s="1523" t="s">
        <v>1337</v>
      </c>
      <c r="B333" s="1517" t="s">
        <v>1378</v>
      </c>
      <c r="C333" s="1517">
        <v>1370</v>
      </c>
      <c r="D333" s="1517">
        <v>1320</v>
      </c>
      <c r="E333" s="1517">
        <v>1300</v>
      </c>
      <c r="F333" s="1531">
        <v>460</v>
      </c>
    </row>
    <row r="334" spans="1:6" s="1511" customFormat="1" ht="14.25" customHeight="1" thickBot="1">
      <c r="A334" s="1523" t="s">
        <v>1337</v>
      </c>
      <c r="B334" s="1517" t="s">
        <v>1388</v>
      </c>
      <c r="C334" s="1517">
        <v>1410</v>
      </c>
      <c r="D334" s="1517">
        <v>1340</v>
      </c>
      <c r="E334" s="1517">
        <v>1310</v>
      </c>
      <c r="F334" s="1531">
        <v>410</v>
      </c>
    </row>
    <row r="335" spans="1:6" s="1511" customFormat="1" ht="14.25" customHeight="1" thickBot="1">
      <c r="A335" s="1523" t="s">
        <v>1337</v>
      </c>
      <c r="B335" s="1517" t="s">
        <v>1398</v>
      </c>
      <c r="C335" s="1517">
        <v>1260</v>
      </c>
      <c r="D335" s="1517">
        <v>1220</v>
      </c>
      <c r="E335" s="1517">
        <v>1200</v>
      </c>
      <c r="F335" s="1535"/>
    </row>
    <row r="336" spans="1:6" s="1511" customFormat="1" ht="14.25" customHeight="1" thickBot="1">
      <c r="A336" s="1523" t="s">
        <v>1337</v>
      </c>
      <c r="B336" s="1517" t="s">
        <v>1407</v>
      </c>
      <c r="C336" s="1517">
        <v>1160</v>
      </c>
      <c r="D336" s="1517">
        <v>1140</v>
      </c>
      <c r="E336" s="1517">
        <v>1120</v>
      </c>
      <c r="F336" s="1531">
        <v>430</v>
      </c>
    </row>
    <row r="337" spans="1:6" s="1511" customFormat="1" ht="14.25" customHeight="1" thickBot="1">
      <c r="A337" s="1523" t="s">
        <v>1337</v>
      </c>
      <c r="B337" s="1529" t="s">
        <v>1416</v>
      </c>
      <c r="C337" s="1529"/>
      <c r="D337" s="1529"/>
      <c r="E337" s="1529"/>
      <c r="F337" s="1534">
        <v>380</v>
      </c>
    </row>
    <row r="338" spans="1:6" s="1511" customFormat="1" ht="14.25" customHeight="1" thickBot="1">
      <c r="A338" s="1523" t="s">
        <v>1348</v>
      </c>
      <c r="B338" s="1524" t="s">
        <v>1558</v>
      </c>
      <c r="C338" s="1524">
        <v>880</v>
      </c>
      <c r="D338" s="1524">
        <v>850</v>
      </c>
      <c r="E338" s="1524">
        <v>830</v>
      </c>
      <c r="F338" s="1537"/>
    </row>
    <row r="339" spans="1:6" s="1511" customFormat="1" ht="14.25" customHeight="1" thickBot="1">
      <c r="A339" s="1523" t="s">
        <v>1348</v>
      </c>
      <c r="B339" s="1517" t="s">
        <v>1559</v>
      </c>
      <c r="C339" s="1517">
        <v>830</v>
      </c>
      <c r="D339" s="1517">
        <v>800</v>
      </c>
      <c r="E339" s="1517">
        <v>780</v>
      </c>
      <c r="F339" s="1535"/>
    </row>
    <row r="340" spans="1:6" s="1511" customFormat="1" ht="14.25" customHeight="1" thickBot="1">
      <c r="A340" s="1523" t="s">
        <v>1348</v>
      </c>
      <c r="B340" s="1517" t="s">
        <v>1560</v>
      </c>
      <c r="C340" s="1517">
        <v>980</v>
      </c>
      <c r="D340" s="1517">
        <v>950</v>
      </c>
      <c r="E340" s="1517">
        <v>920</v>
      </c>
      <c r="F340" s="1535"/>
    </row>
    <row r="341" spans="1:6" s="1511" customFormat="1" ht="14.25" customHeight="1" thickBot="1">
      <c r="A341" s="1523" t="s">
        <v>1348</v>
      </c>
      <c r="B341" s="1517" t="s">
        <v>1561</v>
      </c>
      <c r="C341" s="1517">
        <v>760</v>
      </c>
      <c r="D341" s="1517">
        <v>720</v>
      </c>
      <c r="E341" s="1517">
        <v>690</v>
      </c>
      <c r="F341" s="1531">
        <v>350</v>
      </c>
    </row>
    <row r="342" spans="1:6" s="1511" customFormat="1" ht="14.25" customHeight="1" thickBot="1">
      <c r="A342" s="1523" t="s">
        <v>1348</v>
      </c>
      <c r="B342" s="1517" t="s">
        <v>1252</v>
      </c>
      <c r="C342" s="1517">
        <v>910</v>
      </c>
      <c r="D342" s="1517">
        <v>870</v>
      </c>
      <c r="E342" s="1517">
        <v>850</v>
      </c>
      <c r="F342" s="1531">
        <v>370</v>
      </c>
    </row>
    <row r="343" spans="1:6" s="1511" customFormat="1" ht="14.25" customHeight="1" thickBot="1">
      <c r="A343" s="1523" t="s">
        <v>1348</v>
      </c>
      <c r="B343" s="1517" t="s">
        <v>1263</v>
      </c>
      <c r="C343" s="1517">
        <v>800</v>
      </c>
      <c r="D343" s="1517">
        <v>760</v>
      </c>
      <c r="E343" s="1517">
        <v>730</v>
      </c>
      <c r="F343" s="1531">
        <v>340</v>
      </c>
    </row>
    <row r="344" spans="1:6" s="1511" customFormat="1" ht="14.25" customHeight="1" thickBot="1">
      <c r="A344" s="1523" t="s">
        <v>1348</v>
      </c>
      <c r="B344" s="1529" t="s">
        <v>1274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8" t="s">
        <v>2134</v>
      </c>
      <c r="B1" s="3738"/>
    </row>
    <row r="2" spans="1:6" ht="14.25" thickBot="1">
      <c r="A2" s="2105"/>
      <c r="B2" s="2105"/>
    </row>
    <row r="3" spans="1:6" ht="14.25" thickBot="1">
      <c r="A3" s="2105"/>
      <c r="B3" s="2105"/>
      <c r="C3" s="2109" t="s">
        <v>2137</v>
      </c>
      <c r="D3" s="2109" t="s">
        <v>2138</v>
      </c>
      <c r="E3" s="2109" t="s">
        <v>2139</v>
      </c>
      <c r="F3" s="2109" t="s">
        <v>2140</v>
      </c>
    </row>
    <row r="4" spans="1:6" ht="14.25" thickBot="1">
      <c r="A4" s="2107" t="s">
        <v>2135</v>
      </c>
      <c r="B4" s="2108" t="s">
        <v>2136</v>
      </c>
      <c r="C4" s="2109"/>
      <c r="D4" s="2109"/>
      <c r="E4" s="2109"/>
      <c r="F4" s="2109"/>
    </row>
    <row r="5" spans="1:6" ht="14.25" thickBot="1">
      <c r="A5" s="1523" t="s">
        <v>2141</v>
      </c>
      <c r="B5" s="1524" t="s">
        <v>2142</v>
      </c>
      <c r="C5" s="2110">
        <v>8.8999999999999996E-2</v>
      </c>
      <c r="D5" s="2110">
        <v>7.3999999999999996E-2</v>
      </c>
      <c r="E5" s="2110">
        <v>7.4999999999999997E-2</v>
      </c>
      <c r="F5" s="2111">
        <v>0.1</v>
      </c>
    </row>
    <row r="6" spans="1:6" ht="14.25" thickBot="1">
      <c r="A6" s="1523" t="s">
        <v>1228</v>
      </c>
      <c r="B6" s="1517" t="s">
        <v>2143</v>
      </c>
      <c r="C6" s="2112">
        <v>0.1</v>
      </c>
      <c r="D6" s="2112">
        <v>9.0999999999999998E-2</v>
      </c>
      <c r="E6" s="2112">
        <v>9.0999999999999998E-2</v>
      </c>
      <c r="F6" s="2113">
        <v>0.1</v>
      </c>
    </row>
    <row r="7" spans="1:6" ht="14.25" thickBot="1">
      <c r="A7" s="1523" t="s">
        <v>1228</v>
      </c>
      <c r="B7" s="1527" t="s">
        <v>1217</v>
      </c>
      <c r="C7" s="2112">
        <v>8.5999999999999993E-2</v>
      </c>
      <c r="D7" s="2112">
        <v>9.6000000000000002E-2</v>
      </c>
      <c r="E7" s="2112">
        <v>7.5999999999999998E-2</v>
      </c>
      <c r="F7" s="2113">
        <v>0.1</v>
      </c>
    </row>
    <row r="8" spans="1:6" ht="14.25" thickBot="1">
      <c r="A8" s="1523" t="s">
        <v>1228</v>
      </c>
      <c r="B8" s="1517" t="s">
        <v>1229</v>
      </c>
      <c r="C8" s="2112">
        <v>9.9000000000000005E-2</v>
      </c>
      <c r="D8" s="2112">
        <v>9.8000000000000004E-2</v>
      </c>
      <c r="E8" s="2112">
        <v>9.8000000000000004E-2</v>
      </c>
      <c r="F8" s="2113">
        <v>0.1</v>
      </c>
    </row>
    <row r="9" spans="1:6" ht="14.25" thickBot="1">
      <c r="A9" s="1533" t="s">
        <v>1228</v>
      </c>
      <c r="B9" s="1528" t="s">
        <v>1241</v>
      </c>
      <c r="C9" s="2114">
        <v>0.05</v>
      </c>
      <c r="D9" s="2122"/>
      <c r="E9" s="2122"/>
      <c r="F9" s="2123"/>
    </row>
    <row r="10" spans="1:6" ht="14.25" thickBot="1">
      <c r="A10" s="1523" t="s">
        <v>1285</v>
      </c>
      <c r="B10" s="1524" t="s">
        <v>2144</v>
      </c>
      <c r="C10" s="2110">
        <v>8.8999999999999996E-2</v>
      </c>
      <c r="D10" s="2110">
        <v>7.2999999999999995E-2</v>
      </c>
      <c r="E10" s="2110">
        <v>8.2000000000000003E-2</v>
      </c>
      <c r="F10" s="2111">
        <v>0.1</v>
      </c>
    </row>
    <row r="11" spans="1:6" ht="14.25" thickBot="1">
      <c r="A11" s="1523" t="s">
        <v>1285</v>
      </c>
      <c r="B11" s="1527" t="s">
        <v>1204</v>
      </c>
      <c r="C11" s="2112">
        <v>8.8999999999999996E-2</v>
      </c>
      <c r="D11" s="2112">
        <v>7.2999999999999995E-2</v>
      </c>
      <c r="E11" s="2112">
        <v>8.2000000000000003E-2</v>
      </c>
      <c r="F11" s="2113">
        <v>0.1</v>
      </c>
    </row>
    <row r="12" spans="1:6" ht="14.25" thickBot="1">
      <c r="A12" s="1523" t="s">
        <v>1285</v>
      </c>
      <c r="B12" s="1527" t="s">
        <v>1140</v>
      </c>
      <c r="C12" s="2112">
        <v>6.0999999999999999E-2</v>
      </c>
      <c r="D12" s="2112">
        <v>7.0999999999999994E-2</v>
      </c>
      <c r="E12" s="2112">
        <v>9.6000000000000002E-2</v>
      </c>
      <c r="F12" s="2113">
        <v>0.1</v>
      </c>
    </row>
    <row r="13" spans="1:6" ht="14.25" thickBot="1">
      <c r="A13" s="1523" t="s">
        <v>1285</v>
      </c>
      <c r="B13" s="1527" t="s">
        <v>1230</v>
      </c>
      <c r="C13" s="2112">
        <v>6.9000000000000006E-2</v>
      </c>
      <c r="D13" s="2112">
        <v>6.5000000000000002E-2</v>
      </c>
      <c r="E13" s="2112">
        <v>6.6000000000000003E-2</v>
      </c>
      <c r="F13" s="2113">
        <v>0.1</v>
      </c>
    </row>
    <row r="14" spans="1:6" ht="14.25" thickBot="1">
      <c r="A14" s="1523" t="s">
        <v>1285</v>
      </c>
      <c r="B14" s="1527" t="s">
        <v>1242</v>
      </c>
      <c r="C14" s="2112">
        <v>0.1</v>
      </c>
      <c r="D14" s="2112">
        <v>6.5000000000000002E-2</v>
      </c>
      <c r="E14" s="2112">
        <v>7.0000000000000007E-2</v>
      </c>
      <c r="F14" s="2113">
        <v>0.1</v>
      </c>
    </row>
    <row r="15" spans="1:6" ht="14.25" thickBot="1">
      <c r="A15" s="1523" t="s">
        <v>1285</v>
      </c>
      <c r="B15" s="1527" t="s">
        <v>1253</v>
      </c>
      <c r="C15" s="2112">
        <v>9.8000000000000004E-2</v>
      </c>
      <c r="D15" s="2112">
        <v>8.8999999999999996E-2</v>
      </c>
      <c r="E15" s="2112">
        <v>8.8999999999999996E-2</v>
      </c>
      <c r="F15" s="2113">
        <v>0.1</v>
      </c>
    </row>
    <row r="16" spans="1:6" ht="14.25" thickBot="1">
      <c r="A16" s="1523" t="s">
        <v>1285</v>
      </c>
      <c r="B16" s="1527" t="s">
        <v>1264</v>
      </c>
      <c r="C16" s="2112">
        <v>7.0000000000000007E-2</v>
      </c>
      <c r="D16" s="2112">
        <v>9.2999999999999999E-2</v>
      </c>
      <c r="E16" s="2112">
        <v>9.6000000000000002E-2</v>
      </c>
      <c r="F16" s="2113">
        <v>0.1</v>
      </c>
    </row>
    <row r="17" spans="1:6" ht="14.25" thickBot="1">
      <c r="A17" s="1523" t="s">
        <v>1285</v>
      </c>
      <c r="B17" s="1527" t="s">
        <v>1275</v>
      </c>
      <c r="C17" s="2112">
        <v>9.5000000000000001E-2</v>
      </c>
      <c r="D17" s="2112">
        <v>0.1</v>
      </c>
      <c r="E17" s="2112">
        <v>0.1</v>
      </c>
      <c r="F17" s="2124"/>
    </row>
    <row r="18" spans="1:6" ht="14.25" thickBot="1">
      <c r="A18" s="1523" t="s">
        <v>1285</v>
      </c>
      <c r="B18" s="1527" t="s">
        <v>1287</v>
      </c>
      <c r="C18" s="2112">
        <v>7.3999999999999996E-2</v>
      </c>
      <c r="D18" s="2112">
        <v>9.9000000000000005E-2</v>
      </c>
      <c r="E18" s="2112">
        <v>0.1</v>
      </c>
      <c r="F18" s="2124"/>
    </row>
    <row r="19" spans="1:6" ht="14.25" thickBot="1">
      <c r="A19" s="1523" t="s">
        <v>1285</v>
      </c>
      <c r="B19" s="1527" t="s">
        <v>1297</v>
      </c>
      <c r="C19" s="2112">
        <v>9.9000000000000005E-2</v>
      </c>
      <c r="D19" s="2112">
        <v>7.5999999999999998E-2</v>
      </c>
      <c r="E19" s="2112">
        <v>8.6999999999999994E-2</v>
      </c>
      <c r="F19" s="2124"/>
    </row>
    <row r="20" spans="1:6" ht="14.25" thickBot="1">
      <c r="A20" s="1523" t="s">
        <v>1285</v>
      </c>
      <c r="B20" s="1527" t="s">
        <v>1307</v>
      </c>
      <c r="C20" s="2112">
        <v>9.8000000000000004E-2</v>
      </c>
      <c r="D20" s="2112">
        <v>8.5000000000000006E-2</v>
      </c>
      <c r="E20" s="2112">
        <v>8.2000000000000003E-2</v>
      </c>
      <c r="F20" s="2124"/>
    </row>
    <row r="21" spans="1:6" ht="14.25" thickBot="1">
      <c r="A21" s="1523" t="s">
        <v>1285</v>
      </c>
      <c r="B21" s="1527" t="s">
        <v>1317</v>
      </c>
      <c r="C21" s="2112">
        <v>6.6000000000000003E-2</v>
      </c>
      <c r="D21" s="2112">
        <v>6.4000000000000001E-2</v>
      </c>
      <c r="E21" s="2112">
        <v>6.5000000000000002E-2</v>
      </c>
      <c r="F21" s="2124"/>
    </row>
    <row r="22" spans="1:6" ht="14.25" thickBot="1">
      <c r="A22" s="1523" t="s">
        <v>1285</v>
      </c>
      <c r="B22" s="1527" t="s">
        <v>2145</v>
      </c>
      <c r="C22" s="2112">
        <v>0.08</v>
      </c>
      <c r="D22" s="2112">
        <v>9.8000000000000004E-2</v>
      </c>
      <c r="E22" s="2112">
        <v>9.8000000000000004E-2</v>
      </c>
      <c r="F22" s="2124"/>
    </row>
    <row r="23" spans="1:6" ht="14.25" thickBot="1">
      <c r="A23" s="1523" t="s">
        <v>1285</v>
      </c>
      <c r="B23" s="1527" t="s">
        <v>1338</v>
      </c>
      <c r="C23" s="2112">
        <v>9.9000000000000005E-2</v>
      </c>
      <c r="D23" s="2112">
        <v>9.8000000000000004E-2</v>
      </c>
      <c r="E23" s="2112">
        <v>9.0999999999999998E-2</v>
      </c>
      <c r="F23" s="2124"/>
    </row>
    <row r="24" spans="1:6" ht="14.25" thickBot="1">
      <c r="A24" s="1523" t="s">
        <v>1285</v>
      </c>
      <c r="B24" s="1527" t="s">
        <v>1349</v>
      </c>
      <c r="C24" s="2112">
        <v>8.8999999999999996E-2</v>
      </c>
      <c r="D24" s="2112">
        <v>9.7000000000000003E-2</v>
      </c>
      <c r="E24" s="2112">
        <v>7.0000000000000007E-2</v>
      </c>
      <c r="F24" s="2124"/>
    </row>
    <row r="25" spans="1:6" ht="14.25" thickBot="1">
      <c r="A25" s="1523" t="s">
        <v>1285</v>
      </c>
      <c r="B25" s="1527" t="s">
        <v>1359</v>
      </c>
      <c r="C25" s="2112">
        <v>8.8999999999999996E-2</v>
      </c>
      <c r="D25" s="2112">
        <v>0.1</v>
      </c>
      <c r="E25" s="2112">
        <v>8.1000000000000003E-2</v>
      </c>
      <c r="F25" s="2124"/>
    </row>
    <row r="26" spans="1:6" ht="14.25" thickBot="1">
      <c r="A26" s="1523" t="s">
        <v>1285</v>
      </c>
      <c r="B26" s="1527" t="s">
        <v>1369</v>
      </c>
      <c r="C26" s="2125"/>
      <c r="D26" s="2112">
        <v>9.6000000000000002E-2</v>
      </c>
      <c r="E26" s="2112">
        <v>9.2999999999999999E-2</v>
      </c>
      <c r="F26" s="2124"/>
    </row>
    <row r="27" spans="1:6" ht="14.25" thickBot="1">
      <c r="A27" s="1523" t="s">
        <v>1285</v>
      </c>
      <c r="B27" s="1527" t="s">
        <v>1379</v>
      </c>
      <c r="C27" s="2125"/>
      <c r="D27" s="2112">
        <v>7.5999999999999998E-2</v>
      </c>
      <c r="E27" s="2112">
        <v>9.1999999999999998E-2</v>
      </c>
      <c r="F27" s="2124"/>
    </row>
    <row r="28" spans="1:6" ht="14.25" thickBot="1">
      <c r="A28" s="1533" t="s">
        <v>1285</v>
      </c>
      <c r="B28" s="1528" t="s">
        <v>1389</v>
      </c>
      <c r="C28" s="2122"/>
      <c r="D28" s="2114">
        <v>7.5999999999999998E-2</v>
      </c>
      <c r="E28" s="2114">
        <v>9.1999999999999998E-2</v>
      </c>
      <c r="F28" s="2123"/>
    </row>
    <row r="29" spans="1:6" ht="14.25" thickBot="1">
      <c r="A29" s="1523" t="s">
        <v>1458</v>
      </c>
      <c r="B29" s="1524" t="s">
        <v>2146</v>
      </c>
      <c r="C29" s="2110">
        <v>6.4000000000000001E-2</v>
      </c>
      <c r="D29" s="2110">
        <v>6.5000000000000002E-2</v>
      </c>
      <c r="E29" s="2110">
        <v>6.9000000000000006E-2</v>
      </c>
      <c r="F29" s="2111">
        <v>0.1</v>
      </c>
    </row>
    <row r="30" spans="1:6" ht="14.25" thickBot="1">
      <c r="A30" s="1523" t="s">
        <v>1458</v>
      </c>
      <c r="B30" s="1527" t="s">
        <v>1205</v>
      </c>
      <c r="C30" s="2112">
        <v>6.4000000000000001E-2</v>
      </c>
      <c r="D30" s="2112">
        <v>9.9000000000000005E-2</v>
      </c>
      <c r="E30" s="2112">
        <v>0.1</v>
      </c>
      <c r="F30" s="2113">
        <v>0.1</v>
      </c>
    </row>
    <row r="31" spans="1:6" ht="14.25" thickBot="1">
      <c r="A31" s="1523" t="s">
        <v>1458</v>
      </c>
      <c r="B31" s="1527" t="s">
        <v>1218</v>
      </c>
      <c r="C31" s="2112">
        <v>0.1</v>
      </c>
      <c r="D31" s="2112">
        <v>9.5000000000000001E-2</v>
      </c>
      <c r="E31" s="2112">
        <v>8.8999999999999996E-2</v>
      </c>
      <c r="F31" s="2113">
        <v>0.1</v>
      </c>
    </row>
    <row r="32" spans="1:6" ht="14.25" thickBot="1">
      <c r="A32" s="1523" t="s">
        <v>1458</v>
      </c>
      <c r="B32" s="1527" t="s">
        <v>1231</v>
      </c>
      <c r="C32" s="2112">
        <v>0.05</v>
      </c>
      <c r="D32" s="2112">
        <v>0.05</v>
      </c>
      <c r="E32" s="2112">
        <v>8.7999999999999995E-2</v>
      </c>
      <c r="F32" s="2113">
        <v>0.1</v>
      </c>
    </row>
    <row r="33" spans="1:6" ht="14.25" thickBot="1">
      <c r="A33" s="1523" t="s">
        <v>1458</v>
      </c>
      <c r="B33" s="1527" t="s">
        <v>1243</v>
      </c>
      <c r="C33" s="2112">
        <v>7.4999999999999997E-2</v>
      </c>
      <c r="D33" s="2112">
        <v>9.4E-2</v>
      </c>
      <c r="E33" s="2112">
        <v>9.7000000000000003E-2</v>
      </c>
      <c r="F33" s="2113">
        <v>0.1</v>
      </c>
    </row>
    <row r="34" spans="1:6" ht="14.25" thickBot="1">
      <c r="A34" s="1523" t="s">
        <v>1458</v>
      </c>
      <c r="B34" s="1527" t="s">
        <v>1254</v>
      </c>
      <c r="C34" s="2112">
        <v>9.8000000000000004E-2</v>
      </c>
      <c r="D34" s="2112">
        <v>8.5999999999999993E-2</v>
      </c>
      <c r="E34" s="2112">
        <v>9.7000000000000003E-2</v>
      </c>
      <c r="F34" s="2113">
        <v>0.1</v>
      </c>
    </row>
    <row r="35" spans="1:6" ht="14.25" thickBot="1">
      <c r="A35" s="1523" t="s">
        <v>1458</v>
      </c>
      <c r="B35" s="1527" t="s">
        <v>1265</v>
      </c>
      <c r="C35" s="2112">
        <v>5.8999999999999997E-2</v>
      </c>
      <c r="D35" s="2112">
        <v>6.5000000000000002E-2</v>
      </c>
      <c r="E35" s="2112">
        <v>7.0000000000000007E-2</v>
      </c>
      <c r="F35" s="2113">
        <v>0.1</v>
      </c>
    </row>
    <row r="36" spans="1:6" ht="14.25" thickBot="1">
      <c r="A36" s="1523" t="s">
        <v>1458</v>
      </c>
      <c r="B36" s="1527" t="s">
        <v>1276</v>
      </c>
      <c r="C36" s="2112">
        <v>6.3E-2</v>
      </c>
      <c r="D36" s="2112">
        <v>0.1</v>
      </c>
      <c r="E36" s="2112">
        <v>0.1</v>
      </c>
      <c r="F36" s="2113">
        <v>0.1</v>
      </c>
    </row>
    <row r="37" spans="1:6" ht="14.25" thickBot="1">
      <c r="A37" s="1523" t="s">
        <v>1458</v>
      </c>
      <c r="B37" s="1527" t="s">
        <v>1288</v>
      </c>
      <c r="C37" s="2112">
        <v>7.3999999999999996E-2</v>
      </c>
      <c r="D37" s="2112">
        <v>0.1</v>
      </c>
      <c r="E37" s="2112">
        <v>0.1</v>
      </c>
      <c r="F37" s="2113">
        <v>0.1</v>
      </c>
    </row>
    <row r="38" spans="1:6" ht="14.25" thickBot="1">
      <c r="A38" s="1523" t="s">
        <v>1458</v>
      </c>
      <c r="B38" s="1527" t="s">
        <v>1298</v>
      </c>
      <c r="C38" s="2112">
        <v>0.1</v>
      </c>
      <c r="D38" s="2112">
        <v>9.6000000000000002E-2</v>
      </c>
      <c r="E38" s="2112">
        <v>9.6000000000000002E-2</v>
      </c>
      <c r="F38" s="2124"/>
    </row>
    <row r="39" spans="1:6" ht="14.25" thickBot="1">
      <c r="A39" s="1523" t="s">
        <v>1458</v>
      </c>
      <c r="B39" s="1527" t="s">
        <v>1308</v>
      </c>
      <c r="C39" s="2112">
        <v>0.1</v>
      </c>
      <c r="D39" s="2112">
        <v>9.6000000000000002E-2</v>
      </c>
      <c r="E39" s="2112">
        <v>9.6000000000000002E-2</v>
      </c>
      <c r="F39" s="2124"/>
    </row>
    <row r="40" spans="1:6" ht="14.25" thickBot="1">
      <c r="A40" s="1523" t="s">
        <v>1458</v>
      </c>
      <c r="B40" s="1527" t="s">
        <v>1318</v>
      </c>
      <c r="C40" s="2112">
        <v>9.6000000000000002E-2</v>
      </c>
      <c r="D40" s="2112">
        <v>0.1</v>
      </c>
      <c r="E40" s="2112">
        <v>9.9000000000000005E-2</v>
      </c>
      <c r="F40" s="2124"/>
    </row>
    <row r="41" spans="1:6" ht="14.25" thickBot="1">
      <c r="A41" s="1523" t="s">
        <v>1458</v>
      </c>
      <c r="B41" s="1527" t="s">
        <v>1328</v>
      </c>
      <c r="C41" s="2112">
        <v>9.6000000000000002E-2</v>
      </c>
      <c r="D41" s="2112">
        <v>9.8000000000000004E-2</v>
      </c>
      <c r="E41" s="2112">
        <v>9.8000000000000004E-2</v>
      </c>
      <c r="F41" s="2124"/>
    </row>
    <row r="42" spans="1:6" ht="14.25" thickBot="1">
      <c r="A42" s="1523" t="s">
        <v>1458</v>
      </c>
      <c r="B42" s="1527" t="s">
        <v>1339</v>
      </c>
      <c r="C42" s="2112">
        <v>0.1</v>
      </c>
      <c r="D42" s="2112">
        <v>8.7999999999999995E-2</v>
      </c>
      <c r="E42" s="2112">
        <v>0.1</v>
      </c>
      <c r="F42" s="2124"/>
    </row>
    <row r="43" spans="1:6" ht="14.25" thickBot="1">
      <c r="A43" s="1523" t="s">
        <v>1458</v>
      </c>
      <c r="B43" s="1527" t="s">
        <v>1350</v>
      </c>
      <c r="C43" s="2112">
        <v>9.8000000000000004E-2</v>
      </c>
      <c r="D43" s="2112">
        <v>9.7000000000000003E-2</v>
      </c>
      <c r="E43" s="2112">
        <v>9.6000000000000002E-2</v>
      </c>
      <c r="F43" s="2124"/>
    </row>
    <row r="44" spans="1:6" ht="14.25" thickBot="1">
      <c r="A44" s="1523" t="s">
        <v>1458</v>
      </c>
      <c r="B44" s="1527" t="s">
        <v>1360</v>
      </c>
      <c r="C44" s="2112">
        <v>8.5999999999999993E-2</v>
      </c>
      <c r="D44" s="2112">
        <v>7.9000000000000001E-2</v>
      </c>
      <c r="E44" s="2112">
        <v>7.0999999999999994E-2</v>
      </c>
      <c r="F44" s="2124"/>
    </row>
    <row r="45" spans="1:6" ht="14.25" thickBot="1">
      <c r="A45" s="1523" t="s">
        <v>1458</v>
      </c>
      <c r="B45" s="1527" t="s">
        <v>1370</v>
      </c>
      <c r="C45" s="2112">
        <v>9.8000000000000004E-2</v>
      </c>
      <c r="D45" s="2112">
        <v>9.6000000000000002E-2</v>
      </c>
      <c r="E45" s="2112">
        <v>9.6000000000000002E-2</v>
      </c>
      <c r="F45" s="2124"/>
    </row>
    <row r="46" spans="1:6" ht="14.25" thickBot="1">
      <c r="A46" s="1523" t="s">
        <v>1458</v>
      </c>
      <c r="B46" s="1527" t="s">
        <v>1380</v>
      </c>
      <c r="C46" s="2112">
        <v>8.5999999999999993E-2</v>
      </c>
      <c r="D46" s="2112">
        <v>9.8000000000000004E-2</v>
      </c>
      <c r="E46" s="2112">
        <v>8.7999999999999995E-2</v>
      </c>
      <c r="F46" s="2124"/>
    </row>
    <row r="47" spans="1:6" ht="14.25" thickBot="1">
      <c r="A47" s="1523" t="s">
        <v>1458</v>
      </c>
      <c r="B47" s="1527" t="s">
        <v>1390</v>
      </c>
      <c r="C47" s="2112">
        <v>9.6000000000000002E-2</v>
      </c>
      <c r="D47" s="2125"/>
      <c r="E47" s="2112">
        <v>6.9000000000000006E-2</v>
      </c>
      <c r="F47" s="2124"/>
    </row>
    <row r="48" spans="1:6" ht="14.25" thickBot="1">
      <c r="A48" s="1533" t="s">
        <v>1458</v>
      </c>
      <c r="B48" s="1528" t="s">
        <v>1399</v>
      </c>
      <c r="C48" s="2114">
        <v>9.8000000000000004E-2</v>
      </c>
      <c r="D48" s="2122"/>
      <c r="E48" s="2114">
        <v>9.5000000000000001E-2</v>
      </c>
      <c r="F48" s="2123"/>
    </row>
    <row r="49" spans="1:6" ht="14.25" thickBot="1">
      <c r="A49" s="1523" t="s">
        <v>1139</v>
      </c>
      <c r="B49" s="1524" t="s">
        <v>2147</v>
      </c>
      <c r="C49" s="2110">
        <v>9.7000000000000003E-2</v>
      </c>
      <c r="D49" s="2110">
        <v>9.5000000000000001E-2</v>
      </c>
      <c r="E49" s="2110">
        <v>9.7000000000000003E-2</v>
      </c>
      <c r="F49" s="2111">
        <v>0.1</v>
      </c>
    </row>
    <row r="50" spans="1:6" ht="14.25" thickBot="1">
      <c r="A50" s="1523" t="s">
        <v>1139</v>
      </c>
      <c r="B50" s="1517" t="s">
        <v>1206</v>
      </c>
      <c r="C50" s="2112">
        <v>7.4999999999999997E-2</v>
      </c>
      <c r="D50" s="2112">
        <v>9.5000000000000001E-2</v>
      </c>
      <c r="E50" s="2112">
        <v>0.1</v>
      </c>
      <c r="F50" s="2113">
        <v>0.1</v>
      </c>
    </row>
    <row r="51" spans="1:6" ht="14.25" thickBot="1">
      <c r="A51" s="1523" t="s">
        <v>1139</v>
      </c>
      <c r="B51" s="1517" t="s">
        <v>1219</v>
      </c>
      <c r="C51" s="2112">
        <v>9.8000000000000004E-2</v>
      </c>
      <c r="D51" s="2112">
        <v>8.8999999999999996E-2</v>
      </c>
      <c r="E51" s="2112">
        <v>0.1</v>
      </c>
      <c r="F51" s="2113">
        <v>0.1</v>
      </c>
    </row>
    <row r="52" spans="1:6" ht="14.25" thickBot="1">
      <c r="A52" s="1523" t="s">
        <v>1139</v>
      </c>
      <c r="B52" s="1517" t="s">
        <v>1232</v>
      </c>
      <c r="C52" s="2112">
        <v>9.8000000000000004E-2</v>
      </c>
      <c r="D52" s="2112">
        <v>9.7000000000000003E-2</v>
      </c>
      <c r="E52" s="2112">
        <v>8.1000000000000003E-2</v>
      </c>
      <c r="F52" s="2113">
        <v>0.1</v>
      </c>
    </row>
    <row r="53" spans="1:6" ht="14.25" thickBot="1">
      <c r="A53" s="1523" t="s">
        <v>1139</v>
      </c>
      <c r="B53" s="1517" t="s">
        <v>1244</v>
      </c>
      <c r="C53" s="2112">
        <v>9.7000000000000003E-2</v>
      </c>
      <c r="D53" s="2112">
        <v>7.5999999999999998E-2</v>
      </c>
      <c r="E53" s="2112">
        <v>7.0999999999999994E-2</v>
      </c>
      <c r="F53" s="2113">
        <v>0.1</v>
      </c>
    </row>
    <row r="54" spans="1:6" ht="14.25" thickBot="1">
      <c r="A54" s="1523" t="s">
        <v>1139</v>
      </c>
      <c r="B54" s="1517" t="s">
        <v>1255</v>
      </c>
      <c r="C54" s="2112">
        <v>7.5999999999999998E-2</v>
      </c>
      <c r="D54" s="2112">
        <v>0.1</v>
      </c>
      <c r="E54" s="2112">
        <v>9.9000000000000005E-2</v>
      </c>
      <c r="F54" s="2113">
        <v>0.1</v>
      </c>
    </row>
    <row r="55" spans="1:6" ht="14.25" thickBot="1">
      <c r="A55" s="1523" t="s">
        <v>1139</v>
      </c>
      <c r="B55" s="1517" t="s">
        <v>1266</v>
      </c>
      <c r="C55" s="2112">
        <v>0.1</v>
      </c>
      <c r="D55" s="2112">
        <v>0.1</v>
      </c>
      <c r="E55" s="2112">
        <v>9.6000000000000002E-2</v>
      </c>
      <c r="F55" s="2113">
        <v>0.1</v>
      </c>
    </row>
    <row r="56" spans="1:6" ht="14.25" thickBot="1">
      <c r="A56" s="1523" t="s">
        <v>1139</v>
      </c>
      <c r="B56" s="1517" t="s">
        <v>1277</v>
      </c>
      <c r="C56" s="2112">
        <v>0.1</v>
      </c>
      <c r="D56" s="2112">
        <v>9.6000000000000002E-2</v>
      </c>
      <c r="E56" s="2112">
        <v>5.1999999999999998E-2</v>
      </c>
      <c r="F56" s="2113">
        <v>0.1</v>
      </c>
    </row>
    <row r="57" spans="1:6" ht="14.25" thickBot="1">
      <c r="A57" s="1523" t="s">
        <v>1139</v>
      </c>
      <c r="B57" s="1517" t="s">
        <v>1289</v>
      </c>
      <c r="C57" s="2112">
        <v>9.7000000000000003E-2</v>
      </c>
      <c r="D57" s="2112">
        <v>9.6000000000000002E-2</v>
      </c>
      <c r="E57" s="2112">
        <v>9.6000000000000002E-2</v>
      </c>
      <c r="F57" s="2113">
        <v>0.1</v>
      </c>
    </row>
    <row r="58" spans="1:6" ht="14.25" thickBot="1">
      <c r="A58" s="1523" t="s">
        <v>1139</v>
      </c>
      <c r="B58" s="1517" t="s">
        <v>1299</v>
      </c>
      <c r="C58" s="2112">
        <v>9.6000000000000002E-2</v>
      </c>
      <c r="D58" s="2112">
        <v>9.9000000000000005E-2</v>
      </c>
      <c r="E58" s="2112">
        <v>9.6000000000000002E-2</v>
      </c>
      <c r="F58" s="2113">
        <v>0.1</v>
      </c>
    </row>
    <row r="59" spans="1:6" ht="14.25" thickBot="1">
      <c r="A59" s="1523" t="s">
        <v>1139</v>
      </c>
      <c r="B59" s="1517" t="s">
        <v>1309</v>
      </c>
      <c r="C59" s="2112">
        <v>7.1999999999999995E-2</v>
      </c>
      <c r="D59" s="2112">
        <v>9.6000000000000002E-2</v>
      </c>
      <c r="E59" s="2112">
        <v>7.0999999999999994E-2</v>
      </c>
      <c r="F59" s="2113">
        <v>0.1</v>
      </c>
    </row>
    <row r="60" spans="1:6" ht="14.25" thickBot="1">
      <c r="A60" s="1523" t="s">
        <v>1139</v>
      </c>
      <c r="B60" s="1517" t="s">
        <v>1319</v>
      </c>
      <c r="C60" s="2112">
        <v>9.6000000000000002E-2</v>
      </c>
      <c r="D60" s="2112">
        <v>8.8999999999999996E-2</v>
      </c>
      <c r="E60" s="2112">
        <v>9.6000000000000002E-2</v>
      </c>
      <c r="F60" s="2113">
        <v>0.1</v>
      </c>
    </row>
    <row r="61" spans="1:6" ht="14.25" thickBot="1">
      <c r="A61" s="1523" t="s">
        <v>1139</v>
      </c>
      <c r="B61" s="1517" t="s">
        <v>1329</v>
      </c>
      <c r="C61" s="2112">
        <v>8.8999999999999996E-2</v>
      </c>
      <c r="D61" s="2112">
        <v>9.8000000000000004E-2</v>
      </c>
      <c r="E61" s="2112">
        <v>8.7999999999999995E-2</v>
      </c>
      <c r="F61" s="2124"/>
    </row>
    <row r="62" spans="1:6" ht="14.25" thickBot="1">
      <c r="A62" s="1523" t="s">
        <v>1139</v>
      </c>
      <c r="B62" s="1517" t="s">
        <v>1340</v>
      </c>
      <c r="C62" s="2112">
        <v>9.8000000000000004E-2</v>
      </c>
      <c r="D62" s="2112">
        <v>9.2999999999999999E-2</v>
      </c>
      <c r="E62" s="2112">
        <v>9.7000000000000003E-2</v>
      </c>
      <c r="F62" s="2124"/>
    </row>
    <row r="63" spans="1:6" ht="14.25" thickBot="1">
      <c r="A63" s="1523" t="s">
        <v>1139</v>
      </c>
      <c r="B63" s="1517" t="s">
        <v>1351</v>
      </c>
      <c r="C63" s="2112">
        <v>9.6000000000000002E-2</v>
      </c>
      <c r="D63" s="2112">
        <v>9.8000000000000004E-2</v>
      </c>
      <c r="E63" s="2112">
        <v>0.09</v>
      </c>
      <c r="F63" s="2124"/>
    </row>
    <row r="64" spans="1:6" ht="14.25" thickBot="1">
      <c r="A64" s="1523" t="s">
        <v>1139</v>
      </c>
      <c r="B64" s="1517" t="s">
        <v>1361</v>
      </c>
      <c r="C64" s="2112">
        <v>9.9000000000000005E-2</v>
      </c>
      <c r="D64" s="2112">
        <v>9.7000000000000003E-2</v>
      </c>
      <c r="E64" s="2112">
        <v>9.9000000000000005E-2</v>
      </c>
      <c r="F64" s="2124"/>
    </row>
    <row r="65" spans="1:6" ht="14.25" thickBot="1">
      <c r="A65" s="1523" t="s">
        <v>1139</v>
      </c>
      <c r="B65" s="1517" t="s">
        <v>1371</v>
      </c>
      <c r="C65" s="2112">
        <v>9.8000000000000004E-2</v>
      </c>
      <c r="D65" s="2112">
        <v>9.6000000000000002E-2</v>
      </c>
      <c r="E65" s="2112">
        <v>9.6000000000000002E-2</v>
      </c>
      <c r="F65" s="2124"/>
    </row>
    <row r="66" spans="1:6" ht="14.25" thickBot="1">
      <c r="A66" s="1523" t="s">
        <v>1139</v>
      </c>
      <c r="B66" s="1517" t="s">
        <v>1381</v>
      </c>
      <c r="C66" s="2112">
        <v>9.6000000000000002E-2</v>
      </c>
      <c r="D66" s="2112">
        <v>9.1999999999999998E-2</v>
      </c>
      <c r="E66" s="2112">
        <v>9.6000000000000002E-2</v>
      </c>
      <c r="F66" s="2124"/>
    </row>
    <row r="67" spans="1:6" ht="14.25" thickBot="1">
      <c r="A67" s="1523" t="s">
        <v>1139</v>
      </c>
      <c r="B67" s="1517" t="s">
        <v>1391</v>
      </c>
      <c r="C67" s="2112">
        <v>9.4E-2</v>
      </c>
      <c r="D67" s="2112">
        <v>0.1</v>
      </c>
      <c r="E67" s="2112">
        <v>8.7999999999999995E-2</v>
      </c>
      <c r="F67" s="2124"/>
    </row>
    <row r="68" spans="1:6" ht="14.25" thickBot="1">
      <c r="A68" s="1523" t="s">
        <v>1139</v>
      </c>
      <c r="B68" s="1517" t="s">
        <v>1400</v>
      </c>
      <c r="C68" s="2112">
        <v>0.1</v>
      </c>
      <c r="D68" s="2112">
        <v>8.7999999999999995E-2</v>
      </c>
      <c r="E68" s="2112">
        <v>9.7000000000000003E-2</v>
      </c>
      <c r="F68" s="2124"/>
    </row>
    <row r="69" spans="1:6" ht="14.25" thickBot="1">
      <c r="A69" s="1523" t="s">
        <v>1139</v>
      </c>
      <c r="B69" s="1517" t="s">
        <v>1409</v>
      </c>
      <c r="C69" s="2112">
        <v>6.4000000000000001E-2</v>
      </c>
      <c r="D69" s="2112">
        <v>0.1</v>
      </c>
      <c r="E69" s="2112">
        <v>0.1</v>
      </c>
      <c r="F69" s="2124"/>
    </row>
    <row r="70" spans="1:6" ht="14.25" thickBot="1">
      <c r="A70" s="1523" t="s">
        <v>1139</v>
      </c>
      <c r="B70" s="1517" t="s">
        <v>1417</v>
      </c>
      <c r="C70" s="2112">
        <v>9.0999999999999998E-2</v>
      </c>
      <c r="D70" s="2125"/>
      <c r="E70" s="2125"/>
      <c r="F70" s="2124"/>
    </row>
    <row r="71" spans="1:6" ht="14.25" thickBot="1">
      <c r="A71" s="1523" t="s">
        <v>1139</v>
      </c>
      <c r="B71" s="1517" t="s">
        <v>1424</v>
      </c>
      <c r="C71" s="2112">
        <v>0.1</v>
      </c>
      <c r="D71" s="2125"/>
      <c r="E71" s="2125"/>
      <c r="F71" s="2124"/>
    </row>
    <row r="72" spans="1:6" ht="14.25" thickBot="1">
      <c r="A72" s="1523" t="s">
        <v>1139</v>
      </c>
      <c r="B72" s="1517" t="s">
        <v>2148</v>
      </c>
      <c r="C72" s="2125"/>
      <c r="D72" s="2125"/>
      <c r="E72" s="2125"/>
      <c r="F72" s="2113">
        <v>0.05</v>
      </c>
    </row>
    <row r="73" spans="1:6" ht="14.25" thickBot="1">
      <c r="A73" s="1523" t="s">
        <v>1139</v>
      </c>
      <c r="B73" s="1517" t="s">
        <v>2149</v>
      </c>
      <c r="C73" s="2125"/>
      <c r="D73" s="2125"/>
      <c r="E73" s="2125"/>
      <c r="F73" s="2113">
        <v>0.05</v>
      </c>
    </row>
    <row r="74" spans="1:6" ht="14.25" thickBot="1">
      <c r="A74" s="1523" t="s">
        <v>1139</v>
      </c>
      <c r="B74" s="1517" t="s">
        <v>2150</v>
      </c>
      <c r="C74" s="2125"/>
      <c r="D74" s="2125"/>
      <c r="E74" s="2125"/>
      <c r="F74" s="2113">
        <v>0.05</v>
      </c>
    </row>
    <row r="75" spans="1:6" ht="14.25" thickBot="1">
      <c r="A75" s="1533" t="s">
        <v>1139</v>
      </c>
      <c r="B75" s="1529" t="s">
        <v>2151</v>
      </c>
      <c r="C75" s="2122"/>
      <c r="D75" s="2122"/>
      <c r="E75" s="2122"/>
      <c r="F75" s="2115">
        <v>0.05</v>
      </c>
    </row>
    <row r="76" spans="1:6" ht="14.25" thickBot="1">
      <c r="A76" s="1523" t="s">
        <v>1539</v>
      </c>
      <c r="B76" s="1524" t="s">
        <v>2152</v>
      </c>
      <c r="C76" s="2110">
        <v>0.1</v>
      </c>
      <c r="D76" s="2110">
        <v>0.1</v>
      </c>
      <c r="E76" s="2110">
        <v>0.1</v>
      </c>
      <c r="F76" s="2111">
        <v>0.1</v>
      </c>
    </row>
    <row r="77" spans="1:6" ht="14.25" thickBot="1">
      <c r="A77" s="1523" t="s">
        <v>1539</v>
      </c>
      <c r="B77" s="1517" t="s">
        <v>1207</v>
      </c>
      <c r="C77" s="2112">
        <v>8.7999999999999995E-2</v>
      </c>
      <c r="D77" s="2112">
        <v>8.6999999999999994E-2</v>
      </c>
      <c r="E77" s="2112">
        <v>7.9000000000000001E-2</v>
      </c>
      <c r="F77" s="2113">
        <v>0.1</v>
      </c>
    </row>
    <row r="78" spans="1:6" ht="14.25" thickBot="1">
      <c r="A78" s="1523" t="s">
        <v>1539</v>
      </c>
      <c r="B78" s="1517" t="s">
        <v>1220</v>
      </c>
      <c r="C78" s="2112">
        <v>8.6999999999999994E-2</v>
      </c>
      <c r="D78" s="2112">
        <v>8.4000000000000005E-2</v>
      </c>
      <c r="E78" s="2112">
        <v>9.6000000000000002E-2</v>
      </c>
      <c r="F78" s="2113">
        <v>0.1</v>
      </c>
    </row>
    <row r="79" spans="1:6" ht="14.25" thickBot="1">
      <c r="A79" s="1523" t="s">
        <v>1539</v>
      </c>
      <c r="B79" s="1517" t="s">
        <v>1233</v>
      </c>
      <c r="C79" s="2112">
        <v>9.8000000000000004E-2</v>
      </c>
      <c r="D79" s="2112">
        <v>9.8000000000000004E-2</v>
      </c>
      <c r="E79" s="2112">
        <v>9.0999999999999998E-2</v>
      </c>
      <c r="F79" s="2113">
        <v>0.1</v>
      </c>
    </row>
    <row r="80" spans="1:6" ht="14.25" thickBot="1">
      <c r="A80" s="1523" t="s">
        <v>1539</v>
      </c>
      <c r="B80" s="1517" t="s">
        <v>1245</v>
      </c>
      <c r="C80" s="2112">
        <v>9.6000000000000002E-2</v>
      </c>
      <c r="D80" s="2112">
        <v>9.6000000000000002E-2</v>
      </c>
      <c r="E80" s="2112">
        <v>0.1</v>
      </c>
      <c r="F80" s="2113">
        <v>0.1</v>
      </c>
    </row>
    <row r="81" spans="1:6" ht="14.25" thickBot="1">
      <c r="A81" s="1523" t="s">
        <v>1539</v>
      </c>
      <c r="B81" s="1517" t="s">
        <v>1256</v>
      </c>
      <c r="C81" s="2112">
        <v>9.9000000000000005E-2</v>
      </c>
      <c r="D81" s="2112">
        <v>9.9000000000000005E-2</v>
      </c>
      <c r="E81" s="2112">
        <v>9.8000000000000004E-2</v>
      </c>
      <c r="F81" s="2113">
        <v>0.1</v>
      </c>
    </row>
    <row r="82" spans="1:6" ht="14.25" thickBot="1">
      <c r="A82" s="1523" t="s">
        <v>1539</v>
      </c>
      <c r="B82" s="1517" t="s">
        <v>1267</v>
      </c>
      <c r="C82" s="2112">
        <v>9.9000000000000005E-2</v>
      </c>
      <c r="D82" s="2112">
        <v>9.9000000000000005E-2</v>
      </c>
      <c r="E82" s="2112">
        <v>9.7000000000000003E-2</v>
      </c>
      <c r="F82" s="2113">
        <v>0.1</v>
      </c>
    </row>
    <row r="83" spans="1:6" ht="14.25" thickBot="1">
      <c r="A83" s="1523" t="s">
        <v>1539</v>
      </c>
      <c r="B83" s="1517" t="s">
        <v>1278</v>
      </c>
      <c r="C83" s="2112">
        <v>9.8000000000000004E-2</v>
      </c>
      <c r="D83" s="2112">
        <v>9.8000000000000004E-2</v>
      </c>
      <c r="E83" s="2112">
        <v>9.8000000000000004E-2</v>
      </c>
      <c r="F83" s="2113">
        <v>0.1</v>
      </c>
    </row>
    <row r="84" spans="1:6" ht="14.25" thickBot="1">
      <c r="A84" s="1523" t="s">
        <v>1539</v>
      </c>
      <c r="B84" s="1517" t="s">
        <v>1290</v>
      </c>
      <c r="C84" s="2112">
        <v>9.9000000000000005E-2</v>
      </c>
      <c r="D84" s="2112">
        <v>9.9000000000000005E-2</v>
      </c>
      <c r="E84" s="2112">
        <v>9.9000000000000005E-2</v>
      </c>
      <c r="F84" s="2113">
        <v>0.1</v>
      </c>
    </row>
    <row r="85" spans="1:6" ht="14.25" thickBot="1">
      <c r="A85" s="1523" t="s">
        <v>1539</v>
      </c>
      <c r="B85" s="1517" t="s">
        <v>1300</v>
      </c>
      <c r="C85" s="2112">
        <v>9.9000000000000005E-2</v>
      </c>
      <c r="D85" s="2112">
        <v>9.9000000000000005E-2</v>
      </c>
      <c r="E85" s="2112">
        <v>9.9000000000000005E-2</v>
      </c>
      <c r="F85" s="2113">
        <v>0.1</v>
      </c>
    </row>
    <row r="86" spans="1:6" ht="14.25" thickBot="1">
      <c r="A86" s="1523" t="s">
        <v>1539</v>
      </c>
      <c r="B86" s="1517" t="s">
        <v>1310</v>
      </c>
      <c r="C86" s="2112">
        <v>0.1</v>
      </c>
      <c r="D86" s="2112">
        <v>0.1</v>
      </c>
      <c r="E86" s="2112">
        <v>7.6999999999999999E-2</v>
      </c>
      <c r="F86" s="2113">
        <v>0.1</v>
      </c>
    </row>
    <row r="87" spans="1:6" ht="14.25" thickBot="1">
      <c r="A87" s="1523" t="s">
        <v>1539</v>
      </c>
      <c r="B87" s="1517" t="s">
        <v>1320</v>
      </c>
      <c r="C87" s="2112">
        <v>0.1</v>
      </c>
      <c r="D87" s="2112">
        <v>0.1</v>
      </c>
      <c r="E87" s="2112">
        <v>9.8000000000000004E-2</v>
      </c>
      <c r="F87" s="2124"/>
    </row>
    <row r="88" spans="1:6" ht="14.25" thickBot="1">
      <c r="A88" s="1523" t="s">
        <v>1539</v>
      </c>
      <c r="B88" s="1517" t="s">
        <v>1330</v>
      </c>
      <c r="C88" s="2112">
        <v>9.1999999999999998E-2</v>
      </c>
      <c r="D88" s="2112">
        <v>8.5000000000000006E-2</v>
      </c>
      <c r="E88" s="2112">
        <v>9.6000000000000002E-2</v>
      </c>
      <c r="F88" s="2124"/>
    </row>
    <row r="89" spans="1:6" ht="14.25" thickBot="1">
      <c r="A89" s="1523" t="s">
        <v>1539</v>
      </c>
      <c r="B89" s="1517" t="s">
        <v>1341</v>
      </c>
      <c r="C89" s="2112">
        <v>0.1</v>
      </c>
      <c r="D89" s="2112">
        <v>0.1</v>
      </c>
      <c r="E89" s="2112">
        <v>9.7000000000000003E-2</v>
      </c>
      <c r="F89" s="2124"/>
    </row>
    <row r="90" spans="1:6" ht="14.25" thickBot="1">
      <c r="A90" s="1523" t="s">
        <v>1539</v>
      </c>
      <c r="B90" s="1517" t="s">
        <v>1352</v>
      </c>
      <c r="C90" s="2112">
        <v>9.8000000000000004E-2</v>
      </c>
      <c r="D90" s="2112">
        <v>9.8000000000000004E-2</v>
      </c>
      <c r="E90" s="2112">
        <v>8.7999999999999995E-2</v>
      </c>
      <c r="F90" s="2124"/>
    </row>
    <row r="91" spans="1:6" ht="14.25" thickBot="1">
      <c r="A91" s="1523" t="s">
        <v>1539</v>
      </c>
      <c r="B91" s="1517" t="s">
        <v>1362</v>
      </c>
      <c r="C91" s="2112">
        <v>9.9000000000000005E-2</v>
      </c>
      <c r="D91" s="2112">
        <v>9.9000000000000005E-2</v>
      </c>
      <c r="E91" s="2112">
        <v>9.0999999999999998E-2</v>
      </c>
      <c r="F91" s="2124"/>
    </row>
    <row r="92" spans="1:6" ht="14.25" thickBot="1">
      <c r="A92" s="1523" t="s">
        <v>1539</v>
      </c>
      <c r="B92" s="1517" t="s">
        <v>1372</v>
      </c>
      <c r="C92" s="2112">
        <v>9.6000000000000002E-2</v>
      </c>
      <c r="D92" s="2112">
        <v>9.6000000000000002E-2</v>
      </c>
      <c r="E92" s="2112">
        <v>7.2999999999999995E-2</v>
      </c>
      <c r="F92" s="2124"/>
    </row>
    <row r="93" spans="1:6" ht="14.25" thickBot="1">
      <c r="A93" s="1523" t="s">
        <v>1539</v>
      </c>
      <c r="B93" s="1517" t="s">
        <v>1382</v>
      </c>
      <c r="C93" s="2112">
        <v>9.6000000000000002E-2</v>
      </c>
      <c r="D93" s="2112">
        <v>9.6000000000000002E-2</v>
      </c>
      <c r="E93" s="2112">
        <v>9.9000000000000005E-2</v>
      </c>
      <c r="F93" s="2124"/>
    </row>
    <row r="94" spans="1:6" ht="14.25" thickBot="1">
      <c r="A94" s="1523" t="s">
        <v>1539</v>
      </c>
      <c r="B94" s="1517" t="s">
        <v>1392</v>
      </c>
      <c r="C94" s="2112">
        <v>7.5999999999999998E-2</v>
      </c>
      <c r="D94" s="2112">
        <v>7.3999999999999996E-2</v>
      </c>
      <c r="E94" s="2112">
        <v>9.7000000000000003E-2</v>
      </c>
      <c r="F94" s="2124"/>
    </row>
    <row r="95" spans="1:6" ht="14.25" thickBot="1">
      <c r="A95" s="1523" t="s">
        <v>1539</v>
      </c>
      <c r="B95" s="1517" t="s">
        <v>1401</v>
      </c>
      <c r="C95" s="2112">
        <v>9.9000000000000005E-2</v>
      </c>
      <c r="D95" s="2112">
        <v>9.4E-2</v>
      </c>
      <c r="E95" s="2112">
        <v>9.6000000000000002E-2</v>
      </c>
      <c r="F95" s="2124"/>
    </row>
    <row r="96" spans="1:6" ht="14.25" thickBot="1">
      <c r="A96" s="1523" t="s">
        <v>1539</v>
      </c>
      <c r="B96" s="1517" t="s">
        <v>1410</v>
      </c>
      <c r="C96" s="2112">
        <v>9.9000000000000005E-2</v>
      </c>
      <c r="D96" s="2112">
        <v>9.9000000000000005E-2</v>
      </c>
      <c r="E96" s="2112">
        <v>9.9000000000000005E-2</v>
      </c>
      <c r="F96" s="2124"/>
    </row>
    <row r="97" spans="1:6" ht="14.25" thickBot="1">
      <c r="A97" s="1523" t="s">
        <v>1539</v>
      </c>
      <c r="B97" s="1517" t="s">
        <v>1418</v>
      </c>
      <c r="C97" s="2112">
        <v>9.8000000000000004E-2</v>
      </c>
      <c r="D97" s="2112">
        <v>9.8000000000000004E-2</v>
      </c>
      <c r="E97" s="2112">
        <v>9.7000000000000003E-2</v>
      </c>
      <c r="F97" s="2124"/>
    </row>
    <row r="98" spans="1:6" ht="14.25" thickBot="1">
      <c r="A98" s="1523" t="s">
        <v>1539</v>
      </c>
      <c r="B98" s="1517" t="s">
        <v>1425</v>
      </c>
      <c r="C98" s="2112">
        <v>0.1</v>
      </c>
      <c r="D98" s="2112">
        <v>0.1</v>
      </c>
      <c r="E98" s="2112">
        <v>9.7000000000000003E-2</v>
      </c>
      <c r="F98" s="2124"/>
    </row>
    <row r="99" spans="1:6" ht="14.25" thickBot="1">
      <c r="A99" s="1523" t="s">
        <v>1539</v>
      </c>
      <c r="B99" s="1517" t="s">
        <v>1432</v>
      </c>
      <c r="C99" s="2112">
        <v>0.1</v>
      </c>
      <c r="D99" s="2112">
        <v>0.1</v>
      </c>
      <c r="E99" s="2125"/>
      <c r="F99" s="2124"/>
    </row>
    <row r="100" spans="1:6" ht="14.25" thickBot="1">
      <c r="A100" s="1523" t="s">
        <v>1539</v>
      </c>
      <c r="B100" s="1517" t="s">
        <v>1439</v>
      </c>
      <c r="C100" s="2112">
        <v>0.09</v>
      </c>
      <c r="D100" s="2112">
        <v>8.8999999999999996E-2</v>
      </c>
      <c r="E100" s="2125"/>
      <c r="F100" s="2124"/>
    </row>
    <row r="101" spans="1:6" ht="14.25" thickBot="1">
      <c r="A101" s="1523" t="s">
        <v>1539</v>
      </c>
      <c r="B101" s="1517" t="s">
        <v>1446</v>
      </c>
      <c r="C101" s="2112">
        <v>9.8000000000000004E-2</v>
      </c>
      <c r="D101" s="2112">
        <v>9.7000000000000003E-2</v>
      </c>
      <c r="E101" s="2125"/>
      <c r="F101" s="2124"/>
    </row>
    <row r="102" spans="1:6" ht="14.25" thickBot="1">
      <c r="A102" s="1523" t="s">
        <v>1539</v>
      </c>
      <c r="B102" s="1517" t="s">
        <v>2153</v>
      </c>
      <c r="C102" s="2125"/>
      <c r="D102" s="2125"/>
      <c r="E102" s="2125"/>
      <c r="F102" s="2113">
        <v>0.05</v>
      </c>
    </row>
    <row r="103" spans="1:6" ht="24.75" thickBot="1">
      <c r="A103" s="1523" t="s">
        <v>1539</v>
      </c>
      <c r="B103" s="1517" t="s">
        <v>2154</v>
      </c>
      <c r="C103" s="2125"/>
      <c r="D103" s="2125"/>
      <c r="E103" s="2125"/>
      <c r="F103" s="2113">
        <v>0.05</v>
      </c>
    </row>
    <row r="104" spans="1:6" ht="14.25" thickBot="1">
      <c r="A104" s="1523" t="s">
        <v>1539</v>
      </c>
      <c r="B104" s="1517" t="s">
        <v>2155</v>
      </c>
      <c r="C104" s="2125"/>
      <c r="D104" s="2125"/>
      <c r="E104" s="2125"/>
      <c r="F104" s="2113">
        <v>0.05</v>
      </c>
    </row>
    <row r="105" spans="1:6" ht="14.25" thickBot="1">
      <c r="A105" s="1523" t="s">
        <v>1539</v>
      </c>
      <c r="B105" s="1517" t="s">
        <v>2156</v>
      </c>
      <c r="C105" s="2125"/>
      <c r="D105" s="2125"/>
      <c r="E105" s="2125"/>
      <c r="F105" s="2113">
        <v>0.05</v>
      </c>
    </row>
    <row r="106" spans="1:6" ht="14.25" thickBot="1">
      <c r="A106" s="1523" t="s">
        <v>1539</v>
      </c>
      <c r="B106" s="1517" t="s">
        <v>2157</v>
      </c>
      <c r="C106" s="2125"/>
      <c r="D106" s="2125"/>
      <c r="E106" s="2125"/>
      <c r="F106" s="2113">
        <v>0.05</v>
      </c>
    </row>
    <row r="107" spans="1:6" ht="24.75" thickBot="1">
      <c r="A107" s="1523" t="s">
        <v>1539</v>
      </c>
      <c r="B107" s="1517" t="s">
        <v>2158</v>
      </c>
      <c r="C107" s="2125"/>
      <c r="D107" s="2125"/>
      <c r="E107" s="2125"/>
      <c r="F107" s="2113">
        <v>0.05</v>
      </c>
    </row>
    <row r="108" spans="1:6" ht="24.75" thickBot="1">
      <c r="A108" s="1523" t="s">
        <v>1539</v>
      </c>
      <c r="B108" s="1517" t="s">
        <v>2159</v>
      </c>
      <c r="C108" s="2125"/>
      <c r="D108" s="2125"/>
      <c r="E108" s="2125"/>
      <c r="F108" s="2113">
        <v>0.05</v>
      </c>
    </row>
    <row r="109" spans="1:6" ht="24.75" thickBot="1">
      <c r="A109" s="1533" t="s">
        <v>1539</v>
      </c>
      <c r="B109" s="1529" t="s">
        <v>2160</v>
      </c>
      <c r="C109" s="2122"/>
      <c r="D109" s="2122"/>
      <c r="E109" s="2122"/>
      <c r="F109" s="2115">
        <v>0.05</v>
      </c>
    </row>
    <row r="110" spans="1:6" ht="14.25" thickBot="1">
      <c r="A110" s="1523" t="s">
        <v>201</v>
      </c>
      <c r="B110" s="1524" t="s">
        <v>2161</v>
      </c>
      <c r="C110" s="2110">
        <v>0.129</v>
      </c>
      <c r="D110" s="2110">
        <v>0.129</v>
      </c>
      <c r="E110" s="2110">
        <v>0.126</v>
      </c>
      <c r="F110" s="2111">
        <v>0.13</v>
      </c>
    </row>
    <row r="111" spans="1:6" ht="14.25" thickBot="1">
      <c r="A111" s="1523" t="s">
        <v>201</v>
      </c>
      <c r="B111" s="1517" t="s">
        <v>1208</v>
      </c>
      <c r="C111" s="2112">
        <v>0.11</v>
      </c>
      <c r="D111" s="2112">
        <v>0.11</v>
      </c>
      <c r="E111" s="2112">
        <v>9.9000000000000005E-2</v>
      </c>
      <c r="F111" s="2113">
        <v>0.128</v>
      </c>
    </row>
    <row r="112" spans="1:6" ht="14.25" thickBot="1">
      <c r="A112" s="1523" t="s">
        <v>201</v>
      </c>
      <c r="B112" s="1517" t="s">
        <v>1221</v>
      </c>
      <c r="C112" s="2112">
        <v>0.125</v>
      </c>
      <c r="D112" s="2112">
        <v>0.125</v>
      </c>
      <c r="E112" s="2112">
        <v>0.12</v>
      </c>
      <c r="F112" s="2113">
        <v>0.125</v>
      </c>
    </row>
    <row r="113" spans="1:6" ht="14.25" thickBot="1">
      <c r="A113" s="1523" t="s">
        <v>201</v>
      </c>
      <c r="B113" s="1517" t="s">
        <v>1234</v>
      </c>
      <c r="C113" s="2112">
        <v>0.13</v>
      </c>
      <c r="D113" s="2112">
        <v>0.13</v>
      </c>
      <c r="E113" s="2112">
        <v>0.13</v>
      </c>
      <c r="F113" s="2113">
        <v>0.13</v>
      </c>
    </row>
    <row r="114" spans="1:6" ht="14.25" thickBot="1">
      <c r="A114" s="1523" t="s">
        <v>201</v>
      </c>
      <c r="B114" s="1517" t="s">
        <v>1246</v>
      </c>
      <c r="C114" s="2112">
        <v>0.123</v>
      </c>
      <c r="D114" s="2112">
        <v>0.123</v>
      </c>
      <c r="E114" s="2112">
        <v>0.12</v>
      </c>
      <c r="F114" s="2113">
        <v>0.13</v>
      </c>
    </row>
    <row r="115" spans="1:6" ht="14.25" thickBot="1">
      <c r="A115" s="1523" t="s">
        <v>201</v>
      </c>
      <c r="B115" s="1517" t="s">
        <v>1257</v>
      </c>
      <c r="C115" s="2112">
        <v>0.125</v>
      </c>
      <c r="D115" s="2112">
        <v>0.125</v>
      </c>
      <c r="E115" s="2112">
        <v>0.11700000000000001</v>
      </c>
      <c r="F115" s="2113">
        <v>0.13</v>
      </c>
    </row>
    <row r="116" spans="1:6" ht="14.25" thickBot="1">
      <c r="A116" s="1523" t="s">
        <v>201</v>
      </c>
      <c r="B116" s="1517" t="s">
        <v>1268</v>
      </c>
      <c r="C116" s="2112">
        <v>0.11700000000000001</v>
      </c>
      <c r="D116" s="2112">
        <v>0.11700000000000001</v>
      </c>
      <c r="E116" s="2112">
        <v>8.7999999999999995E-2</v>
      </c>
      <c r="F116" s="2113">
        <v>0.13</v>
      </c>
    </row>
    <row r="117" spans="1:6" ht="14.25" thickBot="1">
      <c r="A117" s="1523" t="s">
        <v>201</v>
      </c>
      <c r="B117" s="1517" t="s">
        <v>1279</v>
      </c>
      <c r="C117" s="2112">
        <v>0.13</v>
      </c>
      <c r="D117" s="2112">
        <v>0.13</v>
      </c>
      <c r="E117" s="2112">
        <v>0.129</v>
      </c>
      <c r="F117" s="2113">
        <v>0.13</v>
      </c>
    </row>
    <row r="118" spans="1:6" ht="14.25" thickBot="1">
      <c r="A118" s="1523" t="s">
        <v>201</v>
      </c>
      <c r="B118" s="1517" t="s">
        <v>1291</v>
      </c>
      <c r="C118" s="2112">
        <v>0.123</v>
      </c>
      <c r="D118" s="2112">
        <v>0.123</v>
      </c>
      <c r="E118" s="2112">
        <v>0.11600000000000001</v>
      </c>
      <c r="F118" s="2113">
        <v>0.13</v>
      </c>
    </row>
    <row r="119" spans="1:6" ht="14.25" thickBot="1">
      <c r="A119" s="1523" t="s">
        <v>201</v>
      </c>
      <c r="B119" s="1517" t="s">
        <v>1301</v>
      </c>
      <c r="C119" s="2112">
        <v>0.127</v>
      </c>
      <c r="D119" s="2112">
        <v>0.127</v>
      </c>
      <c r="E119" s="2112">
        <v>0.124</v>
      </c>
      <c r="F119" s="2113">
        <v>0.13</v>
      </c>
    </row>
    <row r="120" spans="1:6" ht="14.25" thickBot="1">
      <c r="A120" s="1523" t="s">
        <v>201</v>
      </c>
      <c r="B120" s="1517" t="s">
        <v>1311</v>
      </c>
      <c r="C120" s="2112">
        <v>0.125</v>
      </c>
      <c r="D120" s="2112">
        <v>0.125</v>
      </c>
      <c r="E120" s="2112">
        <v>0.122</v>
      </c>
      <c r="F120" s="2113">
        <v>0.13</v>
      </c>
    </row>
    <row r="121" spans="1:6" ht="14.25" thickBot="1">
      <c r="A121" s="1523" t="s">
        <v>201</v>
      </c>
      <c r="B121" s="1517" t="s">
        <v>1321</v>
      </c>
      <c r="C121" s="2112">
        <v>0.13</v>
      </c>
      <c r="D121" s="2112">
        <v>0.13</v>
      </c>
      <c r="E121" s="2112">
        <v>0.13</v>
      </c>
      <c r="F121" s="2113">
        <v>0.13</v>
      </c>
    </row>
    <row r="122" spans="1:6" ht="14.25" thickBot="1">
      <c r="A122" s="1523" t="s">
        <v>201</v>
      </c>
      <c r="B122" s="1517" t="s">
        <v>1331</v>
      </c>
      <c r="C122" s="2112">
        <v>0.13</v>
      </c>
      <c r="D122" s="2112">
        <v>0.13</v>
      </c>
      <c r="E122" s="2112">
        <v>0.125</v>
      </c>
      <c r="F122" s="2113">
        <v>0.13</v>
      </c>
    </row>
    <row r="123" spans="1:6" ht="14.25" thickBot="1">
      <c r="A123" s="1523" t="s">
        <v>201</v>
      </c>
      <c r="B123" s="1517" t="s">
        <v>1342</v>
      </c>
      <c r="C123" s="2112">
        <v>0.129</v>
      </c>
      <c r="D123" s="2112">
        <v>0.129</v>
      </c>
      <c r="E123" s="2112">
        <v>0.123</v>
      </c>
      <c r="F123" s="2113">
        <v>0.13</v>
      </c>
    </row>
    <row r="124" spans="1:6" ht="14.25" thickBot="1">
      <c r="A124" s="1523" t="s">
        <v>201</v>
      </c>
      <c r="B124" s="1517" t="s">
        <v>1353</v>
      </c>
      <c r="C124" s="2112">
        <v>0.10199999999999999</v>
      </c>
      <c r="D124" s="2112">
        <v>0.10100000000000001</v>
      </c>
      <c r="E124" s="2112">
        <v>0.08</v>
      </c>
      <c r="F124" s="2124"/>
    </row>
    <row r="125" spans="1:6" ht="14.25" thickBot="1">
      <c r="A125" s="1523" t="s">
        <v>201</v>
      </c>
      <c r="B125" s="1517" t="s">
        <v>1363</v>
      </c>
      <c r="C125" s="2112">
        <v>0.13</v>
      </c>
      <c r="D125" s="2112">
        <v>0.13</v>
      </c>
      <c r="E125" s="2112">
        <v>0.129</v>
      </c>
      <c r="F125" s="2124"/>
    </row>
    <row r="126" spans="1:6" ht="14.25" thickBot="1">
      <c r="A126" s="1523" t="s">
        <v>201</v>
      </c>
      <c r="B126" s="1517" t="s">
        <v>1373</v>
      </c>
      <c r="C126" s="2112">
        <v>0.13</v>
      </c>
      <c r="D126" s="2112">
        <v>0.13</v>
      </c>
      <c r="E126" s="2112">
        <v>0.126</v>
      </c>
      <c r="F126" s="2124"/>
    </row>
    <row r="127" spans="1:6" ht="14.25" thickBot="1">
      <c r="A127" s="1523" t="s">
        <v>201</v>
      </c>
      <c r="B127" s="1517" t="s">
        <v>1383</v>
      </c>
      <c r="C127" s="2112">
        <v>0.125</v>
      </c>
      <c r="D127" s="2112">
        <v>0.125</v>
      </c>
      <c r="E127" s="2112">
        <v>0.121</v>
      </c>
      <c r="F127" s="2124"/>
    </row>
    <row r="128" spans="1:6" ht="14.25" thickBot="1">
      <c r="A128" s="1523" t="s">
        <v>201</v>
      </c>
      <c r="B128" s="1517" t="s">
        <v>1393</v>
      </c>
      <c r="C128" s="2112">
        <v>0.12</v>
      </c>
      <c r="D128" s="2112">
        <v>0.12</v>
      </c>
      <c r="E128" s="2112">
        <v>0.105</v>
      </c>
      <c r="F128" s="2124"/>
    </row>
    <row r="129" spans="1:6" ht="14.25" thickBot="1">
      <c r="A129" s="1523" t="s">
        <v>201</v>
      </c>
      <c r="B129" s="1517" t="s">
        <v>1402</v>
      </c>
      <c r="C129" s="2112">
        <v>0.13</v>
      </c>
      <c r="D129" s="2112">
        <v>0.13</v>
      </c>
      <c r="E129" s="2112">
        <v>0.126</v>
      </c>
      <c r="F129" s="2124"/>
    </row>
    <row r="130" spans="1:6" ht="14.25" thickBot="1">
      <c r="A130" s="1523" t="s">
        <v>201</v>
      </c>
      <c r="B130" s="1517" t="s">
        <v>1411</v>
      </c>
      <c r="C130" s="2112">
        <v>0.125</v>
      </c>
      <c r="D130" s="2112">
        <v>0.125</v>
      </c>
      <c r="E130" s="2112">
        <v>0.122</v>
      </c>
      <c r="F130" s="2124"/>
    </row>
    <row r="131" spans="1:6" ht="14.25" thickBot="1">
      <c r="A131" s="1523" t="s">
        <v>201</v>
      </c>
      <c r="B131" s="1517" t="s">
        <v>1419</v>
      </c>
      <c r="C131" s="2112">
        <v>0.127</v>
      </c>
      <c r="D131" s="2112">
        <v>0.126</v>
      </c>
      <c r="E131" s="2112">
        <v>0.123</v>
      </c>
      <c r="F131" s="2124"/>
    </row>
    <row r="132" spans="1:6" ht="14.25" thickBot="1">
      <c r="A132" s="1523" t="s">
        <v>201</v>
      </c>
      <c r="B132" s="1517" t="s">
        <v>1426</v>
      </c>
      <c r="C132" s="2112">
        <v>9.0999999999999998E-2</v>
      </c>
      <c r="D132" s="2112">
        <v>0.121</v>
      </c>
      <c r="E132" s="2112">
        <v>9.9000000000000005E-2</v>
      </c>
      <c r="F132" s="2124"/>
    </row>
    <row r="133" spans="1:6" ht="14.25" thickBot="1">
      <c r="A133" s="1523" t="s">
        <v>201</v>
      </c>
      <c r="B133" s="1517" t="s">
        <v>1433</v>
      </c>
      <c r="C133" s="2112">
        <v>0.13</v>
      </c>
      <c r="D133" s="2112">
        <v>0.13</v>
      </c>
      <c r="E133" s="2112">
        <v>0.129</v>
      </c>
      <c r="F133" s="2124"/>
    </row>
    <row r="134" spans="1:6" ht="14.25" thickBot="1">
      <c r="A134" s="1523" t="s">
        <v>201</v>
      </c>
      <c r="B134" s="1517" t="s">
        <v>2162</v>
      </c>
      <c r="C134" s="2112">
        <v>6.8000000000000005E-2</v>
      </c>
      <c r="D134" s="2112">
        <v>6.5000000000000002E-2</v>
      </c>
      <c r="E134" s="2112">
        <v>6.5000000000000002E-2</v>
      </c>
      <c r="F134" s="2113">
        <v>0.13</v>
      </c>
    </row>
    <row r="135" spans="1:6" ht="14.25" thickBot="1">
      <c r="A135" s="1523" t="s">
        <v>201</v>
      </c>
      <c r="B135" s="1517" t="s">
        <v>1447</v>
      </c>
      <c r="C135" s="2112">
        <v>0.123</v>
      </c>
      <c r="D135" s="2112">
        <v>0.123</v>
      </c>
      <c r="E135" s="2112">
        <v>0.11</v>
      </c>
      <c r="F135" s="2124"/>
    </row>
    <row r="136" spans="1:6" ht="14.25" thickBot="1">
      <c r="A136" s="1523" t="s">
        <v>201</v>
      </c>
      <c r="B136" s="1517" t="s">
        <v>1454</v>
      </c>
      <c r="C136" s="2112">
        <v>0.13</v>
      </c>
      <c r="D136" s="2112">
        <v>0.13</v>
      </c>
      <c r="E136" s="2112">
        <v>0.125</v>
      </c>
      <c r="F136" s="2124"/>
    </row>
    <row r="137" spans="1:6" ht="14.25" thickBot="1">
      <c r="A137" s="1523" t="s">
        <v>201</v>
      </c>
      <c r="B137" s="1517" t="s">
        <v>1461</v>
      </c>
      <c r="C137" s="2112">
        <v>0.121</v>
      </c>
      <c r="D137" s="2112">
        <v>0.122</v>
      </c>
      <c r="E137" s="2112">
        <v>0.115</v>
      </c>
      <c r="F137" s="2124"/>
    </row>
    <row r="138" spans="1:6" ht="14.25" thickBot="1">
      <c r="A138" s="1523" t="s">
        <v>201</v>
      </c>
      <c r="B138" s="1517" t="s">
        <v>2163</v>
      </c>
      <c r="C138" s="2112">
        <v>0.105</v>
      </c>
      <c r="D138" s="2112">
        <v>0.125</v>
      </c>
      <c r="E138" s="2112">
        <v>0.112</v>
      </c>
      <c r="F138" s="2124"/>
    </row>
    <row r="139" spans="1:6" ht="14.25" thickBot="1">
      <c r="A139" s="1523" t="s">
        <v>201</v>
      </c>
      <c r="B139" s="1517" t="s">
        <v>2164</v>
      </c>
      <c r="C139" s="2112">
        <v>0.127</v>
      </c>
      <c r="D139" s="2112">
        <v>0.127</v>
      </c>
      <c r="E139" s="2112">
        <v>0.122</v>
      </c>
      <c r="F139" s="2113">
        <v>0.13</v>
      </c>
    </row>
    <row r="140" spans="1:6" ht="14.25" thickBot="1">
      <c r="A140" s="1523" t="s">
        <v>201</v>
      </c>
      <c r="B140" s="1517" t="s">
        <v>2165</v>
      </c>
      <c r="C140" s="2112">
        <v>0.125</v>
      </c>
      <c r="D140" s="2112">
        <v>0.125</v>
      </c>
      <c r="E140" s="2112">
        <v>0.11899999999999999</v>
      </c>
      <c r="F140" s="2113">
        <v>0.13</v>
      </c>
    </row>
    <row r="141" spans="1:6" ht="14.25" thickBot="1">
      <c r="A141" s="1523" t="s">
        <v>201</v>
      </c>
      <c r="B141" s="1517" t="s">
        <v>1480</v>
      </c>
      <c r="C141" s="2112">
        <v>0.125</v>
      </c>
      <c r="D141" s="2112">
        <v>0.125</v>
      </c>
      <c r="E141" s="2112">
        <v>0.11700000000000001</v>
      </c>
      <c r="F141" s="2124"/>
    </row>
    <row r="142" spans="1:6" ht="14.25" thickBot="1">
      <c r="A142" s="1523" t="s">
        <v>201</v>
      </c>
      <c r="B142" s="1517" t="s">
        <v>1485</v>
      </c>
      <c r="C142" s="2112">
        <v>0.125</v>
      </c>
      <c r="D142" s="2112">
        <v>0.125</v>
      </c>
      <c r="E142" s="2112">
        <v>0.115</v>
      </c>
      <c r="F142" s="2124"/>
    </row>
    <row r="143" spans="1:6" ht="14.25" thickBot="1">
      <c r="A143" s="1523" t="s">
        <v>201</v>
      </c>
      <c r="B143" s="1517" t="s">
        <v>1490</v>
      </c>
      <c r="C143" s="2112">
        <v>0.121</v>
      </c>
      <c r="D143" s="2112">
        <v>0.121</v>
      </c>
      <c r="E143" s="2112">
        <v>0.108</v>
      </c>
      <c r="F143" s="2124"/>
    </row>
    <row r="144" spans="1:6" ht="14.25" thickBot="1">
      <c r="A144" s="1523" t="s">
        <v>201</v>
      </c>
      <c r="B144" s="2116" t="s">
        <v>2166</v>
      </c>
      <c r="C144" s="2117">
        <v>0.126</v>
      </c>
      <c r="D144" s="2117">
        <v>0.126</v>
      </c>
      <c r="E144" s="2117">
        <v>0.121</v>
      </c>
      <c r="F144" s="2124"/>
    </row>
    <row r="145" spans="1:6" ht="14.25" thickBot="1">
      <c r="A145" s="1533" t="s">
        <v>201</v>
      </c>
      <c r="B145" s="2118" t="s">
        <v>2167</v>
      </c>
      <c r="C145" s="2126"/>
      <c r="D145" s="2126"/>
      <c r="E145" s="2126"/>
      <c r="F145" s="2119">
        <v>0.05</v>
      </c>
    </row>
    <row r="146" spans="1:6" ht="24.75" thickBot="1">
      <c r="A146" s="2120" t="s">
        <v>201</v>
      </c>
      <c r="B146" s="1527" t="s">
        <v>2168</v>
      </c>
      <c r="C146" s="2125"/>
      <c r="D146" s="2125"/>
      <c r="E146" s="2125"/>
      <c r="F146" s="2121">
        <v>0.05</v>
      </c>
    </row>
    <row r="147" spans="1:6" ht="24.75" thickBot="1">
      <c r="A147" s="1523" t="s">
        <v>201</v>
      </c>
      <c r="B147" s="1517" t="s">
        <v>2169</v>
      </c>
      <c r="C147" s="2125"/>
      <c r="D147" s="2125"/>
      <c r="E147" s="2125"/>
      <c r="F147" s="2113">
        <v>0.05</v>
      </c>
    </row>
    <row r="148" spans="1:6" ht="24.75" thickBot="1">
      <c r="A148" s="1523" t="s">
        <v>201</v>
      </c>
      <c r="B148" s="1517" t="s">
        <v>2170</v>
      </c>
      <c r="C148" s="2125"/>
      <c r="D148" s="2125"/>
      <c r="E148" s="2125"/>
      <c r="F148" s="2113">
        <v>0.05</v>
      </c>
    </row>
    <row r="149" spans="1:6" ht="24.75" thickBot="1">
      <c r="A149" s="1523" t="s">
        <v>201</v>
      </c>
      <c r="B149" s="1517" t="s">
        <v>2171</v>
      </c>
      <c r="C149" s="2125"/>
      <c r="D149" s="2125"/>
      <c r="E149" s="2125"/>
      <c r="F149" s="2113">
        <v>0.05</v>
      </c>
    </row>
    <row r="150" spans="1:6" ht="24.75" thickBot="1">
      <c r="A150" s="1523" t="s">
        <v>201</v>
      </c>
      <c r="B150" s="1517" t="s">
        <v>2172</v>
      </c>
      <c r="C150" s="2125"/>
      <c r="D150" s="2125"/>
      <c r="E150" s="2125"/>
      <c r="F150" s="2113">
        <v>0.05</v>
      </c>
    </row>
    <row r="151" spans="1:6" ht="24.75" thickBot="1">
      <c r="A151" s="1523" t="s">
        <v>201</v>
      </c>
      <c r="B151" s="1517" t="s">
        <v>2173</v>
      </c>
      <c r="C151" s="2125"/>
      <c r="D151" s="2125"/>
      <c r="E151" s="2125"/>
      <c r="F151" s="2113">
        <v>0.05</v>
      </c>
    </row>
    <row r="152" spans="1:6" ht="24.75" thickBot="1">
      <c r="A152" s="1523" t="s">
        <v>201</v>
      </c>
      <c r="B152" s="1517" t="s">
        <v>1523</v>
      </c>
      <c r="C152" s="2125"/>
      <c r="D152" s="2125"/>
      <c r="E152" s="2125"/>
      <c r="F152" s="2113">
        <v>0.05</v>
      </c>
    </row>
    <row r="153" spans="1:6" ht="14.25" thickBot="1">
      <c r="A153" s="1523" t="s">
        <v>201</v>
      </c>
      <c r="B153" s="1517" t="s">
        <v>2174</v>
      </c>
      <c r="C153" s="2125"/>
      <c r="D153" s="2125"/>
      <c r="E153" s="2125"/>
      <c r="F153" s="2113">
        <v>0.05</v>
      </c>
    </row>
    <row r="154" spans="1:6" ht="14.25" thickBot="1">
      <c r="A154" s="1523" t="s">
        <v>201</v>
      </c>
      <c r="B154" s="1517" t="s">
        <v>2175</v>
      </c>
      <c r="C154" s="2125"/>
      <c r="D154" s="2125"/>
      <c r="E154" s="2125"/>
      <c r="F154" s="2113">
        <v>0.05</v>
      </c>
    </row>
    <row r="155" spans="1:6" ht="24.75" thickBot="1">
      <c r="A155" s="1523" t="s">
        <v>201</v>
      </c>
      <c r="B155" s="1517" t="s">
        <v>2176</v>
      </c>
      <c r="C155" s="2125"/>
      <c r="D155" s="2125"/>
      <c r="E155" s="2125"/>
      <c r="F155" s="2113">
        <v>0.05</v>
      </c>
    </row>
    <row r="156" spans="1:6" ht="24.75" thickBot="1">
      <c r="A156" s="1523" t="s">
        <v>201</v>
      </c>
      <c r="B156" s="1517" t="s">
        <v>2177</v>
      </c>
      <c r="C156" s="2125"/>
      <c r="D156" s="2125"/>
      <c r="E156" s="2125"/>
      <c r="F156" s="2113">
        <v>0.05</v>
      </c>
    </row>
    <row r="157" spans="1:6" ht="14.25" thickBot="1">
      <c r="A157" s="1533" t="s">
        <v>201</v>
      </c>
      <c r="B157" s="1529" t="s">
        <v>2178</v>
      </c>
      <c r="C157" s="2122"/>
      <c r="D157" s="2122"/>
      <c r="E157" s="2122"/>
      <c r="F157" s="2115">
        <v>0.05</v>
      </c>
    </row>
    <row r="158" spans="1:6" ht="14.25" thickBot="1">
      <c r="A158" s="1523" t="s">
        <v>1542</v>
      </c>
      <c r="B158" s="1524" t="s">
        <v>2179</v>
      </c>
      <c r="C158" s="2110">
        <v>0.13</v>
      </c>
      <c r="D158" s="2110">
        <v>0.13</v>
      </c>
      <c r="E158" s="2110">
        <v>0.13</v>
      </c>
      <c r="F158" s="2111">
        <v>0.13</v>
      </c>
    </row>
    <row r="159" spans="1:6" ht="14.25" thickBot="1">
      <c r="A159" s="1523" t="s">
        <v>1542</v>
      </c>
      <c r="B159" s="1517" t="s">
        <v>1209</v>
      </c>
      <c r="C159" s="2112">
        <v>0.13</v>
      </c>
      <c r="D159" s="2112">
        <v>0.13</v>
      </c>
      <c r="E159" s="2112">
        <v>0.13</v>
      </c>
      <c r="F159" s="2113">
        <v>0.13</v>
      </c>
    </row>
    <row r="160" spans="1:6" ht="14.25" thickBot="1">
      <c r="A160" s="1523" t="s">
        <v>1542</v>
      </c>
      <c r="B160" s="1517" t="s">
        <v>1222</v>
      </c>
      <c r="C160" s="2112">
        <v>0.13</v>
      </c>
      <c r="D160" s="2112">
        <v>0.13</v>
      </c>
      <c r="E160" s="2112">
        <v>0.129</v>
      </c>
      <c r="F160" s="2113">
        <v>0.13</v>
      </c>
    </row>
    <row r="161" spans="1:6" ht="14.25" thickBot="1">
      <c r="A161" s="1523" t="s">
        <v>1542</v>
      </c>
      <c r="B161" s="1517" t="s">
        <v>1235</v>
      </c>
      <c r="C161" s="2112">
        <v>0.128</v>
      </c>
      <c r="D161" s="2112">
        <v>0.128</v>
      </c>
      <c r="E161" s="2112">
        <v>0.125</v>
      </c>
      <c r="F161" s="2113">
        <v>0.13</v>
      </c>
    </row>
    <row r="162" spans="1:6" ht="14.25" thickBot="1">
      <c r="A162" s="1523" t="s">
        <v>1542</v>
      </c>
      <c r="B162" s="1517" t="s">
        <v>1247</v>
      </c>
      <c r="C162" s="2112">
        <v>0.122</v>
      </c>
      <c r="D162" s="2112">
        <v>0.122</v>
      </c>
      <c r="E162" s="2112">
        <v>0.126</v>
      </c>
      <c r="F162" s="2113">
        <v>0.122</v>
      </c>
    </row>
    <row r="163" spans="1:6" ht="14.25" thickBot="1">
      <c r="A163" s="1523" t="s">
        <v>1542</v>
      </c>
      <c r="B163" s="1517" t="s">
        <v>1258</v>
      </c>
      <c r="C163" s="2112">
        <v>0.13</v>
      </c>
      <c r="D163" s="2112">
        <v>0.13</v>
      </c>
      <c r="E163" s="2112">
        <v>0.125</v>
      </c>
      <c r="F163" s="2113">
        <v>0.13</v>
      </c>
    </row>
    <row r="164" spans="1:6" ht="14.25" thickBot="1">
      <c r="A164" s="1523" t="s">
        <v>1542</v>
      </c>
      <c r="B164" s="1517" t="s">
        <v>1269</v>
      </c>
      <c r="C164" s="2112">
        <v>0.13</v>
      </c>
      <c r="D164" s="2112">
        <v>0.13</v>
      </c>
      <c r="E164" s="2112">
        <v>0.13</v>
      </c>
      <c r="F164" s="2113">
        <v>0.13</v>
      </c>
    </row>
    <row r="165" spans="1:6" ht="14.25" thickBot="1">
      <c r="A165" s="1523" t="s">
        <v>1542</v>
      </c>
      <c r="B165" s="1517" t="s">
        <v>1280</v>
      </c>
      <c r="C165" s="2112">
        <v>0.13</v>
      </c>
      <c r="D165" s="2112">
        <v>0.13</v>
      </c>
      <c r="E165" s="2112">
        <v>0.124</v>
      </c>
      <c r="F165" s="2113">
        <v>0.13</v>
      </c>
    </row>
    <row r="166" spans="1:6" ht="14.25" thickBot="1">
      <c r="A166" s="1523" t="s">
        <v>1542</v>
      </c>
      <c r="B166" s="1517" t="s">
        <v>1292</v>
      </c>
      <c r="C166" s="2112">
        <v>0.13</v>
      </c>
      <c r="D166" s="2112">
        <v>0.13</v>
      </c>
      <c r="E166" s="2112">
        <v>0.13</v>
      </c>
      <c r="F166" s="2113">
        <v>0.13</v>
      </c>
    </row>
    <row r="167" spans="1:6" ht="14.25" thickBot="1">
      <c r="A167" s="1523" t="s">
        <v>1542</v>
      </c>
      <c r="B167" s="1517" t="s">
        <v>1302</v>
      </c>
      <c r="C167" s="2112">
        <v>0.125</v>
      </c>
      <c r="D167" s="2112">
        <v>0.125</v>
      </c>
      <c r="E167" s="2112">
        <v>0.121</v>
      </c>
      <c r="F167" s="2124"/>
    </row>
    <row r="168" spans="1:6" ht="14.25" thickBot="1">
      <c r="A168" s="1523" t="s">
        <v>1542</v>
      </c>
      <c r="B168" s="1517" t="s">
        <v>1312</v>
      </c>
      <c r="C168" s="2112">
        <v>0.13</v>
      </c>
      <c r="D168" s="2112">
        <v>0.13</v>
      </c>
      <c r="E168" s="2112">
        <v>0.126</v>
      </c>
      <c r="F168" s="2124"/>
    </row>
    <row r="169" spans="1:6" ht="14.25" thickBot="1">
      <c r="A169" s="1523" t="s">
        <v>1542</v>
      </c>
      <c r="B169" s="1517" t="s">
        <v>1322</v>
      </c>
      <c r="C169" s="2112">
        <v>0.128</v>
      </c>
      <c r="D169" s="2112">
        <v>0.129</v>
      </c>
      <c r="E169" s="2112">
        <v>0.13</v>
      </c>
      <c r="F169" s="2124"/>
    </row>
    <row r="170" spans="1:6" ht="14.25" thickBot="1">
      <c r="A170" s="1523" t="s">
        <v>1542</v>
      </c>
      <c r="B170" s="1517" t="s">
        <v>1332</v>
      </c>
      <c r="C170" s="2112">
        <v>0.14099999999999999</v>
      </c>
      <c r="D170" s="2112">
        <v>0.13</v>
      </c>
      <c r="E170" s="2112">
        <v>0.125</v>
      </c>
      <c r="F170" s="2124"/>
    </row>
    <row r="171" spans="1:6" ht="14.25" thickBot="1">
      <c r="A171" s="1523" t="s">
        <v>1542</v>
      </c>
      <c r="B171" s="1517" t="s">
        <v>2180</v>
      </c>
      <c r="C171" s="2112">
        <v>0.127</v>
      </c>
      <c r="D171" s="2112">
        <v>0.126</v>
      </c>
      <c r="E171" s="2112">
        <v>0.126</v>
      </c>
      <c r="F171" s="2113">
        <v>0.11799999999999999</v>
      </c>
    </row>
    <row r="172" spans="1:6" ht="14.25" thickBot="1">
      <c r="A172" s="1523" t="s">
        <v>1542</v>
      </c>
      <c r="B172" s="1517" t="s">
        <v>2181</v>
      </c>
      <c r="C172" s="2112">
        <v>0.13</v>
      </c>
      <c r="D172" s="2112">
        <v>0.13</v>
      </c>
      <c r="E172" s="2112">
        <v>0.13</v>
      </c>
      <c r="F172" s="2124"/>
    </row>
    <row r="173" spans="1:6" ht="14.25" thickBot="1">
      <c r="A173" s="1523" t="s">
        <v>1542</v>
      </c>
      <c r="B173" s="1517" t="s">
        <v>1364</v>
      </c>
      <c r="C173" s="2112">
        <v>0.13</v>
      </c>
      <c r="D173" s="2112">
        <v>0.13</v>
      </c>
      <c r="E173" s="2112">
        <v>0.13</v>
      </c>
      <c r="F173" s="2124"/>
    </row>
    <row r="174" spans="1:6" ht="14.25" thickBot="1">
      <c r="A174" s="1523" t="s">
        <v>1542</v>
      </c>
      <c r="B174" s="1517" t="s">
        <v>2182</v>
      </c>
      <c r="C174" s="2112">
        <v>0.13</v>
      </c>
      <c r="D174" s="2112">
        <v>0.13</v>
      </c>
      <c r="E174" s="2112">
        <v>0.13</v>
      </c>
      <c r="F174" s="2113">
        <v>0.13</v>
      </c>
    </row>
    <row r="175" spans="1:6" ht="14.25" thickBot="1">
      <c r="A175" s="1523" t="s">
        <v>1542</v>
      </c>
      <c r="B175" s="1517" t="s">
        <v>2183</v>
      </c>
      <c r="C175" s="2112">
        <v>0.13</v>
      </c>
      <c r="D175" s="2112">
        <v>0.13</v>
      </c>
      <c r="E175" s="2112">
        <v>0.13</v>
      </c>
      <c r="F175" s="2113">
        <v>0.13</v>
      </c>
    </row>
    <row r="176" spans="1:6" ht="14.25" thickBot="1">
      <c r="A176" s="1523" t="s">
        <v>1542</v>
      </c>
      <c r="B176" s="1517" t="s">
        <v>1394</v>
      </c>
      <c r="C176" s="2112">
        <v>0.13</v>
      </c>
      <c r="D176" s="2112">
        <v>0.13</v>
      </c>
      <c r="E176" s="2112">
        <v>0.13</v>
      </c>
      <c r="F176" s="2113">
        <v>0.13</v>
      </c>
    </row>
    <row r="177" spans="1:6" ht="14.25" thickBot="1">
      <c r="A177" s="1523" t="s">
        <v>1542</v>
      </c>
      <c r="B177" s="1517" t="s">
        <v>2184</v>
      </c>
      <c r="C177" s="2112">
        <v>0.13</v>
      </c>
      <c r="D177" s="2112">
        <v>0.13</v>
      </c>
      <c r="E177" s="2112">
        <v>0.13</v>
      </c>
      <c r="F177" s="2113">
        <v>0.13</v>
      </c>
    </row>
    <row r="178" spans="1:6" ht="14.25" thickBot="1">
      <c r="A178" s="1523" t="s">
        <v>1542</v>
      </c>
      <c r="B178" s="1517" t="s">
        <v>1412</v>
      </c>
      <c r="C178" s="2112">
        <v>0.13</v>
      </c>
      <c r="D178" s="2112">
        <v>0.13</v>
      </c>
      <c r="E178" s="2112">
        <v>0.13</v>
      </c>
      <c r="F178" s="2113">
        <v>0.127</v>
      </c>
    </row>
    <row r="179" spans="1:6" ht="14.25" thickBot="1">
      <c r="A179" s="1523" t="s">
        <v>1542</v>
      </c>
      <c r="B179" s="1517" t="s">
        <v>1420</v>
      </c>
      <c r="C179" s="2112">
        <v>0.13</v>
      </c>
      <c r="D179" s="2112">
        <v>0.13</v>
      </c>
      <c r="E179" s="2112">
        <v>0.13</v>
      </c>
      <c r="F179" s="2124"/>
    </row>
    <row r="180" spans="1:6" ht="14.25" thickBot="1">
      <c r="A180" s="1523" t="s">
        <v>1542</v>
      </c>
      <c r="B180" s="1517" t="s">
        <v>2185</v>
      </c>
      <c r="C180" s="2112">
        <v>0.13</v>
      </c>
      <c r="D180" s="2112">
        <v>0.13</v>
      </c>
      <c r="E180" s="2112">
        <v>0.125</v>
      </c>
      <c r="F180" s="2113">
        <v>0.13</v>
      </c>
    </row>
    <row r="181" spans="1:6" ht="14.25" thickBot="1">
      <c r="A181" s="1523" t="s">
        <v>1542</v>
      </c>
      <c r="B181" s="1517" t="s">
        <v>1434</v>
      </c>
      <c r="C181" s="2112">
        <v>0.122</v>
      </c>
      <c r="D181" s="2112">
        <v>0.123</v>
      </c>
      <c r="E181" s="2112">
        <v>0.126</v>
      </c>
      <c r="F181" s="2113">
        <v>0.121</v>
      </c>
    </row>
    <row r="182" spans="1:6" ht="14.25" thickBot="1">
      <c r="A182" s="1523" t="s">
        <v>1542</v>
      </c>
      <c r="B182" s="1517" t="s">
        <v>1441</v>
      </c>
      <c r="C182" s="2112">
        <v>0.125</v>
      </c>
      <c r="D182" s="2112">
        <v>0.125</v>
      </c>
      <c r="E182" s="2112">
        <v>0.11700000000000001</v>
      </c>
      <c r="F182" s="2113">
        <v>0.13</v>
      </c>
    </row>
    <row r="183" spans="1:6" ht="14.25" thickBot="1">
      <c r="A183" s="1523" t="s">
        <v>1542</v>
      </c>
      <c r="B183" s="1517" t="s">
        <v>1448</v>
      </c>
      <c r="C183" s="2112">
        <v>0.127</v>
      </c>
      <c r="D183" s="2112">
        <v>0.127</v>
      </c>
      <c r="E183" s="2112">
        <v>0.128</v>
      </c>
      <c r="F183" s="2124"/>
    </row>
    <row r="184" spans="1:6" ht="14.25" thickBot="1">
      <c r="A184" s="1523" t="s">
        <v>1542</v>
      </c>
      <c r="B184" s="1517" t="s">
        <v>1455</v>
      </c>
      <c r="C184" s="2112">
        <v>0.125</v>
      </c>
      <c r="D184" s="2112">
        <v>0.125</v>
      </c>
      <c r="E184" s="2112">
        <v>0.127</v>
      </c>
      <c r="F184" s="2124"/>
    </row>
    <row r="185" spans="1:6" ht="14.25" thickBot="1">
      <c r="A185" s="1523" t="s">
        <v>1542</v>
      </c>
      <c r="B185" s="1517" t="s">
        <v>2186</v>
      </c>
      <c r="C185" s="2112">
        <v>0.127</v>
      </c>
      <c r="D185" s="2112">
        <v>0.127</v>
      </c>
      <c r="E185" s="2112">
        <v>0.128</v>
      </c>
      <c r="F185" s="2113">
        <v>0.13</v>
      </c>
    </row>
    <row r="186" spans="1:6" ht="24.75" thickBot="1">
      <c r="A186" s="1523" t="s">
        <v>1542</v>
      </c>
      <c r="B186" s="1517" t="s">
        <v>2187</v>
      </c>
      <c r="C186" s="2125"/>
      <c r="D186" s="2125"/>
      <c r="E186" s="2125"/>
      <c r="F186" s="2113">
        <v>0.05</v>
      </c>
    </row>
    <row r="187" spans="1:6" ht="14.25" thickBot="1">
      <c r="A187" s="1523" t="s">
        <v>1542</v>
      </c>
      <c r="B187" s="1517" t="s">
        <v>2188</v>
      </c>
      <c r="C187" s="2125"/>
      <c r="D187" s="2125"/>
      <c r="E187" s="2125"/>
      <c r="F187" s="2113">
        <v>0.05</v>
      </c>
    </row>
    <row r="188" spans="1:6" ht="14.25" thickBot="1">
      <c r="A188" s="1523" t="s">
        <v>1542</v>
      </c>
      <c r="B188" s="1517" t="s">
        <v>2189</v>
      </c>
      <c r="C188" s="2125"/>
      <c r="D188" s="2125"/>
      <c r="E188" s="2125"/>
      <c r="F188" s="2113">
        <v>0.05</v>
      </c>
    </row>
    <row r="189" spans="1:6" ht="24.75" thickBot="1">
      <c r="A189" s="1523" t="s">
        <v>1542</v>
      </c>
      <c r="B189" s="1517" t="s">
        <v>2190</v>
      </c>
      <c r="C189" s="2125"/>
      <c r="D189" s="2125"/>
      <c r="E189" s="2125"/>
      <c r="F189" s="2113">
        <v>0.05</v>
      </c>
    </row>
    <row r="190" spans="1:6" ht="24.75" thickBot="1">
      <c r="A190" s="1523" t="s">
        <v>1542</v>
      </c>
      <c r="B190" s="1517" t="s">
        <v>2191</v>
      </c>
      <c r="C190" s="2125"/>
      <c r="D190" s="2125"/>
      <c r="E190" s="2125"/>
      <c r="F190" s="2113">
        <v>0.05</v>
      </c>
    </row>
    <row r="191" spans="1:6" ht="24.75" thickBot="1">
      <c r="A191" s="1523" t="s">
        <v>1542</v>
      </c>
      <c r="B191" s="1517" t="s">
        <v>2192</v>
      </c>
      <c r="C191" s="2125"/>
      <c r="D191" s="2125"/>
      <c r="E191" s="2125"/>
      <c r="F191" s="2113">
        <v>0.05</v>
      </c>
    </row>
    <row r="192" spans="1:6" ht="24.75" thickBot="1">
      <c r="A192" s="1523" t="s">
        <v>1542</v>
      </c>
      <c r="B192" s="1517" t="s">
        <v>2193</v>
      </c>
      <c r="C192" s="2125"/>
      <c r="D192" s="2125"/>
      <c r="E192" s="2125"/>
      <c r="F192" s="2113">
        <v>0.05</v>
      </c>
    </row>
    <row r="193" spans="1:6" ht="24.75" thickBot="1">
      <c r="A193" s="1523" t="s">
        <v>1542</v>
      </c>
      <c r="B193" s="1517" t="s">
        <v>2194</v>
      </c>
      <c r="C193" s="2125"/>
      <c r="D193" s="2125"/>
      <c r="E193" s="2125"/>
      <c r="F193" s="2113">
        <v>0.05</v>
      </c>
    </row>
    <row r="194" spans="1:6" ht="24.75" thickBot="1">
      <c r="A194" s="1523" t="s">
        <v>1542</v>
      </c>
      <c r="B194" s="1517" t="s">
        <v>2195</v>
      </c>
      <c r="C194" s="2125"/>
      <c r="D194" s="2125"/>
      <c r="E194" s="2125"/>
      <c r="F194" s="2113">
        <v>0.05</v>
      </c>
    </row>
    <row r="195" spans="1:6" ht="14.25" thickBot="1">
      <c r="A195" s="1523" t="s">
        <v>1542</v>
      </c>
      <c r="B195" s="1517" t="s">
        <v>2196</v>
      </c>
      <c r="C195" s="2125"/>
      <c r="D195" s="2125"/>
      <c r="E195" s="2125"/>
      <c r="F195" s="2113">
        <v>0.05</v>
      </c>
    </row>
    <row r="196" spans="1:6" ht="24.75" thickBot="1">
      <c r="A196" s="1523" t="s">
        <v>1542</v>
      </c>
      <c r="B196" s="1517" t="s">
        <v>2197</v>
      </c>
      <c r="C196" s="2125"/>
      <c r="D196" s="2125"/>
      <c r="E196" s="2125"/>
      <c r="F196" s="2113">
        <v>0.05</v>
      </c>
    </row>
    <row r="197" spans="1:6" ht="24.75" thickBot="1">
      <c r="A197" s="1523" t="s">
        <v>1542</v>
      </c>
      <c r="B197" s="1517" t="s">
        <v>2198</v>
      </c>
      <c r="C197" s="2125"/>
      <c r="D197" s="2125"/>
      <c r="E197" s="2125"/>
      <c r="F197" s="2113">
        <v>0.05</v>
      </c>
    </row>
    <row r="198" spans="1:6" ht="24.75" thickBot="1">
      <c r="A198" s="1523" t="s">
        <v>1542</v>
      </c>
      <c r="B198" s="1517" t="s">
        <v>2199</v>
      </c>
      <c r="C198" s="2125"/>
      <c r="D198" s="2125"/>
      <c r="E198" s="2125"/>
      <c r="F198" s="2113">
        <v>0.05</v>
      </c>
    </row>
    <row r="199" spans="1:6" ht="24.75" thickBot="1">
      <c r="A199" s="1523" t="s">
        <v>1542</v>
      </c>
      <c r="B199" s="1517" t="s">
        <v>2200</v>
      </c>
      <c r="C199" s="2125"/>
      <c r="D199" s="2125"/>
      <c r="E199" s="2125"/>
      <c r="F199" s="2113">
        <v>0.05</v>
      </c>
    </row>
    <row r="200" spans="1:6" ht="24.75" thickBot="1">
      <c r="A200" s="1523" t="s">
        <v>1542</v>
      </c>
      <c r="B200" s="1517" t="s">
        <v>2201</v>
      </c>
      <c r="C200" s="2125"/>
      <c r="D200" s="2125"/>
      <c r="E200" s="2125"/>
      <c r="F200" s="2113">
        <v>0.05</v>
      </c>
    </row>
    <row r="201" spans="1:6" ht="24.75" thickBot="1">
      <c r="A201" s="1523" t="s">
        <v>1542</v>
      </c>
      <c r="B201" s="1517" t="s">
        <v>2202</v>
      </c>
      <c r="C201" s="2125"/>
      <c r="D201" s="2125"/>
      <c r="E201" s="2125"/>
      <c r="F201" s="2113">
        <v>0.05</v>
      </c>
    </row>
    <row r="202" spans="1:6" ht="24.75" thickBot="1">
      <c r="A202" s="1523" t="s">
        <v>1542</v>
      </c>
      <c r="B202" s="1517" t="s">
        <v>2203</v>
      </c>
      <c r="C202" s="2125"/>
      <c r="D202" s="2125"/>
      <c r="E202" s="2125"/>
      <c r="F202" s="2113">
        <v>0.05</v>
      </c>
    </row>
    <row r="203" spans="1:6" ht="24.75" thickBot="1">
      <c r="A203" s="1523" t="s">
        <v>1542</v>
      </c>
      <c r="B203" s="1517" t="s">
        <v>2204</v>
      </c>
      <c r="C203" s="2125"/>
      <c r="D203" s="2125"/>
      <c r="E203" s="2125"/>
      <c r="F203" s="2113">
        <v>0.05</v>
      </c>
    </row>
    <row r="204" spans="1:6" ht="14.25" thickBot="1">
      <c r="A204" s="1523" t="s">
        <v>1542</v>
      </c>
      <c r="B204" s="1517" t="s">
        <v>2205</v>
      </c>
      <c r="C204" s="2125"/>
      <c r="D204" s="2125"/>
      <c r="E204" s="2125"/>
      <c r="F204" s="2113">
        <v>0.05</v>
      </c>
    </row>
    <row r="205" spans="1:6" ht="14.25" thickBot="1">
      <c r="A205" s="1533" t="s">
        <v>1542</v>
      </c>
      <c r="B205" s="1529" t="s">
        <v>2206</v>
      </c>
      <c r="C205" s="2122"/>
      <c r="D205" s="2122"/>
      <c r="E205" s="2122"/>
      <c r="F205" s="2115">
        <v>0.05</v>
      </c>
    </row>
    <row r="206" spans="1:6" ht="14.25" thickBot="1">
      <c r="A206" s="1523" t="s">
        <v>1544</v>
      </c>
      <c r="B206" s="1524" t="s">
        <v>2207</v>
      </c>
      <c r="C206" s="2110">
        <v>0.15</v>
      </c>
      <c r="D206" s="2110">
        <v>0.15</v>
      </c>
      <c r="E206" s="2110">
        <v>0.15</v>
      </c>
      <c r="F206" s="2111">
        <v>0.15</v>
      </c>
    </row>
    <row r="207" spans="1:6" ht="14.25" thickBot="1">
      <c r="A207" s="1523" t="s">
        <v>1544</v>
      </c>
      <c r="B207" s="1517" t="s">
        <v>1210</v>
      </c>
      <c r="C207" s="2112">
        <v>0.15</v>
      </c>
      <c r="D207" s="2112">
        <v>0.15</v>
      </c>
      <c r="E207" s="2112">
        <v>0.15</v>
      </c>
      <c r="F207" s="2113">
        <v>0.14399999999999999</v>
      </c>
    </row>
    <row r="208" spans="1:6" ht="14.25" thickBot="1">
      <c r="A208" s="1523" t="s">
        <v>1544</v>
      </c>
      <c r="B208" s="1517" t="s">
        <v>1223</v>
      </c>
      <c r="C208" s="2112">
        <v>0.15</v>
      </c>
      <c r="D208" s="2112">
        <v>0.15</v>
      </c>
      <c r="E208" s="2112">
        <v>0.15</v>
      </c>
      <c r="F208" s="2113">
        <v>0.15</v>
      </c>
    </row>
    <row r="209" spans="1:6" ht="14.25" thickBot="1">
      <c r="A209" s="1523" t="s">
        <v>1544</v>
      </c>
      <c r="B209" s="1517" t="s">
        <v>1236</v>
      </c>
      <c r="C209" s="2112">
        <v>0.13700000000000001</v>
      </c>
      <c r="D209" s="2112">
        <v>0.13700000000000001</v>
      </c>
      <c r="E209" s="2112">
        <v>0.14000000000000001</v>
      </c>
      <c r="F209" s="2113">
        <v>0.11700000000000001</v>
      </c>
    </row>
    <row r="210" spans="1:6" ht="14.25" thickBot="1">
      <c r="A210" s="1523" t="s">
        <v>1544</v>
      </c>
      <c r="B210" s="1517" t="s">
        <v>2208</v>
      </c>
      <c r="C210" s="2112">
        <v>0.15</v>
      </c>
      <c r="D210" s="2112">
        <v>0.15</v>
      </c>
      <c r="E210" s="2112">
        <v>0.15</v>
      </c>
      <c r="F210" s="2113">
        <v>0.13800000000000001</v>
      </c>
    </row>
    <row r="211" spans="1:6" ht="14.25" thickBot="1">
      <c r="A211" s="1523" t="s">
        <v>1544</v>
      </c>
      <c r="B211" s="1517" t="s">
        <v>2209</v>
      </c>
      <c r="C211" s="2112">
        <v>0.13700000000000001</v>
      </c>
      <c r="D211" s="2112">
        <v>0.13500000000000001</v>
      </c>
      <c r="E211" s="2112">
        <v>0.13600000000000001</v>
      </c>
      <c r="F211" s="2113">
        <v>0.1</v>
      </c>
    </row>
    <row r="212" spans="1:6" ht="14.25" thickBot="1">
      <c r="A212" s="1523" t="s">
        <v>1544</v>
      </c>
      <c r="B212" s="1517" t="s">
        <v>2210</v>
      </c>
      <c r="C212" s="2112">
        <v>0.15</v>
      </c>
      <c r="D212" s="2112">
        <v>0.15</v>
      </c>
      <c r="E212" s="2112">
        <v>0.14799999999999999</v>
      </c>
      <c r="F212" s="2113">
        <v>0.13600000000000001</v>
      </c>
    </row>
    <row r="213" spans="1:6" ht="14.25" thickBot="1">
      <c r="A213" s="1523" t="s">
        <v>1544</v>
      </c>
      <c r="B213" s="1517" t="s">
        <v>1281</v>
      </c>
      <c r="C213" s="2112">
        <v>0.15</v>
      </c>
      <c r="D213" s="2112">
        <v>0.15</v>
      </c>
      <c r="E213" s="2112">
        <v>0.15</v>
      </c>
      <c r="F213" s="2113">
        <v>0.13800000000000001</v>
      </c>
    </row>
    <row r="214" spans="1:6" ht="14.25" thickBot="1">
      <c r="A214" s="1523" t="s">
        <v>1544</v>
      </c>
      <c r="B214" s="1517" t="s">
        <v>1293</v>
      </c>
      <c r="C214" s="2112">
        <v>9.0999999999999998E-2</v>
      </c>
      <c r="D214" s="2112">
        <v>0.09</v>
      </c>
      <c r="E214" s="2112">
        <v>9.1999999999999998E-2</v>
      </c>
      <c r="F214" s="2124"/>
    </row>
    <row r="215" spans="1:6" ht="14.25" thickBot="1">
      <c r="A215" s="1523" t="s">
        <v>1544</v>
      </c>
      <c r="B215" s="1517" t="s">
        <v>2211</v>
      </c>
      <c r="C215" s="2112">
        <v>0.15</v>
      </c>
      <c r="D215" s="2112">
        <v>0.15</v>
      </c>
      <c r="E215" s="2112">
        <v>0.15</v>
      </c>
      <c r="F215" s="2113">
        <v>0.15</v>
      </c>
    </row>
    <row r="216" spans="1:6" ht="14.25" thickBot="1">
      <c r="A216" s="1523" t="s">
        <v>1544</v>
      </c>
      <c r="B216" s="1517" t="s">
        <v>1313</v>
      </c>
      <c r="C216" s="2112">
        <v>0.14699999999999999</v>
      </c>
      <c r="D216" s="2112">
        <v>0.14699999999999999</v>
      </c>
      <c r="E216" s="2112">
        <v>0.15</v>
      </c>
      <c r="F216" s="2113">
        <v>0.14000000000000001</v>
      </c>
    </row>
    <row r="217" spans="1:6" ht="14.25" thickBot="1">
      <c r="A217" s="1523" t="s">
        <v>1544</v>
      </c>
      <c r="B217" s="1517" t="s">
        <v>1323</v>
      </c>
      <c r="C217" s="2112">
        <v>0.15</v>
      </c>
      <c r="D217" s="2112">
        <v>0.15</v>
      </c>
      <c r="E217" s="2112">
        <v>0.15</v>
      </c>
      <c r="F217" s="2113">
        <v>0.15</v>
      </c>
    </row>
    <row r="218" spans="1:6" ht="14.25" thickBot="1">
      <c r="A218" s="1523" t="s">
        <v>1544</v>
      </c>
      <c r="B218" s="1517" t="s">
        <v>2212</v>
      </c>
      <c r="C218" s="2112">
        <v>0.15</v>
      </c>
      <c r="D218" s="2112">
        <v>0.15</v>
      </c>
      <c r="E218" s="2112">
        <v>0.15</v>
      </c>
      <c r="F218" s="2113">
        <v>0.15</v>
      </c>
    </row>
    <row r="219" spans="1:6" ht="14.25" thickBot="1">
      <c r="A219" s="1523" t="s">
        <v>1544</v>
      </c>
      <c r="B219" s="1517" t="s">
        <v>1344</v>
      </c>
      <c r="C219" s="2112">
        <v>0.15</v>
      </c>
      <c r="D219" s="2112">
        <v>0.15</v>
      </c>
      <c r="E219" s="2112">
        <v>0.15</v>
      </c>
      <c r="F219" s="2113">
        <v>0.14799999999999999</v>
      </c>
    </row>
    <row r="220" spans="1:6" ht="14.25" thickBot="1">
      <c r="A220" s="1523" t="s">
        <v>1544</v>
      </c>
      <c r="B220" s="1517" t="s">
        <v>2213</v>
      </c>
      <c r="C220" s="2112">
        <v>0.15</v>
      </c>
      <c r="D220" s="2112">
        <v>0.15</v>
      </c>
      <c r="E220" s="2112">
        <v>0.15</v>
      </c>
      <c r="F220" s="2113">
        <v>0.15</v>
      </c>
    </row>
    <row r="221" spans="1:6" ht="14.25" thickBot="1">
      <c r="A221" s="1523" t="s">
        <v>1544</v>
      </c>
      <c r="B221" s="1517" t="s">
        <v>1365</v>
      </c>
      <c r="C221" s="2112"/>
      <c r="D221" s="2125"/>
      <c r="E221" s="2125"/>
      <c r="F221" s="2113">
        <v>0.14799999999999999</v>
      </c>
    </row>
    <row r="222" spans="1:6" ht="14.25" thickBot="1">
      <c r="A222" s="1523" t="s">
        <v>1544</v>
      </c>
      <c r="B222" s="1517" t="s">
        <v>1375</v>
      </c>
      <c r="C222" s="2112"/>
      <c r="D222" s="2125"/>
      <c r="E222" s="2125"/>
      <c r="F222" s="2113">
        <v>0.1</v>
      </c>
    </row>
    <row r="223" spans="1:6" ht="14.25" thickBot="1">
      <c r="A223" s="1523" t="s">
        <v>1544</v>
      </c>
      <c r="B223" s="1517" t="s">
        <v>1385</v>
      </c>
      <c r="C223" s="2112"/>
      <c r="D223" s="2125"/>
      <c r="E223" s="2125"/>
      <c r="F223" s="2113">
        <v>0.15</v>
      </c>
    </row>
    <row r="224" spans="1:6" ht="14.25" thickBot="1">
      <c r="A224" s="1523" t="s">
        <v>1544</v>
      </c>
      <c r="B224" s="1517" t="s">
        <v>1395</v>
      </c>
      <c r="C224" s="2112"/>
      <c r="D224" s="2125"/>
      <c r="E224" s="2125"/>
      <c r="F224" s="2113">
        <v>0.15</v>
      </c>
    </row>
    <row r="225" spans="1:6" ht="14.25" thickBot="1">
      <c r="A225" s="1523" t="s">
        <v>1544</v>
      </c>
      <c r="B225" s="1517" t="s">
        <v>2214</v>
      </c>
      <c r="C225" s="2112">
        <v>0.15</v>
      </c>
      <c r="D225" s="2112">
        <v>0.15</v>
      </c>
      <c r="E225" s="2112">
        <v>0.15</v>
      </c>
      <c r="F225" s="2113">
        <v>0.15</v>
      </c>
    </row>
    <row r="226" spans="1:6" ht="14.25" thickBot="1">
      <c r="A226" s="1523" t="s">
        <v>1544</v>
      </c>
      <c r="B226" s="1517" t="s">
        <v>1413</v>
      </c>
      <c r="C226" s="2112">
        <v>0.15</v>
      </c>
      <c r="D226" s="2112">
        <v>0.15</v>
      </c>
      <c r="E226" s="2112">
        <v>0.15</v>
      </c>
      <c r="F226" s="2113">
        <v>0.14799999999999999</v>
      </c>
    </row>
    <row r="227" spans="1:6" ht="14.25" thickBot="1">
      <c r="A227" s="1523" t="s">
        <v>1544</v>
      </c>
      <c r="B227" s="1517" t="s">
        <v>2215</v>
      </c>
      <c r="C227" s="2112">
        <v>0.15</v>
      </c>
      <c r="D227" s="2112">
        <v>0.15</v>
      </c>
      <c r="E227" s="2112">
        <v>0.15</v>
      </c>
      <c r="F227" s="2113">
        <v>0.15</v>
      </c>
    </row>
    <row r="228" spans="1:6" ht="14.25" thickBot="1">
      <c r="A228" s="1523" t="s">
        <v>1544</v>
      </c>
      <c r="B228" s="1517" t="s">
        <v>1428</v>
      </c>
      <c r="C228" s="2112">
        <v>0.15</v>
      </c>
      <c r="D228" s="2112">
        <v>0.15</v>
      </c>
      <c r="E228" s="2112">
        <v>0.15</v>
      </c>
      <c r="F228" s="2113">
        <v>0.15</v>
      </c>
    </row>
    <row r="229" spans="1:6" ht="14.25" thickBot="1">
      <c r="A229" s="1523" t="s">
        <v>1544</v>
      </c>
      <c r="B229" s="1517" t="s">
        <v>1435</v>
      </c>
      <c r="C229" s="2112">
        <v>0.15</v>
      </c>
      <c r="D229" s="2112">
        <v>0.15</v>
      </c>
      <c r="E229" s="2112">
        <v>0.15</v>
      </c>
      <c r="F229" s="2124"/>
    </row>
    <row r="230" spans="1:6" ht="14.25" thickBot="1">
      <c r="A230" s="1523" t="s">
        <v>1544</v>
      </c>
      <c r="B230" s="1517" t="s">
        <v>1442</v>
      </c>
      <c r="C230" s="2112">
        <v>0.14499999999999999</v>
      </c>
      <c r="D230" s="2112">
        <v>0.14499999999999999</v>
      </c>
      <c r="E230" s="2112">
        <v>0.14399999999999999</v>
      </c>
      <c r="F230" s="2124"/>
    </row>
    <row r="231" spans="1:6" ht="14.25" thickBot="1">
      <c r="A231" s="1523" t="s">
        <v>1544</v>
      </c>
      <c r="B231" s="1517" t="s">
        <v>2216</v>
      </c>
      <c r="C231" s="2112">
        <v>0.128</v>
      </c>
      <c r="D231" s="2112">
        <v>0.125</v>
      </c>
      <c r="E231" s="2112">
        <v>0.13200000000000001</v>
      </c>
      <c r="F231" s="2124"/>
    </row>
    <row r="232" spans="1:6" ht="14.25" thickBot="1">
      <c r="A232" s="1523" t="s">
        <v>1544</v>
      </c>
      <c r="B232" s="1517" t="s">
        <v>2217</v>
      </c>
      <c r="C232" s="2112">
        <v>0.14499999999999999</v>
      </c>
      <c r="D232" s="2112">
        <v>0.14399999999999999</v>
      </c>
      <c r="E232" s="2112">
        <v>0.14599999999999999</v>
      </c>
      <c r="F232" s="2113">
        <v>0.13800000000000001</v>
      </c>
    </row>
    <row r="233" spans="1:6" ht="14.25" thickBot="1">
      <c r="A233" s="1523" t="s">
        <v>1544</v>
      </c>
      <c r="B233" s="1517" t="s">
        <v>2218</v>
      </c>
      <c r="C233" s="2112">
        <v>0.14499999999999999</v>
      </c>
      <c r="D233" s="2112">
        <v>0.14299999999999999</v>
      </c>
      <c r="E233" s="2112">
        <v>0.14199999999999999</v>
      </c>
      <c r="F233" s="2124"/>
    </row>
    <row r="234" spans="1:6" ht="14.25" thickBot="1">
      <c r="A234" s="1523" t="s">
        <v>1544</v>
      </c>
      <c r="B234" s="1517" t="s">
        <v>2219</v>
      </c>
      <c r="C234" s="2112">
        <v>0.14000000000000001</v>
      </c>
      <c r="D234" s="2112">
        <v>0.14000000000000001</v>
      </c>
      <c r="E234" s="2112">
        <v>0.14399999999999999</v>
      </c>
      <c r="F234" s="2124"/>
    </row>
    <row r="235" spans="1:6" ht="14.25" thickBot="1">
      <c r="A235" s="1523" t="s">
        <v>1544</v>
      </c>
      <c r="B235" s="1517" t="s">
        <v>2220</v>
      </c>
      <c r="C235" s="2112">
        <v>0.14099999999999999</v>
      </c>
      <c r="D235" s="2112">
        <v>0.14199999999999999</v>
      </c>
      <c r="E235" s="2112">
        <v>0.14499999999999999</v>
      </c>
      <c r="F235" s="2113">
        <v>0.15</v>
      </c>
    </row>
    <row r="236" spans="1:6" ht="14.25" thickBot="1">
      <c r="A236" s="1523" t="s">
        <v>1544</v>
      </c>
      <c r="B236" s="1517" t="s">
        <v>1477</v>
      </c>
      <c r="C236" s="2125"/>
      <c r="D236" s="2125"/>
      <c r="E236" s="2125"/>
      <c r="F236" s="2113">
        <v>0.14299999999999999</v>
      </c>
    </row>
    <row r="237" spans="1:6" ht="24.75" thickBot="1">
      <c r="A237" s="1523" t="s">
        <v>1544</v>
      </c>
      <c r="B237" s="1517" t="s">
        <v>2221</v>
      </c>
      <c r="C237" s="2125"/>
      <c r="D237" s="2125"/>
      <c r="E237" s="2125"/>
      <c r="F237" s="2113">
        <v>0.05</v>
      </c>
    </row>
    <row r="238" spans="1:6" ht="24.75" thickBot="1">
      <c r="A238" s="1523" t="s">
        <v>1544</v>
      </c>
      <c r="B238" s="1517" t="s">
        <v>2222</v>
      </c>
      <c r="C238" s="2125"/>
      <c r="D238" s="2125"/>
      <c r="E238" s="2125"/>
      <c r="F238" s="2113">
        <v>0.05</v>
      </c>
    </row>
    <row r="239" spans="1:6" ht="24.75" thickBot="1">
      <c r="A239" s="1523" t="s">
        <v>1544</v>
      </c>
      <c r="B239" s="1517" t="s">
        <v>2223</v>
      </c>
      <c r="C239" s="2125"/>
      <c r="D239" s="2125"/>
      <c r="E239" s="2125"/>
      <c r="F239" s="2113">
        <v>0.05</v>
      </c>
    </row>
    <row r="240" spans="1:6" ht="24.75" thickBot="1">
      <c r="A240" s="1523" t="s">
        <v>1544</v>
      </c>
      <c r="B240" s="1517" t="s">
        <v>2224</v>
      </c>
      <c r="C240" s="2125"/>
      <c r="D240" s="2125"/>
      <c r="E240" s="2125"/>
      <c r="F240" s="2113">
        <v>0.05</v>
      </c>
    </row>
    <row r="241" spans="1:6" ht="24.75" thickBot="1">
      <c r="A241" s="1523" t="s">
        <v>1544</v>
      </c>
      <c r="B241" s="1517" t="s">
        <v>2225</v>
      </c>
      <c r="C241" s="2125"/>
      <c r="D241" s="2125"/>
      <c r="E241" s="2125"/>
      <c r="F241" s="2113">
        <v>0.05</v>
      </c>
    </row>
    <row r="242" spans="1:6" ht="24.75" thickBot="1">
      <c r="A242" s="1523" t="s">
        <v>1544</v>
      </c>
      <c r="B242" s="1517" t="s">
        <v>2226</v>
      </c>
      <c r="C242" s="2125"/>
      <c r="D242" s="2125"/>
      <c r="E242" s="2125"/>
      <c r="F242" s="2113">
        <v>0.05</v>
      </c>
    </row>
    <row r="243" spans="1:6" ht="24.75" thickBot="1">
      <c r="A243" s="1523" t="s">
        <v>1544</v>
      </c>
      <c r="B243" s="1517" t="s">
        <v>2227</v>
      </c>
      <c r="C243" s="2125"/>
      <c r="D243" s="2125"/>
      <c r="E243" s="2125"/>
      <c r="F243" s="2113">
        <v>0.05</v>
      </c>
    </row>
    <row r="244" spans="1:6" ht="24.75" thickBot="1">
      <c r="A244" s="1533" t="s">
        <v>1544</v>
      </c>
      <c r="B244" s="1529" t="s">
        <v>2228</v>
      </c>
      <c r="C244" s="2122"/>
      <c r="D244" s="2122"/>
      <c r="E244" s="2122"/>
      <c r="F244" s="2115">
        <v>0.05</v>
      </c>
    </row>
    <row r="245" spans="1:6" ht="14.25" thickBot="1">
      <c r="A245" s="1523" t="s">
        <v>1546</v>
      </c>
      <c r="B245" s="1524" t="s">
        <v>2229</v>
      </c>
      <c r="C245" s="2110">
        <v>0.15</v>
      </c>
      <c r="D245" s="2110">
        <v>0.15</v>
      </c>
      <c r="E245" s="2110">
        <v>0.15</v>
      </c>
      <c r="F245" s="2111">
        <v>0.14299999999999999</v>
      </c>
    </row>
    <row r="246" spans="1:6" ht="14.25" thickBot="1">
      <c r="A246" s="1523" t="s">
        <v>1546</v>
      </c>
      <c r="B246" s="1517" t="s">
        <v>1211</v>
      </c>
      <c r="C246" s="2112">
        <v>0.15</v>
      </c>
      <c r="D246" s="2112">
        <v>0.15</v>
      </c>
      <c r="E246" s="2112">
        <v>0.15</v>
      </c>
      <c r="F246" s="2113">
        <v>0.114</v>
      </c>
    </row>
    <row r="247" spans="1:6" ht="14.25" thickBot="1">
      <c r="A247" s="1523" t="s">
        <v>1546</v>
      </c>
      <c r="B247" s="1517" t="s">
        <v>2230</v>
      </c>
      <c r="C247" s="2112">
        <v>0.15</v>
      </c>
      <c r="D247" s="2112">
        <v>0.15</v>
      </c>
      <c r="E247" s="2112">
        <v>0.15</v>
      </c>
      <c r="F247" s="2113">
        <v>0.15</v>
      </c>
    </row>
    <row r="248" spans="1:6" ht="14.25" thickBot="1">
      <c r="A248" s="1523" t="s">
        <v>1546</v>
      </c>
      <c r="B248" s="1517" t="s">
        <v>2231</v>
      </c>
      <c r="C248" s="2112">
        <v>0.15</v>
      </c>
      <c r="D248" s="2112">
        <v>0.15</v>
      </c>
      <c r="E248" s="2112">
        <v>0.15</v>
      </c>
      <c r="F248" s="2113">
        <v>0.14000000000000001</v>
      </c>
    </row>
    <row r="249" spans="1:6" ht="14.25" thickBot="1">
      <c r="A249" s="1523" t="s">
        <v>1546</v>
      </c>
      <c r="B249" s="1517" t="s">
        <v>2232</v>
      </c>
      <c r="C249" s="2112">
        <v>0.15</v>
      </c>
      <c r="D249" s="2112">
        <v>0.14899999999999999</v>
      </c>
      <c r="E249" s="2112">
        <v>0.15</v>
      </c>
      <c r="F249" s="2113">
        <v>0.1</v>
      </c>
    </row>
    <row r="250" spans="1:6" ht="14.25" thickBot="1">
      <c r="A250" s="1523" t="s">
        <v>1546</v>
      </c>
      <c r="B250" s="1517" t="s">
        <v>2233</v>
      </c>
      <c r="C250" s="2112">
        <v>0.15</v>
      </c>
      <c r="D250" s="2112">
        <v>0.15</v>
      </c>
      <c r="E250" s="2112">
        <v>0.15</v>
      </c>
      <c r="F250" s="2113">
        <v>0.14399999999999999</v>
      </c>
    </row>
    <row r="251" spans="1:6" ht="14.25" thickBot="1">
      <c r="A251" s="1523" t="s">
        <v>1546</v>
      </c>
      <c r="B251" s="1517" t="s">
        <v>1271</v>
      </c>
      <c r="C251" s="2112">
        <v>0.15</v>
      </c>
      <c r="D251" s="2112">
        <v>0.15</v>
      </c>
      <c r="E251" s="2112">
        <v>0.15</v>
      </c>
      <c r="F251" s="2113">
        <v>0.14299999999999999</v>
      </c>
    </row>
    <row r="252" spans="1:6" ht="14.25" thickBot="1">
      <c r="A252" s="1523" t="s">
        <v>1546</v>
      </c>
      <c r="B252" s="1517" t="s">
        <v>1282</v>
      </c>
      <c r="C252" s="2112">
        <v>0.15</v>
      </c>
      <c r="D252" s="2112">
        <v>0.15</v>
      </c>
      <c r="E252" s="2112">
        <v>0.15</v>
      </c>
      <c r="F252" s="2113">
        <v>0.1</v>
      </c>
    </row>
    <row r="253" spans="1:6" ht="14.25" thickBot="1">
      <c r="A253" s="1523" t="s">
        <v>1546</v>
      </c>
      <c r="B253" s="1517" t="s">
        <v>1294</v>
      </c>
      <c r="C253" s="2112">
        <v>0.15</v>
      </c>
      <c r="D253" s="2112">
        <v>0.15</v>
      </c>
      <c r="E253" s="2112">
        <v>0.15</v>
      </c>
      <c r="F253" s="2113">
        <v>0.1</v>
      </c>
    </row>
    <row r="254" spans="1:6" ht="14.25" thickBot="1">
      <c r="A254" s="1523" t="s">
        <v>1546</v>
      </c>
      <c r="B254" s="1517" t="s">
        <v>1304</v>
      </c>
      <c r="C254" s="2125"/>
      <c r="D254" s="2125"/>
      <c r="E254" s="2125"/>
      <c r="F254" s="2113">
        <v>0.15</v>
      </c>
    </row>
    <row r="255" spans="1:6" ht="14.25" thickBot="1">
      <c r="A255" s="1523" t="s">
        <v>1546</v>
      </c>
      <c r="B255" s="1517" t="s">
        <v>1314</v>
      </c>
      <c r="C255" s="2125"/>
      <c r="D255" s="2125"/>
      <c r="E255" s="2125"/>
      <c r="F255" s="2113">
        <v>0.14299999999999999</v>
      </c>
    </row>
    <row r="256" spans="1:6" ht="14.25" thickBot="1">
      <c r="A256" s="1523" t="s">
        <v>1546</v>
      </c>
      <c r="B256" s="1517" t="s">
        <v>2234</v>
      </c>
      <c r="C256" s="2112">
        <v>0.14599999999999999</v>
      </c>
      <c r="D256" s="2112">
        <v>0.14699999999999999</v>
      </c>
      <c r="E256" s="2112">
        <v>0.15</v>
      </c>
      <c r="F256" s="2113">
        <v>0.13200000000000001</v>
      </c>
    </row>
    <row r="257" spans="1:6" ht="14.25" thickBot="1">
      <c r="A257" s="1523" t="s">
        <v>1546</v>
      </c>
      <c r="B257" s="1517" t="s">
        <v>1334</v>
      </c>
      <c r="C257" s="2112">
        <v>0.15</v>
      </c>
      <c r="D257" s="2112">
        <v>0.15</v>
      </c>
      <c r="E257" s="2112">
        <v>0.15</v>
      </c>
      <c r="F257" s="2113">
        <v>0.13900000000000001</v>
      </c>
    </row>
    <row r="258" spans="1:6" ht="14.25" thickBot="1">
      <c r="A258" s="1523" t="s">
        <v>1546</v>
      </c>
      <c r="B258" s="1517" t="s">
        <v>1345</v>
      </c>
      <c r="C258" s="2112">
        <v>0.15</v>
      </c>
      <c r="D258" s="2112">
        <v>0.15</v>
      </c>
      <c r="E258" s="2112">
        <v>0.15</v>
      </c>
      <c r="F258" s="2113">
        <v>0.13</v>
      </c>
    </row>
    <row r="259" spans="1:6" ht="14.25" thickBot="1">
      <c r="A259" s="1523" t="s">
        <v>1546</v>
      </c>
      <c r="B259" s="1517" t="s">
        <v>2235</v>
      </c>
      <c r="C259" s="2112">
        <v>0.14799999999999999</v>
      </c>
      <c r="D259" s="2112">
        <v>0.14899999999999999</v>
      </c>
      <c r="E259" s="2112">
        <v>0.15</v>
      </c>
      <c r="F259" s="2113">
        <v>0.13700000000000001</v>
      </c>
    </row>
    <row r="260" spans="1:6" ht="14.25" thickBot="1">
      <c r="A260" s="1523" t="s">
        <v>1546</v>
      </c>
      <c r="B260" s="1517" t="s">
        <v>1366</v>
      </c>
      <c r="C260" s="2112">
        <v>0.15</v>
      </c>
      <c r="D260" s="2112">
        <v>0.15</v>
      </c>
      <c r="E260" s="2112">
        <v>0.15</v>
      </c>
      <c r="F260" s="2113">
        <v>0.14199999999999999</v>
      </c>
    </row>
    <row r="261" spans="1:6" ht="14.25" thickBot="1">
      <c r="A261" s="1523" t="s">
        <v>1546</v>
      </c>
      <c r="B261" s="1517" t="s">
        <v>1376</v>
      </c>
      <c r="C261" s="2112">
        <v>0.15</v>
      </c>
      <c r="D261" s="2112">
        <v>0.15</v>
      </c>
      <c r="E261" s="2112">
        <v>0.14899999999999999</v>
      </c>
      <c r="F261" s="2113">
        <v>0.14799999999999999</v>
      </c>
    </row>
    <row r="262" spans="1:6" ht="14.25" thickBot="1">
      <c r="A262" s="1523" t="s">
        <v>1546</v>
      </c>
      <c r="B262" s="1517" t="s">
        <v>1386</v>
      </c>
      <c r="C262" s="2112">
        <v>0.15</v>
      </c>
      <c r="D262" s="2112">
        <v>0.15</v>
      </c>
      <c r="E262" s="2112">
        <v>0.15</v>
      </c>
      <c r="F262" s="2124"/>
    </row>
    <row r="263" spans="1:6" ht="14.25" thickBot="1">
      <c r="A263" s="1523" t="s">
        <v>1546</v>
      </c>
      <c r="B263" s="1517" t="s">
        <v>2236</v>
      </c>
      <c r="C263" s="2112">
        <v>0.14899999999999999</v>
      </c>
      <c r="D263" s="2112">
        <v>0.14899999999999999</v>
      </c>
      <c r="E263" s="2112">
        <v>0.15</v>
      </c>
      <c r="F263" s="2113">
        <v>0.13</v>
      </c>
    </row>
    <row r="264" spans="1:6" ht="14.25" thickBot="1">
      <c r="A264" s="1523" t="s">
        <v>1546</v>
      </c>
      <c r="B264" s="1517" t="s">
        <v>1405</v>
      </c>
      <c r="C264" s="2112">
        <v>0.14799999999999999</v>
      </c>
      <c r="D264" s="2112">
        <v>0.14699999999999999</v>
      </c>
      <c r="E264" s="2112">
        <v>0.15</v>
      </c>
      <c r="F264" s="2113">
        <v>7.8E-2</v>
      </c>
    </row>
    <row r="265" spans="1:6" ht="14.25" thickBot="1">
      <c r="A265" s="1523" t="s">
        <v>1546</v>
      </c>
      <c r="B265" s="1517" t="s">
        <v>1414</v>
      </c>
      <c r="C265" s="2112">
        <v>0.15</v>
      </c>
      <c r="D265" s="2112">
        <v>0.15</v>
      </c>
      <c r="E265" s="2112">
        <v>0.15</v>
      </c>
      <c r="F265" s="2113">
        <v>7.3999999999999996E-2</v>
      </c>
    </row>
    <row r="266" spans="1:6" ht="14.25" thickBot="1">
      <c r="A266" s="1523" t="s">
        <v>1546</v>
      </c>
      <c r="B266" s="1517" t="s">
        <v>1422</v>
      </c>
      <c r="C266" s="2112">
        <v>0.14699999999999999</v>
      </c>
      <c r="D266" s="2112">
        <v>0.14699999999999999</v>
      </c>
      <c r="E266" s="2112">
        <v>0.15</v>
      </c>
      <c r="F266" s="2113">
        <v>0.14299999999999999</v>
      </c>
    </row>
    <row r="267" spans="1:6" ht="14.25" thickBot="1">
      <c r="A267" s="1523" t="s">
        <v>1546</v>
      </c>
      <c r="B267" s="1517" t="s">
        <v>1429</v>
      </c>
      <c r="C267" s="2112">
        <v>0.14199999999999999</v>
      </c>
      <c r="D267" s="2112">
        <v>0.14299999999999999</v>
      </c>
      <c r="E267" s="2112">
        <v>0.15</v>
      </c>
      <c r="F267" s="2124"/>
    </row>
    <row r="268" spans="1:6" ht="14.25" thickBot="1">
      <c r="A268" s="1523" t="s">
        <v>1546</v>
      </c>
      <c r="B268" s="1517" t="s">
        <v>2237</v>
      </c>
      <c r="C268" s="2112">
        <v>0.15</v>
      </c>
      <c r="D268" s="2112">
        <v>0.15</v>
      </c>
      <c r="E268" s="2112">
        <v>0.15</v>
      </c>
      <c r="F268" s="2113">
        <v>0.13</v>
      </c>
    </row>
    <row r="269" spans="1:6" ht="14.25" thickBot="1">
      <c r="A269" s="1523" t="s">
        <v>1546</v>
      </c>
      <c r="B269" s="1517" t="s">
        <v>1443</v>
      </c>
      <c r="C269" s="2112">
        <v>0.15</v>
      </c>
      <c r="D269" s="2112">
        <v>0.15</v>
      </c>
      <c r="E269" s="2112">
        <v>0.15</v>
      </c>
      <c r="F269" s="2113">
        <v>0.14299999999999999</v>
      </c>
    </row>
    <row r="270" spans="1:6" ht="14.25" thickBot="1">
      <c r="A270" s="1523" t="s">
        <v>1546</v>
      </c>
      <c r="B270" s="1517" t="s">
        <v>1450</v>
      </c>
      <c r="C270" s="2112">
        <v>0.14499999999999999</v>
      </c>
      <c r="D270" s="2112">
        <v>0.14499999999999999</v>
      </c>
      <c r="E270" s="2112">
        <v>0.15</v>
      </c>
      <c r="F270" s="2113">
        <v>0.14699999999999999</v>
      </c>
    </row>
    <row r="271" spans="1:6" ht="14.25" thickBot="1">
      <c r="A271" s="1523" t="s">
        <v>1546</v>
      </c>
      <c r="B271" s="1517" t="s">
        <v>1457</v>
      </c>
      <c r="C271" s="2112">
        <v>0.15</v>
      </c>
      <c r="D271" s="2112">
        <v>0.15</v>
      </c>
      <c r="E271" s="2112">
        <v>0.15</v>
      </c>
      <c r="F271" s="2113">
        <v>0.13800000000000001</v>
      </c>
    </row>
    <row r="272" spans="1:6" ht="14.25" thickBot="1">
      <c r="A272" s="1523" t="s">
        <v>1546</v>
      </c>
      <c r="B272" s="1517" t="s">
        <v>1464</v>
      </c>
      <c r="C272" s="2125"/>
      <c r="D272" s="2125"/>
      <c r="E272" s="2125"/>
      <c r="F272" s="2113">
        <v>0.14000000000000001</v>
      </c>
    </row>
    <row r="273" spans="1:6" ht="14.25" thickBot="1">
      <c r="A273" s="1523" t="s">
        <v>1546</v>
      </c>
      <c r="B273" s="1517" t="s">
        <v>2238</v>
      </c>
      <c r="C273" s="2112">
        <v>0.14199999999999999</v>
      </c>
      <c r="D273" s="2112">
        <v>0.14299999999999999</v>
      </c>
      <c r="E273" s="2112">
        <v>0.15</v>
      </c>
      <c r="F273" s="2113">
        <v>0.1</v>
      </c>
    </row>
    <row r="274" spans="1:6" ht="14.25" thickBot="1">
      <c r="A274" s="1523" t="s">
        <v>1546</v>
      </c>
      <c r="B274" s="1517" t="s">
        <v>2239</v>
      </c>
      <c r="C274" s="2112">
        <v>0.14799999999999999</v>
      </c>
      <c r="D274" s="2112">
        <v>0.14799999999999999</v>
      </c>
      <c r="E274" s="2112">
        <v>0.15</v>
      </c>
      <c r="F274" s="2113">
        <v>6.7000000000000004E-2</v>
      </c>
    </row>
    <row r="275" spans="1:6" ht="14.25" thickBot="1">
      <c r="A275" s="1523" t="s">
        <v>1546</v>
      </c>
      <c r="B275" s="1517" t="s">
        <v>2240</v>
      </c>
      <c r="C275" s="2112">
        <v>0.15</v>
      </c>
      <c r="D275" s="2112">
        <v>0.15</v>
      </c>
      <c r="E275" s="2112">
        <v>0.15</v>
      </c>
      <c r="F275" s="2113">
        <v>0.15</v>
      </c>
    </row>
    <row r="276" spans="1:6" ht="14.25" thickBot="1">
      <c r="A276" s="1523" t="s">
        <v>1546</v>
      </c>
      <c r="B276" s="1517" t="s">
        <v>2241</v>
      </c>
      <c r="C276" s="2112">
        <v>0.14499999999999999</v>
      </c>
      <c r="D276" s="2112">
        <v>0.14299999999999999</v>
      </c>
      <c r="E276" s="2112">
        <v>0.15</v>
      </c>
      <c r="F276" s="2113">
        <v>5.8999999999999997E-2</v>
      </c>
    </row>
    <row r="277" spans="1:6" ht="14.25" thickBot="1">
      <c r="A277" s="1523" t="s">
        <v>1546</v>
      </c>
      <c r="B277" s="1517" t="s">
        <v>2242</v>
      </c>
      <c r="C277" s="2112">
        <v>0.15</v>
      </c>
      <c r="D277" s="2112">
        <v>0.15</v>
      </c>
      <c r="E277" s="2112">
        <v>0.15</v>
      </c>
      <c r="F277" s="2113">
        <v>0.121</v>
      </c>
    </row>
    <row r="278" spans="1:6" ht="14.25" thickBot="1">
      <c r="A278" s="1523" t="s">
        <v>1546</v>
      </c>
      <c r="B278" s="1517" t="s">
        <v>2243</v>
      </c>
      <c r="C278" s="2112">
        <v>0.15</v>
      </c>
      <c r="D278" s="2112">
        <v>0.15</v>
      </c>
      <c r="E278" s="2112">
        <v>0.15</v>
      </c>
      <c r="F278" s="2113">
        <v>0.13800000000000001</v>
      </c>
    </row>
    <row r="279" spans="1:6" ht="24.75" thickBot="1">
      <c r="A279" s="1523" t="s">
        <v>1546</v>
      </c>
      <c r="B279" s="1517" t="s">
        <v>2244</v>
      </c>
      <c r="C279" s="2125"/>
      <c r="D279" s="2125"/>
      <c r="E279" s="2125"/>
      <c r="F279" s="2113">
        <v>0.05</v>
      </c>
    </row>
    <row r="280" spans="1:6" ht="24.75" thickBot="1">
      <c r="A280" s="1523" t="s">
        <v>1546</v>
      </c>
      <c r="B280" s="1517" t="s">
        <v>2245</v>
      </c>
      <c r="C280" s="2125"/>
      <c r="D280" s="2125"/>
      <c r="E280" s="2125"/>
      <c r="F280" s="2113">
        <v>0.05</v>
      </c>
    </row>
    <row r="281" spans="1:6" ht="24.75" thickBot="1">
      <c r="A281" s="1523" t="s">
        <v>1546</v>
      </c>
      <c r="B281" s="1517" t="s">
        <v>2246</v>
      </c>
      <c r="C281" s="2125"/>
      <c r="D281" s="2125"/>
      <c r="E281" s="2125"/>
      <c r="F281" s="2113">
        <v>0.05</v>
      </c>
    </row>
    <row r="282" spans="1:6" ht="24.75" thickBot="1">
      <c r="A282" s="1523" t="s">
        <v>1546</v>
      </c>
      <c r="B282" s="1517" t="s">
        <v>2247</v>
      </c>
      <c r="C282" s="2125"/>
      <c r="D282" s="2125"/>
      <c r="E282" s="2125"/>
      <c r="F282" s="2113">
        <v>0.05</v>
      </c>
    </row>
    <row r="283" spans="1:6" ht="24.75" thickBot="1">
      <c r="A283" s="1523" t="s">
        <v>1546</v>
      </c>
      <c r="B283" s="1517" t="s">
        <v>2248</v>
      </c>
      <c r="C283" s="2125"/>
      <c r="D283" s="2125"/>
      <c r="E283" s="2125"/>
      <c r="F283" s="2113">
        <v>0.05</v>
      </c>
    </row>
    <row r="284" spans="1:6" ht="24.75" thickBot="1">
      <c r="A284" s="1523" t="s">
        <v>1546</v>
      </c>
      <c r="B284" s="1517" t="s">
        <v>2249</v>
      </c>
      <c r="C284" s="2125"/>
      <c r="D284" s="2125"/>
      <c r="E284" s="2125"/>
      <c r="F284" s="2113">
        <v>0.05</v>
      </c>
    </row>
    <row r="285" spans="1:6" ht="24.75" thickBot="1">
      <c r="A285" s="1523" t="s">
        <v>1546</v>
      </c>
      <c r="B285" s="1517" t="s">
        <v>2250</v>
      </c>
      <c r="C285" s="2125"/>
      <c r="D285" s="2125"/>
      <c r="E285" s="2125"/>
      <c r="F285" s="2113">
        <v>0.05</v>
      </c>
    </row>
    <row r="286" spans="1:6" ht="24.75" thickBot="1">
      <c r="A286" s="1523" t="s">
        <v>1546</v>
      </c>
      <c r="B286" s="1517" t="s">
        <v>2251</v>
      </c>
      <c r="C286" s="2125"/>
      <c r="D286" s="2125"/>
      <c r="E286" s="2125"/>
      <c r="F286" s="2113">
        <v>0.05</v>
      </c>
    </row>
    <row r="287" spans="1:6" ht="24.75" thickBot="1">
      <c r="A287" s="1523" t="s">
        <v>1546</v>
      </c>
      <c r="B287" s="1517" t="s">
        <v>2252</v>
      </c>
      <c r="C287" s="2125"/>
      <c r="D287" s="2125"/>
      <c r="E287" s="2125"/>
      <c r="F287" s="2113">
        <v>0.05</v>
      </c>
    </row>
    <row r="288" spans="1:6" ht="24.75" thickBot="1">
      <c r="A288" s="1523" t="s">
        <v>1546</v>
      </c>
      <c r="B288" s="1517" t="s">
        <v>2253</v>
      </c>
      <c r="C288" s="2125"/>
      <c r="D288" s="2125"/>
      <c r="E288" s="2125"/>
      <c r="F288" s="2113">
        <v>0.05</v>
      </c>
    </row>
    <row r="289" spans="1:6" ht="24.75" thickBot="1">
      <c r="A289" s="1533" t="s">
        <v>1546</v>
      </c>
      <c r="B289" s="1529" t="s">
        <v>2254</v>
      </c>
      <c r="C289" s="2122"/>
      <c r="D289" s="2122"/>
      <c r="E289" s="2122"/>
      <c r="F289" s="2115">
        <v>0.05</v>
      </c>
    </row>
    <row r="290" spans="1:6" ht="14.25" thickBot="1">
      <c r="A290" s="1523" t="s">
        <v>1550</v>
      </c>
      <c r="B290" s="1524" t="s">
        <v>2255</v>
      </c>
      <c r="C290" s="2110">
        <v>0.15</v>
      </c>
      <c r="D290" s="2110">
        <v>0.15</v>
      </c>
      <c r="E290" s="2110">
        <v>0.15</v>
      </c>
      <c r="F290" s="2127"/>
    </row>
    <row r="291" spans="1:6" ht="14.25" thickBot="1">
      <c r="A291" s="1523" t="s">
        <v>1550</v>
      </c>
      <c r="B291" s="1517" t="s">
        <v>1212</v>
      </c>
      <c r="C291" s="2112">
        <v>0.15</v>
      </c>
      <c r="D291" s="2112">
        <v>0.15</v>
      </c>
      <c r="E291" s="2112">
        <v>0.15</v>
      </c>
      <c r="F291" s="2124"/>
    </row>
    <row r="292" spans="1:6" ht="14.25" thickBot="1">
      <c r="A292" s="1523" t="s">
        <v>1550</v>
      </c>
      <c r="B292" s="1517" t="s">
        <v>2256</v>
      </c>
      <c r="C292" s="2112">
        <v>0.15</v>
      </c>
      <c r="D292" s="2112">
        <v>0.15</v>
      </c>
      <c r="E292" s="2112">
        <v>0.15</v>
      </c>
      <c r="F292" s="2113">
        <v>0.14699999999999999</v>
      </c>
    </row>
    <row r="293" spans="1:6" ht="14.25" thickBot="1">
      <c r="A293" s="1523" t="s">
        <v>1550</v>
      </c>
      <c r="B293" s="1517" t="s">
        <v>2257</v>
      </c>
      <c r="C293" s="2125"/>
      <c r="D293" s="2125"/>
      <c r="E293" s="2125"/>
      <c r="F293" s="2113">
        <v>0.1</v>
      </c>
    </row>
    <row r="294" spans="1:6" ht="14.25" thickBot="1">
      <c r="A294" s="1523" t="s">
        <v>1550</v>
      </c>
      <c r="B294" s="1517" t="s">
        <v>2258</v>
      </c>
      <c r="C294" s="2112">
        <v>0.15</v>
      </c>
      <c r="D294" s="2112">
        <v>0.15</v>
      </c>
      <c r="E294" s="2112">
        <v>0.15</v>
      </c>
      <c r="F294" s="2113">
        <v>0.15</v>
      </c>
    </row>
    <row r="295" spans="1:6" ht="14.25" thickBot="1">
      <c r="A295" s="1523" t="s">
        <v>1550</v>
      </c>
      <c r="B295" s="1517" t="s">
        <v>1250</v>
      </c>
      <c r="C295" s="2112">
        <v>0.15</v>
      </c>
      <c r="D295" s="2112">
        <v>0.15</v>
      </c>
      <c r="E295" s="2112">
        <v>0.15</v>
      </c>
      <c r="F295" s="2113">
        <v>0.15</v>
      </c>
    </row>
    <row r="296" spans="1:6" ht="14.25" thickBot="1">
      <c r="A296" s="1523" t="s">
        <v>1550</v>
      </c>
      <c r="B296" s="1517" t="s">
        <v>2259</v>
      </c>
      <c r="C296" s="2112">
        <v>0.15</v>
      </c>
      <c r="D296" s="2112">
        <v>0.15</v>
      </c>
      <c r="E296" s="2112">
        <v>0.15</v>
      </c>
      <c r="F296" s="2113">
        <v>0.15</v>
      </c>
    </row>
    <row r="297" spans="1:6" ht="14.25" thickBot="1">
      <c r="A297" s="1523" t="s">
        <v>1550</v>
      </c>
      <c r="B297" s="1517" t="s">
        <v>2260</v>
      </c>
      <c r="C297" s="2112">
        <v>0.14799999999999999</v>
      </c>
      <c r="D297" s="2112">
        <v>0.14899999999999999</v>
      </c>
      <c r="E297" s="2112">
        <v>0.15</v>
      </c>
      <c r="F297" s="2113">
        <v>0.13700000000000001</v>
      </c>
    </row>
    <row r="298" spans="1:6" ht="14.25" thickBot="1">
      <c r="A298" s="1523" t="s">
        <v>1550</v>
      </c>
      <c r="B298" s="1517" t="s">
        <v>1283</v>
      </c>
      <c r="C298" s="2112">
        <v>0.13400000000000001</v>
      </c>
      <c r="D298" s="2112">
        <v>0.13400000000000001</v>
      </c>
      <c r="E298" s="2112">
        <v>0.14499999999999999</v>
      </c>
      <c r="F298" s="2113">
        <v>0.14799999999999999</v>
      </c>
    </row>
    <row r="299" spans="1:6" ht="14.25" thickBot="1">
      <c r="A299" s="1523" t="s">
        <v>1550</v>
      </c>
      <c r="B299" s="1517" t="s">
        <v>1295</v>
      </c>
      <c r="C299" s="2112">
        <v>0.15</v>
      </c>
      <c r="D299" s="2112">
        <v>0.15</v>
      </c>
      <c r="E299" s="2112">
        <v>0.15</v>
      </c>
      <c r="F299" s="2124"/>
    </row>
    <row r="300" spans="1:6" ht="14.25" thickBot="1">
      <c r="A300" s="1523" t="s">
        <v>1550</v>
      </c>
      <c r="B300" s="1517" t="s">
        <v>2261</v>
      </c>
      <c r="C300" s="2112">
        <v>0.15</v>
      </c>
      <c r="D300" s="2112">
        <v>0.15</v>
      </c>
      <c r="E300" s="2112">
        <v>0.15</v>
      </c>
      <c r="F300" s="2113">
        <v>0.15</v>
      </c>
    </row>
    <row r="301" spans="1:6" ht="14.25" thickBot="1">
      <c r="A301" s="1523" t="s">
        <v>1550</v>
      </c>
      <c r="B301" s="1517" t="s">
        <v>1315</v>
      </c>
      <c r="C301" s="2112">
        <v>0.15</v>
      </c>
      <c r="D301" s="2112">
        <v>0.15</v>
      </c>
      <c r="E301" s="2112">
        <v>0.15</v>
      </c>
      <c r="F301" s="2124"/>
    </row>
    <row r="302" spans="1:6" ht="14.25" thickBot="1">
      <c r="A302" s="1523" t="s">
        <v>1550</v>
      </c>
      <c r="B302" s="1517" t="s">
        <v>2262</v>
      </c>
      <c r="C302" s="2112">
        <v>0.15</v>
      </c>
      <c r="D302" s="2112">
        <v>0.15</v>
      </c>
      <c r="E302" s="2112">
        <v>0.15</v>
      </c>
      <c r="F302" s="2113">
        <v>0.15</v>
      </c>
    </row>
    <row r="303" spans="1:6" ht="14.25" thickBot="1">
      <c r="A303" s="1523" t="s">
        <v>1550</v>
      </c>
      <c r="B303" s="1517" t="s">
        <v>1335</v>
      </c>
      <c r="C303" s="2112">
        <v>0.15</v>
      </c>
      <c r="D303" s="2112">
        <v>0.15</v>
      </c>
      <c r="E303" s="2112">
        <v>0.15</v>
      </c>
      <c r="F303" s="2113">
        <v>0.15</v>
      </c>
    </row>
    <row r="304" spans="1:6" ht="14.25" thickBot="1">
      <c r="A304" s="1523" t="s">
        <v>1550</v>
      </c>
      <c r="B304" s="1517" t="s">
        <v>1346</v>
      </c>
      <c r="C304" s="2112">
        <v>0.15</v>
      </c>
      <c r="D304" s="2112">
        <v>0.15</v>
      </c>
      <c r="E304" s="2112">
        <v>0.15</v>
      </c>
      <c r="F304" s="2124"/>
    </row>
    <row r="305" spans="1:6" ht="14.25" thickBot="1">
      <c r="A305" s="1523" t="s">
        <v>1550</v>
      </c>
      <c r="B305" s="1517" t="s">
        <v>2263</v>
      </c>
      <c r="C305" s="2112">
        <v>0.15</v>
      </c>
      <c r="D305" s="2112">
        <v>0.15</v>
      </c>
      <c r="E305" s="2112">
        <v>0.15</v>
      </c>
      <c r="F305" s="2113">
        <v>0.14000000000000001</v>
      </c>
    </row>
    <row r="306" spans="1:6" ht="14.25" thickBot="1">
      <c r="A306" s="1523" t="s">
        <v>1550</v>
      </c>
      <c r="B306" s="1517" t="s">
        <v>1367</v>
      </c>
      <c r="C306" s="2112">
        <v>0.15</v>
      </c>
      <c r="D306" s="2112">
        <v>0.15</v>
      </c>
      <c r="E306" s="2112">
        <v>0.15</v>
      </c>
      <c r="F306" s="2124"/>
    </row>
    <row r="307" spans="1:6" ht="14.25" thickBot="1">
      <c r="A307" s="1523" t="s">
        <v>1550</v>
      </c>
      <c r="B307" s="1517" t="s">
        <v>2264</v>
      </c>
      <c r="C307" s="2112">
        <v>0.15</v>
      </c>
      <c r="D307" s="2112">
        <v>0.15</v>
      </c>
      <c r="E307" s="2112">
        <v>0.15</v>
      </c>
      <c r="F307" s="2113">
        <v>0.14299999999999999</v>
      </c>
    </row>
    <row r="308" spans="1:6" ht="14.25" thickBot="1">
      <c r="A308" s="1523" t="s">
        <v>1550</v>
      </c>
      <c r="B308" s="1517" t="s">
        <v>1387</v>
      </c>
      <c r="C308" s="2112">
        <v>0.15</v>
      </c>
      <c r="D308" s="2112">
        <v>0.15</v>
      </c>
      <c r="E308" s="2112">
        <v>0.15</v>
      </c>
      <c r="F308" s="2113">
        <v>0.15</v>
      </c>
    </row>
    <row r="309" spans="1:6" ht="14.25" thickBot="1">
      <c r="A309" s="1523" t="s">
        <v>1550</v>
      </c>
      <c r="B309" s="1517" t="s">
        <v>1397</v>
      </c>
      <c r="C309" s="2112">
        <v>0.15</v>
      </c>
      <c r="D309" s="2112">
        <v>0.15</v>
      </c>
      <c r="E309" s="2112">
        <v>0.15</v>
      </c>
      <c r="F309" s="2124"/>
    </row>
    <row r="310" spans="1:6" ht="14.25" thickBot="1">
      <c r="A310" s="1523" t="s">
        <v>1550</v>
      </c>
      <c r="B310" s="1517" t="s">
        <v>2265</v>
      </c>
      <c r="C310" s="2112">
        <v>0.15</v>
      </c>
      <c r="D310" s="2112">
        <v>0.15</v>
      </c>
      <c r="E310" s="2112">
        <v>0.15</v>
      </c>
      <c r="F310" s="2113">
        <v>0.13700000000000001</v>
      </c>
    </row>
    <row r="311" spans="1:6" ht="14.25" thickBot="1">
      <c r="A311" s="1523" t="s">
        <v>1550</v>
      </c>
      <c r="B311" s="1517" t="s">
        <v>2266</v>
      </c>
      <c r="C311" s="2112">
        <v>0.15</v>
      </c>
      <c r="D311" s="2112">
        <v>0.15</v>
      </c>
      <c r="E311" s="2112">
        <v>0.15</v>
      </c>
      <c r="F311" s="2113">
        <v>0.15</v>
      </c>
    </row>
    <row r="312" spans="1:6" ht="14.25" thickBot="1">
      <c r="A312" s="1523" t="s">
        <v>1550</v>
      </c>
      <c r="B312" s="1517" t="s">
        <v>1423</v>
      </c>
      <c r="C312" s="2112">
        <v>0.15</v>
      </c>
      <c r="D312" s="2112">
        <v>0.15</v>
      </c>
      <c r="E312" s="2112">
        <v>0.15</v>
      </c>
      <c r="F312" s="2113">
        <v>0.1</v>
      </c>
    </row>
    <row r="313" spans="1:6" ht="14.25" thickBot="1">
      <c r="A313" s="1523" t="s">
        <v>1550</v>
      </c>
      <c r="B313" s="1517" t="s">
        <v>2267</v>
      </c>
      <c r="C313" s="2112">
        <v>0.15</v>
      </c>
      <c r="D313" s="2112">
        <v>0.15</v>
      </c>
      <c r="E313" s="2112">
        <v>0.15</v>
      </c>
      <c r="F313" s="2113">
        <v>0.15</v>
      </c>
    </row>
    <row r="314" spans="1:6" ht="24.75" thickBot="1">
      <c r="A314" s="1523" t="s">
        <v>1550</v>
      </c>
      <c r="B314" s="1517" t="s">
        <v>2268</v>
      </c>
      <c r="C314" s="2125"/>
      <c r="D314" s="2125"/>
      <c r="E314" s="2125"/>
      <c r="F314" s="2113">
        <v>0.05</v>
      </c>
    </row>
    <row r="315" spans="1:6" ht="24.75" thickBot="1">
      <c r="A315" s="1523" t="s">
        <v>1550</v>
      </c>
      <c r="B315" s="1517" t="s">
        <v>2269</v>
      </c>
      <c r="C315" s="2125"/>
      <c r="D315" s="2125"/>
      <c r="E315" s="2125"/>
      <c r="F315" s="2113">
        <v>0.05</v>
      </c>
    </row>
    <row r="316" spans="1:6" ht="24.75" thickBot="1">
      <c r="A316" s="1533" t="s">
        <v>1550</v>
      </c>
      <c r="B316" s="1529" t="s">
        <v>2270</v>
      </c>
      <c r="C316" s="2122"/>
      <c r="D316" s="2122"/>
      <c r="E316" s="2122"/>
      <c r="F316" s="2115">
        <v>0.05</v>
      </c>
    </row>
    <row r="317" spans="1:6" ht="14.25" thickBot="1">
      <c r="A317" s="1523" t="s">
        <v>2271</v>
      </c>
      <c r="B317" s="1524" t="s">
        <v>2272</v>
      </c>
      <c r="C317" s="2110">
        <v>0.15</v>
      </c>
      <c r="D317" s="2110">
        <v>0.15</v>
      </c>
      <c r="E317" s="2110">
        <v>0.15</v>
      </c>
      <c r="F317" s="2111">
        <v>0.15</v>
      </c>
    </row>
    <row r="318" spans="1:6" ht="14.25" thickBot="1">
      <c r="A318" s="1523" t="s">
        <v>2271</v>
      </c>
      <c r="B318" s="1517" t="s">
        <v>2273</v>
      </c>
      <c r="C318" s="2112">
        <v>0.107</v>
      </c>
      <c r="D318" s="2112">
        <v>0.11</v>
      </c>
      <c r="E318" s="2112">
        <v>0.112</v>
      </c>
      <c r="F318" s="2124"/>
    </row>
    <row r="319" spans="1:6" ht="14.25" thickBot="1">
      <c r="A319" s="1523" t="s">
        <v>2271</v>
      </c>
      <c r="B319" s="1517" t="s">
        <v>2274</v>
      </c>
      <c r="C319" s="2112">
        <v>0.15</v>
      </c>
      <c r="D319" s="2112">
        <v>0.15</v>
      </c>
      <c r="E319" s="2112">
        <v>0.15</v>
      </c>
      <c r="F319" s="2113">
        <v>0.15</v>
      </c>
    </row>
    <row r="320" spans="1:6" ht="14.25" thickBot="1">
      <c r="A320" s="1523" t="s">
        <v>2271</v>
      </c>
      <c r="B320" s="1517" t="s">
        <v>1239</v>
      </c>
      <c r="C320" s="2112">
        <v>0.15</v>
      </c>
      <c r="D320" s="2112">
        <v>0.15</v>
      </c>
      <c r="E320" s="2112">
        <v>0.15</v>
      </c>
      <c r="F320" s="2124"/>
    </row>
    <row r="321" spans="1:6" ht="14.25" thickBot="1">
      <c r="A321" s="1523" t="s">
        <v>2271</v>
      </c>
      <c r="B321" s="1517" t="s">
        <v>2275</v>
      </c>
      <c r="C321" s="2112">
        <v>0.15</v>
      </c>
      <c r="D321" s="2112">
        <v>0.15</v>
      </c>
      <c r="E321" s="2112">
        <v>0.15</v>
      </c>
      <c r="F321" s="2124"/>
    </row>
    <row r="322" spans="1:6" ht="14.25" thickBot="1">
      <c r="A322" s="1523" t="s">
        <v>2271</v>
      </c>
      <c r="B322" s="1517" t="s">
        <v>2276</v>
      </c>
      <c r="C322" s="2112">
        <v>0.15</v>
      </c>
      <c r="D322" s="2112">
        <v>0.15</v>
      </c>
      <c r="E322" s="2112">
        <v>0.15</v>
      </c>
      <c r="F322" s="2113">
        <v>0.15</v>
      </c>
    </row>
    <row r="323" spans="1:6" ht="14.25" thickBot="1">
      <c r="A323" s="1523" t="s">
        <v>2271</v>
      </c>
      <c r="B323" s="1517" t="s">
        <v>2277</v>
      </c>
      <c r="C323" s="2112">
        <v>0.15</v>
      </c>
      <c r="D323" s="2112">
        <v>0.15</v>
      </c>
      <c r="E323" s="2112">
        <v>0.15</v>
      </c>
      <c r="F323" s="2124"/>
    </row>
    <row r="324" spans="1:6" ht="14.25" thickBot="1">
      <c r="A324" s="1523" t="s">
        <v>2271</v>
      </c>
      <c r="B324" s="1517" t="s">
        <v>2278</v>
      </c>
      <c r="C324" s="2112">
        <v>0.15</v>
      </c>
      <c r="D324" s="2112">
        <v>0.15</v>
      </c>
      <c r="E324" s="2112">
        <v>0.15</v>
      </c>
      <c r="F324" s="2124"/>
    </row>
    <row r="325" spans="1:6" ht="14.25" thickBot="1">
      <c r="A325" s="1523" t="s">
        <v>2271</v>
      </c>
      <c r="B325" s="1517" t="s">
        <v>2279</v>
      </c>
      <c r="C325" s="2112">
        <v>0.15</v>
      </c>
      <c r="D325" s="2112">
        <v>0.15</v>
      </c>
      <c r="E325" s="2112">
        <v>0.15</v>
      </c>
      <c r="F325" s="2113">
        <v>0.14699999999999999</v>
      </c>
    </row>
    <row r="326" spans="1:6" ht="14.25" thickBot="1">
      <c r="A326" s="1523" t="s">
        <v>2271</v>
      </c>
      <c r="B326" s="1517" t="s">
        <v>1306</v>
      </c>
      <c r="C326" s="2112">
        <v>0.15</v>
      </c>
      <c r="D326" s="2112">
        <v>0.15</v>
      </c>
      <c r="E326" s="2112">
        <v>0.15</v>
      </c>
      <c r="F326" s="2124"/>
    </row>
    <row r="327" spans="1:6" ht="14.25" thickBot="1">
      <c r="A327" s="1523" t="s">
        <v>2271</v>
      </c>
      <c r="B327" s="1517" t="s">
        <v>2280</v>
      </c>
      <c r="C327" s="2112">
        <v>0.15</v>
      </c>
      <c r="D327" s="2112">
        <v>0.15</v>
      </c>
      <c r="E327" s="2112">
        <v>0.15</v>
      </c>
      <c r="F327" s="2113">
        <v>0.15</v>
      </c>
    </row>
    <row r="328" spans="1:6" ht="14.25" thickBot="1">
      <c r="A328" s="1523" t="s">
        <v>2271</v>
      </c>
      <c r="B328" s="1517" t="s">
        <v>1326</v>
      </c>
      <c r="C328" s="2112">
        <v>0.15</v>
      </c>
      <c r="D328" s="2112">
        <v>0.15</v>
      </c>
      <c r="E328" s="2112">
        <v>0.15</v>
      </c>
      <c r="F328" s="2113">
        <v>0.14099999999999999</v>
      </c>
    </row>
    <row r="329" spans="1:6" ht="14.25" thickBot="1">
      <c r="A329" s="1523" t="s">
        <v>2271</v>
      </c>
      <c r="B329" s="1517" t="s">
        <v>1336</v>
      </c>
      <c r="C329" s="2112">
        <v>0.15</v>
      </c>
      <c r="D329" s="2112">
        <v>0.15</v>
      </c>
      <c r="E329" s="2112">
        <v>0.15</v>
      </c>
      <c r="F329" s="2113">
        <v>0.15</v>
      </c>
    </row>
    <row r="330" spans="1:6" ht="14.25" thickBot="1">
      <c r="A330" s="1523" t="s">
        <v>2271</v>
      </c>
      <c r="B330" s="1517" t="s">
        <v>1347</v>
      </c>
      <c r="C330" s="2112">
        <v>0.15</v>
      </c>
      <c r="D330" s="2112">
        <v>0.15</v>
      </c>
      <c r="E330" s="2112">
        <v>0.15</v>
      </c>
      <c r="F330" s="2124"/>
    </row>
    <row r="331" spans="1:6" ht="14.25" thickBot="1">
      <c r="A331" s="1523" t="s">
        <v>2271</v>
      </c>
      <c r="B331" s="1517" t="s">
        <v>2281</v>
      </c>
      <c r="C331" s="2112">
        <v>0.15</v>
      </c>
      <c r="D331" s="2112">
        <v>0.15</v>
      </c>
      <c r="E331" s="2112">
        <v>0.15</v>
      </c>
      <c r="F331" s="2113">
        <v>0.15</v>
      </c>
    </row>
    <row r="332" spans="1:6" ht="14.25" thickBot="1">
      <c r="A332" s="1523" t="s">
        <v>2271</v>
      </c>
      <c r="B332" s="1517" t="s">
        <v>1368</v>
      </c>
      <c r="C332" s="2112">
        <v>0.15</v>
      </c>
      <c r="D332" s="2112">
        <v>0.15</v>
      </c>
      <c r="E332" s="2112">
        <v>0.15</v>
      </c>
      <c r="F332" s="2113">
        <v>0.15</v>
      </c>
    </row>
    <row r="333" spans="1:6" ht="14.25" thickBot="1">
      <c r="A333" s="1523" t="s">
        <v>2271</v>
      </c>
      <c r="B333" s="1517" t="s">
        <v>2282</v>
      </c>
      <c r="C333" s="2112">
        <v>0.15</v>
      </c>
      <c r="D333" s="2112">
        <v>0.15</v>
      </c>
      <c r="E333" s="2112">
        <v>0.15</v>
      </c>
      <c r="F333" s="2113">
        <v>0.14099999999999999</v>
      </c>
    </row>
    <row r="334" spans="1:6" ht="14.25" thickBot="1">
      <c r="A334" s="1523" t="s">
        <v>2271</v>
      </c>
      <c r="B334" s="1517" t="s">
        <v>1388</v>
      </c>
      <c r="C334" s="2112">
        <v>0.15</v>
      </c>
      <c r="D334" s="2112">
        <v>0.15</v>
      </c>
      <c r="E334" s="2112">
        <v>0.15</v>
      </c>
      <c r="F334" s="2113">
        <v>0.15</v>
      </c>
    </row>
    <row r="335" spans="1:6" ht="14.25" thickBot="1">
      <c r="A335" s="1523" t="s">
        <v>2271</v>
      </c>
      <c r="B335" s="1517" t="s">
        <v>1398</v>
      </c>
      <c r="C335" s="2112">
        <v>0.15</v>
      </c>
      <c r="D335" s="2112">
        <v>0.15</v>
      </c>
      <c r="E335" s="2112">
        <v>0.15</v>
      </c>
      <c r="F335" s="2124"/>
    </row>
    <row r="336" spans="1:6" ht="14.25" thickBot="1">
      <c r="A336" s="1523" t="s">
        <v>2271</v>
      </c>
      <c r="B336" s="1517" t="s">
        <v>2283</v>
      </c>
      <c r="C336" s="2112">
        <v>0.15</v>
      </c>
      <c r="D336" s="2112">
        <v>0.15</v>
      </c>
      <c r="E336" s="2112">
        <v>0.15</v>
      </c>
      <c r="F336" s="2113">
        <v>0.11799999999999999</v>
      </c>
    </row>
    <row r="337" spans="1:6" ht="14.25" thickBot="1">
      <c r="A337" s="1533" t="s">
        <v>2271</v>
      </c>
      <c r="B337" s="1529" t="s">
        <v>1416</v>
      </c>
      <c r="C337" s="2122"/>
      <c r="D337" s="2122"/>
      <c r="E337" s="2122"/>
      <c r="F337" s="2115">
        <v>0.14299999999999999</v>
      </c>
    </row>
    <row r="338" spans="1:6" ht="14.25" thickBot="1">
      <c r="A338" s="1523" t="s">
        <v>2284</v>
      </c>
      <c r="B338" s="1524" t="s">
        <v>2285</v>
      </c>
      <c r="C338" s="2110">
        <v>0.15</v>
      </c>
      <c r="D338" s="2110">
        <v>0.15</v>
      </c>
      <c r="E338" s="2110">
        <v>0.15</v>
      </c>
      <c r="F338" s="2127"/>
    </row>
    <row r="339" spans="1:6" ht="14.25" thickBot="1">
      <c r="A339" s="1523" t="s">
        <v>2284</v>
      </c>
      <c r="B339" s="1517" t="s">
        <v>2286</v>
      </c>
      <c r="C339" s="2112">
        <v>0.15</v>
      </c>
      <c r="D339" s="2112">
        <v>0.15</v>
      </c>
      <c r="E339" s="2112">
        <v>0.15</v>
      </c>
      <c r="F339" s="2124"/>
    </row>
    <row r="340" spans="1:6" ht="14.25" thickBot="1">
      <c r="A340" s="1523" t="s">
        <v>2284</v>
      </c>
      <c r="B340" s="1517" t="s">
        <v>2287</v>
      </c>
      <c r="C340" s="2112">
        <v>0.15</v>
      </c>
      <c r="D340" s="2112">
        <v>0.15</v>
      </c>
      <c r="E340" s="2112">
        <v>0.15</v>
      </c>
      <c r="F340" s="2124"/>
    </row>
    <row r="341" spans="1:6" ht="14.25" thickBot="1">
      <c r="A341" s="1523" t="s">
        <v>2284</v>
      </c>
      <c r="B341" s="1517" t="s">
        <v>2288</v>
      </c>
      <c r="C341" s="2112">
        <v>0.15</v>
      </c>
      <c r="D341" s="2112">
        <v>0.15</v>
      </c>
      <c r="E341" s="2112">
        <v>0.15</v>
      </c>
      <c r="F341" s="2113">
        <v>0.15</v>
      </c>
    </row>
    <row r="342" spans="1:6" ht="14.25" thickBot="1">
      <c r="A342" s="1523" t="s">
        <v>2284</v>
      </c>
      <c r="B342" s="1517" t="s">
        <v>2289</v>
      </c>
      <c r="C342" s="2112">
        <v>0.15</v>
      </c>
      <c r="D342" s="2112">
        <v>0.15</v>
      </c>
      <c r="E342" s="2112">
        <v>0.15</v>
      </c>
      <c r="F342" s="2113">
        <v>0.15</v>
      </c>
    </row>
    <row r="343" spans="1:6" ht="14.25" thickBot="1">
      <c r="A343" s="1523" t="s">
        <v>2284</v>
      </c>
      <c r="B343" s="1517" t="s">
        <v>2290</v>
      </c>
      <c r="C343" s="2112">
        <v>0.15</v>
      </c>
      <c r="D343" s="2112">
        <v>0.15</v>
      </c>
      <c r="E343" s="2112">
        <v>0.15</v>
      </c>
      <c r="F343" s="2113">
        <v>0.15</v>
      </c>
    </row>
    <row r="344" spans="1:6" ht="14.25" thickBot="1">
      <c r="A344" s="1533" t="s">
        <v>2284</v>
      </c>
      <c r="B344" s="1529" t="s">
        <v>2291</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2906</v>
      </c>
      <c r="C1" s="3188">
        <f>项目基本情况!D3</f>
        <v>43007</v>
      </c>
      <c r="D1" s="3194" t="s">
        <v>2907</v>
      </c>
      <c r="E1" s="3189">
        <f>'数据-取费表'!B22</f>
        <v>2</v>
      </c>
      <c r="F1" s="3194" t="s">
        <v>2908</v>
      </c>
      <c r="G1" s="3190">
        <f ca="1">INDIRECT("d"&amp;$K$1)/100</f>
        <v>4.7500000000000001E-2</v>
      </c>
      <c r="H1" s="3194" t="s">
        <v>2938</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2909</v>
      </c>
      <c r="E2" s="3130"/>
      <c r="F2" s="3130" t="s">
        <v>2910</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2911</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2912</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2913</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2914</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2915</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2916</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2917</v>
      </c>
      <c r="C10" s="3158"/>
      <c r="D10" s="3158"/>
      <c r="E10" s="3158"/>
      <c r="F10" s="3158"/>
      <c r="G10" s="3158"/>
      <c r="H10" s="3158"/>
      <c r="I10" s="3132"/>
      <c r="J10" s="3132"/>
      <c r="K10" s="3158"/>
      <c r="L10" s="3159" t="s">
        <v>2918</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2919</v>
      </c>
      <c r="C11" s="3163" t="s">
        <v>2920</v>
      </c>
      <c r="D11" s="3164" t="s">
        <v>2921</v>
      </c>
      <c r="E11" s="3165"/>
      <c r="F11" s="3164" t="s">
        <v>2922</v>
      </c>
      <c r="G11" s="3166"/>
      <c r="H11" s="3165"/>
      <c r="I11" s="3164" t="s">
        <v>2923</v>
      </c>
      <c r="J11" s="3165"/>
      <c r="K11" s="3161"/>
      <c r="L11" s="3162" t="s">
        <v>2919</v>
      </c>
      <c r="M11" s="3163" t="s">
        <v>2920</v>
      </c>
      <c r="N11" s="3162" t="s">
        <v>2924</v>
      </c>
      <c r="O11" s="3164" t="s">
        <v>2925</v>
      </c>
      <c r="P11" s="3166"/>
      <c r="Q11" s="3166"/>
      <c r="R11" s="3166"/>
      <c r="S11" s="3166"/>
      <c r="T11" s="3165"/>
      <c r="U11" s="3164" t="s">
        <v>2926</v>
      </c>
      <c r="V11" s="3166"/>
      <c r="W11" s="3165"/>
      <c r="X11" s="3162" t="s">
        <v>2927</v>
      </c>
      <c r="Y11" s="3162" t="s">
        <v>2928</v>
      </c>
      <c r="Z11" s="3162" t="s">
        <v>2929</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2930</v>
      </c>
      <c r="E12" s="3171" t="s">
        <v>2931</v>
      </c>
      <c r="F12" s="3171" t="s">
        <v>2932</v>
      </c>
      <c r="G12" s="3171" t="s">
        <v>2933</v>
      </c>
      <c r="H12" s="3171" t="s">
        <v>2915</v>
      </c>
      <c r="I12" s="3172" t="s">
        <v>2934</v>
      </c>
      <c r="J12" s="3172" t="s">
        <v>2934</v>
      </c>
      <c r="K12" s="3168"/>
      <c r="L12" s="3169"/>
      <c r="M12" s="3170"/>
      <c r="N12" s="3169"/>
      <c r="O12" s="3172" t="s">
        <v>2935</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2936</v>
      </c>
      <c r="C13" s="3176">
        <v>42301</v>
      </c>
      <c r="D13" s="3177">
        <v>4.3499999999999996</v>
      </c>
      <c r="E13" s="3177">
        <v>4.3499999999999996</v>
      </c>
      <c r="F13" s="3177">
        <v>4.75</v>
      </c>
      <c r="G13" s="3177">
        <v>4.75</v>
      </c>
      <c r="H13" s="3177">
        <v>4.9000000000000004</v>
      </c>
      <c r="I13" s="3177">
        <v>2.75</v>
      </c>
      <c r="J13" s="3177">
        <v>3.25</v>
      </c>
      <c r="K13" s="3174"/>
      <c r="L13" s="3175" t="s">
        <v>2936</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2937</v>
      </c>
      <c r="Y42" s="3181" t="s">
        <v>2937</v>
      </c>
      <c r="Z42" s="3181" t="s">
        <v>2937</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2937</v>
      </c>
      <c r="Y43" s="3181" t="s">
        <v>2937</v>
      </c>
      <c r="Z43" s="3181" t="s">
        <v>2937</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2937</v>
      </c>
      <c r="Y44" s="3181" t="s">
        <v>2937</v>
      </c>
      <c r="Z44" s="3181" t="s">
        <v>2937</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2937</v>
      </c>
      <c r="Y45" s="3181" t="s">
        <v>2937</v>
      </c>
      <c r="Z45" s="3181" t="s">
        <v>2937</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2937</v>
      </c>
      <c r="Y46" s="3181" t="s">
        <v>2937</v>
      </c>
      <c r="Z46" s="3181" t="s">
        <v>2937</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2937</v>
      </c>
      <c r="Y47" s="3181" t="s">
        <v>2937</v>
      </c>
      <c r="Z47" s="3181" t="s">
        <v>2937</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2937</v>
      </c>
      <c r="Y48" s="3181" t="s">
        <v>2937</v>
      </c>
      <c r="Z48" s="3181" t="s">
        <v>2937</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2937</v>
      </c>
      <c r="Y49" s="3181" t="s">
        <v>2937</v>
      </c>
      <c r="Z49" s="3181" t="s">
        <v>2937</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2937</v>
      </c>
      <c r="Y50" s="3181" t="s">
        <v>2937</v>
      </c>
      <c r="Z50" s="3181" t="s">
        <v>2937</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2937</v>
      </c>
      <c r="V51" s="3181" t="s">
        <v>2937</v>
      </c>
      <c r="W51" s="3181" t="s">
        <v>2937</v>
      </c>
      <c r="X51" s="3181" t="s">
        <v>2937</v>
      </c>
      <c r="Y51" s="3181" t="s">
        <v>2937</v>
      </c>
      <c r="Z51" s="3181" t="s">
        <v>2937</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2937</v>
      </c>
      <c r="J55" s="3181" t="s">
        <v>2937</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3040</v>
      </c>
      <c r="E1" s="3317" t="s">
        <v>3044</v>
      </c>
      <c r="F1" s="3318" t="s">
        <v>3048</v>
      </c>
    </row>
    <row r="2" spans="1:13" ht="20.25">
      <c r="A2" s="3324" t="s">
        <v>3041</v>
      </c>
    </row>
    <row r="3" spans="1:13" ht="16.5">
      <c r="A3" s="3325" t="s">
        <v>3042</v>
      </c>
    </row>
    <row r="4" spans="1:13" ht="14.25">
      <c r="A4" s="3315" t="s">
        <v>3043</v>
      </c>
      <c r="B4" s="3320" t="s">
        <v>3045</v>
      </c>
      <c r="C4" s="3321"/>
      <c r="D4" s="3322"/>
      <c r="E4" s="3320" t="s">
        <v>140</v>
      </c>
      <c r="F4" s="3321"/>
      <c r="G4" s="3322"/>
      <c r="H4" s="3320" t="s">
        <v>3046</v>
      </c>
      <c r="I4" s="3321"/>
      <c r="J4" s="3322"/>
      <c r="K4" s="3320" t="s">
        <v>39</v>
      </c>
      <c r="L4" s="3321"/>
      <c r="M4" s="3322"/>
    </row>
    <row r="5" spans="1:13" ht="14.25">
      <c r="A5" s="3316" t="s">
        <v>3047</v>
      </c>
      <c r="B5" s="3315" t="s">
        <v>3049</v>
      </c>
      <c r="C5" s="3315" t="s">
        <v>3050</v>
      </c>
      <c r="D5" s="3315" t="s">
        <v>3051</v>
      </c>
      <c r="E5" s="3315" t="s">
        <v>3049</v>
      </c>
      <c r="F5" s="3315" t="s">
        <v>3050</v>
      </c>
      <c r="G5" s="3315" t="s">
        <v>3051</v>
      </c>
      <c r="H5" s="3315" t="s">
        <v>3049</v>
      </c>
      <c r="I5" s="3315" t="s">
        <v>3050</v>
      </c>
      <c r="J5" s="3315" t="s">
        <v>3051</v>
      </c>
      <c r="K5" s="3315" t="s">
        <v>3049</v>
      </c>
      <c r="L5" s="3315" t="s">
        <v>3050</v>
      </c>
      <c r="M5" s="3315" t="s">
        <v>3051</v>
      </c>
    </row>
    <row r="6" spans="1:13" ht="14.25">
      <c r="A6" s="3319" t="s">
        <v>1228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1285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201</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1542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1544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1546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1550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1950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activeCell="M44" sqref="M44"/>
    </sheetView>
  </sheetViews>
  <sheetFormatPr defaultRowHeight="13.5"/>
  <cols>
    <col min="1" max="1" width="40" style="3356" customWidth="1"/>
    <col min="2" max="2" width="6.25" style="3356" customWidth="1"/>
    <col min="3" max="3" width="11.75" style="3356" customWidth="1"/>
    <col min="4" max="4" width="6.25" style="3356" customWidth="1"/>
    <col min="5" max="5" width="14.375" style="3356" customWidth="1"/>
    <col min="6" max="7" width="13.875" style="3356" customWidth="1"/>
    <col min="8" max="8" width="6.25" style="3356" customWidth="1"/>
    <col min="9" max="9" width="13.5" style="3356" customWidth="1"/>
    <col min="10" max="10" width="7.875" style="3356" customWidth="1"/>
    <col min="11" max="11" width="48.75" style="3356" customWidth="1"/>
    <col min="12" max="12" width="10.625" style="3356" customWidth="1"/>
    <col min="13" max="13" width="16" style="3356" customWidth="1"/>
    <col min="14" max="14" width="14.375" style="3356" customWidth="1"/>
    <col min="15" max="256" width="9" style="3356"/>
    <col min="257" max="257" width="40" style="3356" customWidth="1"/>
    <col min="258" max="258" width="6.25" style="3356" customWidth="1"/>
    <col min="259" max="259" width="11.75" style="3356" customWidth="1"/>
    <col min="260" max="260" width="6.25" style="3356" customWidth="1"/>
    <col min="261" max="261" width="14.375" style="3356" customWidth="1"/>
    <col min="262" max="263" width="13.875" style="3356" customWidth="1"/>
    <col min="264" max="264" width="6.25" style="3356" customWidth="1"/>
    <col min="265" max="265" width="13.5" style="3356" customWidth="1"/>
    <col min="266" max="266" width="7.875" style="3356" customWidth="1"/>
    <col min="267" max="267" width="88.25" style="3356" customWidth="1"/>
    <col min="268" max="268" width="10.625" style="3356" customWidth="1"/>
    <col min="269" max="269" width="16" style="3356" customWidth="1"/>
    <col min="270" max="270" width="14.375" style="3356" customWidth="1"/>
    <col min="271" max="512" width="9" style="3356"/>
    <col min="513" max="513" width="40" style="3356" customWidth="1"/>
    <col min="514" max="514" width="6.25" style="3356" customWidth="1"/>
    <col min="515" max="515" width="11.75" style="3356" customWidth="1"/>
    <col min="516" max="516" width="6.25" style="3356" customWidth="1"/>
    <col min="517" max="517" width="14.375" style="3356" customWidth="1"/>
    <col min="518" max="519" width="13.875" style="3356" customWidth="1"/>
    <col min="520" max="520" width="6.25" style="3356" customWidth="1"/>
    <col min="521" max="521" width="13.5" style="3356" customWidth="1"/>
    <col min="522" max="522" width="7.875" style="3356" customWidth="1"/>
    <col min="523" max="523" width="88.25" style="3356" customWidth="1"/>
    <col min="524" max="524" width="10.625" style="3356" customWidth="1"/>
    <col min="525" max="525" width="16" style="3356" customWidth="1"/>
    <col min="526" max="526" width="14.375" style="3356" customWidth="1"/>
    <col min="527" max="768" width="9" style="3356"/>
    <col min="769" max="769" width="40" style="3356" customWidth="1"/>
    <col min="770" max="770" width="6.25" style="3356" customWidth="1"/>
    <col min="771" max="771" width="11.75" style="3356" customWidth="1"/>
    <col min="772" max="772" width="6.25" style="3356" customWidth="1"/>
    <col min="773" max="773" width="14.375" style="3356" customWidth="1"/>
    <col min="774" max="775" width="13.875" style="3356" customWidth="1"/>
    <col min="776" max="776" width="6.25" style="3356" customWidth="1"/>
    <col min="777" max="777" width="13.5" style="3356" customWidth="1"/>
    <col min="778" max="778" width="7.875" style="3356" customWidth="1"/>
    <col min="779" max="779" width="88.25" style="3356" customWidth="1"/>
    <col min="780" max="780" width="10.625" style="3356" customWidth="1"/>
    <col min="781" max="781" width="16" style="3356" customWidth="1"/>
    <col min="782" max="782" width="14.375" style="3356" customWidth="1"/>
    <col min="783" max="1024" width="9" style="3356"/>
    <col min="1025" max="1025" width="40" style="3356" customWidth="1"/>
    <col min="1026" max="1026" width="6.25" style="3356" customWidth="1"/>
    <col min="1027" max="1027" width="11.75" style="3356" customWidth="1"/>
    <col min="1028" max="1028" width="6.25" style="3356" customWidth="1"/>
    <col min="1029" max="1029" width="14.375" style="3356" customWidth="1"/>
    <col min="1030" max="1031" width="13.875" style="3356" customWidth="1"/>
    <col min="1032" max="1032" width="6.25" style="3356" customWidth="1"/>
    <col min="1033" max="1033" width="13.5" style="3356" customWidth="1"/>
    <col min="1034" max="1034" width="7.875" style="3356" customWidth="1"/>
    <col min="1035" max="1035" width="88.25" style="3356" customWidth="1"/>
    <col min="1036" max="1036" width="10.625" style="3356" customWidth="1"/>
    <col min="1037" max="1037" width="16" style="3356" customWidth="1"/>
    <col min="1038" max="1038" width="14.375" style="3356" customWidth="1"/>
    <col min="1039" max="1280" width="9" style="3356"/>
    <col min="1281" max="1281" width="40" style="3356" customWidth="1"/>
    <col min="1282" max="1282" width="6.25" style="3356" customWidth="1"/>
    <col min="1283" max="1283" width="11.75" style="3356" customWidth="1"/>
    <col min="1284" max="1284" width="6.25" style="3356" customWidth="1"/>
    <col min="1285" max="1285" width="14.375" style="3356" customWidth="1"/>
    <col min="1286" max="1287" width="13.875" style="3356" customWidth="1"/>
    <col min="1288" max="1288" width="6.25" style="3356" customWidth="1"/>
    <col min="1289" max="1289" width="13.5" style="3356" customWidth="1"/>
    <col min="1290" max="1290" width="7.875" style="3356" customWidth="1"/>
    <col min="1291" max="1291" width="88.25" style="3356" customWidth="1"/>
    <col min="1292" max="1292" width="10.625" style="3356" customWidth="1"/>
    <col min="1293" max="1293" width="16" style="3356" customWidth="1"/>
    <col min="1294" max="1294" width="14.375" style="3356" customWidth="1"/>
    <col min="1295" max="1536" width="9" style="3356"/>
    <col min="1537" max="1537" width="40" style="3356" customWidth="1"/>
    <col min="1538" max="1538" width="6.25" style="3356" customWidth="1"/>
    <col min="1539" max="1539" width="11.75" style="3356" customWidth="1"/>
    <col min="1540" max="1540" width="6.25" style="3356" customWidth="1"/>
    <col min="1541" max="1541" width="14.375" style="3356" customWidth="1"/>
    <col min="1542" max="1543" width="13.875" style="3356" customWidth="1"/>
    <col min="1544" max="1544" width="6.25" style="3356" customWidth="1"/>
    <col min="1545" max="1545" width="13.5" style="3356" customWidth="1"/>
    <col min="1546" max="1546" width="7.875" style="3356" customWidth="1"/>
    <col min="1547" max="1547" width="88.25" style="3356" customWidth="1"/>
    <col min="1548" max="1548" width="10.625" style="3356" customWidth="1"/>
    <col min="1549" max="1549" width="16" style="3356" customWidth="1"/>
    <col min="1550" max="1550" width="14.375" style="3356" customWidth="1"/>
    <col min="1551" max="1792" width="9" style="3356"/>
    <col min="1793" max="1793" width="40" style="3356" customWidth="1"/>
    <col min="1794" max="1794" width="6.25" style="3356" customWidth="1"/>
    <col min="1795" max="1795" width="11.75" style="3356" customWidth="1"/>
    <col min="1796" max="1796" width="6.25" style="3356" customWidth="1"/>
    <col min="1797" max="1797" width="14.375" style="3356" customWidth="1"/>
    <col min="1798" max="1799" width="13.875" style="3356" customWidth="1"/>
    <col min="1800" max="1800" width="6.25" style="3356" customWidth="1"/>
    <col min="1801" max="1801" width="13.5" style="3356" customWidth="1"/>
    <col min="1802" max="1802" width="7.875" style="3356" customWidth="1"/>
    <col min="1803" max="1803" width="88.25" style="3356" customWidth="1"/>
    <col min="1804" max="1804" width="10.625" style="3356" customWidth="1"/>
    <col min="1805" max="1805" width="16" style="3356" customWidth="1"/>
    <col min="1806" max="1806" width="14.375" style="3356" customWidth="1"/>
    <col min="1807" max="2048" width="9" style="3356"/>
    <col min="2049" max="2049" width="40" style="3356" customWidth="1"/>
    <col min="2050" max="2050" width="6.25" style="3356" customWidth="1"/>
    <col min="2051" max="2051" width="11.75" style="3356" customWidth="1"/>
    <col min="2052" max="2052" width="6.25" style="3356" customWidth="1"/>
    <col min="2053" max="2053" width="14.375" style="3356" customWidth="1"/>
    <col min="2054" max="2055" width="13.875" style="3356" customWidth="1"/>
    <col min="2056" max="2056" width="6.25" style="3356" customWidth="1"/>
    <col min="2057" max="2057" width="13.5" style="3356" customWidth="1"/>
    <col min="2058" max="2058" width="7.875" style="3356" customWidth="1"/>
    <col min="2059" max="2059" width="88.25" style="3356" customWidth="1"/>
    <col min="2060" max="2060" width="10.625" style="3356" customWidth="1"/>
    <col min="2061" max="2061" width="16" style="3356" customWidth="1"/>
    <col min="2062" max="2062" width="14.375" style="3356" customWidth="1"/>
    <col min="2063" max="2304" width="9" style="3356"/>
    <col min="2305" max="2305" width="40" style="3356" customWidth="1"/>
    <col min="2306" max="2306" width="6.25" style="3356" customWidth="1"/>
    <col min="2307" max="2307" width="11.75" style="3356" customWidth="1"/>
    <col min="2308" max="2308" width="6.25" style="3356" customWidth="1"/>
    <col min="2309" max="2309" width="14.375" style="3356" customWidth="1"/>
    <col min="2310" max="2311" width="13.875" style="3356" customWidth="1"/>
    <col min="2312" max="2312" width="6.25" style="3356" customWidth="1"/>
    <col min="2313" max="2313" width="13.5" style="3356" customWidth="1"/>
    <col min="2314" max="2314" width="7.875" style="3356" customWidth="1"/>
    <col min="2315" max="2315" width="88.25" style="3356" customWidth="1"/>
    <col min="2316" max="2316" width="10.625" style="3356" customWidth="1"/>
    <col min="2317" max="2317" width="16" style="3356" customWidth="1"/>
    <col min="2318" max="2318" width="14.375" style="3356" customWidth="1"/>
    <col min="2319" max="2560" width="9" style="3356"/>
    <col min="2561" max="2561" width="40" style="3356" customWidth="1"/>
    <col min="2562" max="2562" width="6.25" style="3356" customWidth="1"/>
    <col min="2563" max="2563" width="11.75" style="3356" customWidth="1"/>
    <col min="2564" max="2564" width="6.25" style="3356" customWidth="1"/>
    <col min="2565" max="2565" width="14.375" style="3356" customWidth="1"/>
    <col min="2566" max="2567" width="13.875" style="3356" customWidth="1"/>
    <col min="2568" max="2568" width="6.25" style="3356" customWidth="1"/>
    <col min="2569" max="2569" width="13.5" style="3356" customWidth="1"/>
    <col min="2570" max="2570" width="7.875" style="3356" customWidth="1"/>
    <col min="2571" max="2571" width="88.25" style="3356" customWidth="1"/>
    <col min="2572" max="2572" width="10.625" style="3356" customWidth="1"/>
    <col min="2573" max="2573" width="16" style="3356" customWidth="1"/>
    <col min="2574" max="2574" width="14.375" style="3356" customWidth="1"/>
    <col min="2575" max="2816" width="9" style="3356"/>
    <col min="2817" max="2817" width="40" style="3356" customWidth="1"/>
    <col min="2818" max="2818" width="6.25" style="3356" customWidth="1"/>
    <col min="2819" max="2819" width="11.75" style="3356" customWidth="1"/>
    <col min="2820" max="2820" width="6.25" style="3356" customWidth="1"/>
    <col min="2821" max="2821" width="14.375" style="3356" customWidth="1"/>
    <col min="2822" max="2823" width="13.875" style="3356" customWidth="1"/>
    <col min="2824" max="2824" width="6.25" style="3356" customWidth="1"/>
    <col min="2825" max="2825" width="13.5" style="3356" customWidth="1"/>
    <col min="2826" max="2826" width="7.875" style="3356" customWidth="1"/>
    <col min="2827" max="2827" width="88.25" style="3356" customWidth="1"/>
    <col min="2828" max="2828" width="10.625" style="3356" customWidth="1"/>
    <col min="2829" max="2829" width="16" style="3356" customWidth="1"/>
    <col min="2830" max="2830" width="14.375" style="3356" customWidth="1"/>
    <col min="2831" max="3072" width="9" style="3356"/>
    <col min="3073" max="3073" width="40" style="3356" customWidth="1"/>
    <col min="3074" max="3074" width="6.25" style="3356" customWidth="1"/>
    <col min="3075" max="3075" width="11.75" style="3356" customWidth="1"/>
    <col min="3076" max="3076" width="6.25" style="3356" customWidth="1"/>
    <col min="3077" max="3077" width="14.375" style="3356" customWidth="1"/>
    <col min="3078" max="3079" width="13.875" style="3356" customWidth="1"/>
    <col min="3080" max="3080" width="6.25" style="3356" customWidth="1"/>
    <col min="3081" max="3081" width="13.5" style="3356" customWidth="1"/>
    <col min="3082" max="3082" width="7.875" style="3356" customWidth="1"/>
    <col min="3083" max="3083" width="88.25" style="3356" customWidth="1"/>
    <col min="3084" max="3084" width="10.625" style="3356" customWidth="1"/>
    <col min="3085" max="3085" width="16" style="3356" customWidth="1"/>
    <col min="3086" max="3086" width="14.375" style="3356" customWidth="1"/>
    <col min="3087" max="3328" width="9" style="3356"/>
    <col min="3329" max="3329" width="40" style="3356" customWidth="1"/>
    <col min="3330" max="3330" width="6.25" style="3356" customWidth="1"/>
    <col min="3331" max="3331" width="11.75" style="3356" customWidth="1"/>
    <col min="3332" max="3332" width="6.25" style="3356" customWidth="1"/>
    <col min="3333" max="3333" width="14.375" style="3356" customWidth="1"/>
    <col min="3334" max="3335" width="13.875" style="3356" customWidth="1"/>
    <col min="3336" max="3336" width="6.25" style="3356" customWidth="1"/>
    <col min="3337" max="3337" width="13.5" style="3356" customWidth="1"/>
    <col min="3338" max="3338" width="7.875" style="3356" customWidth="1"/>
    <col min="3339" max="3339" width="88.25" style="3356" customWidth="1"/>
    <col min="3340" max="3340" width="10.625" style="3356" customWidth="1"/>
    <col min="3341" max="3341" width="16" style="3356" customWidth="1"/>
    <col min="3342" max="3342" width="14.375" style="3356" customWidth="1"/>
    <col min="3343" max="3584" width="9" style="3356"/>
    <col min="3585" max="3585" width="40" style="3356" customWidth="1"/>
    <col min="3586" max="3586" width="6.25" style="3356" customWidth="1"/>
    <col min="3587" max="3587" width="11.75" style="3356" customWidth="1"/>
    <col min="3588" max="3588" width="6.25" style="3356" customWidth="1"/>
    <col min="3589" max="3589" width="14.375" style="3356" customWidth="1"/>
    <col min="3590" max="3591" width="13.875" style="3356" customWidth="1"/>
    <col min="3592" max="3592" width="6.25" style="3356" customWidth="1"/>
    <col min="3593" max="3593" width="13.5" style="3356" customWidth="1"/>
    <col min="3594" max="3594" width="7.875" style="3356" customWidth="1"/>
    <col min="3595" max="3595" width="88.25" style="3356" customWidth="1"/>
    <col min="3596" max="3596" width="10.625" style="3356" customWidth="1"/>
    <col min="3597" max="3597" width="16" style="3356" customWidth="1"/>
    <col min="3598" max="3598" width="14.375" style="3356" customWidth="1"/>
    <col min="3599" max="3840" width="9" style="3356"/>
    <col min="3841" max="3841" width="40" style="3356" customWidth="1"/>
    <col min="3842" max="3842" width="6.25" style="3356" customWidth="1"/>
    <col min="3843" max="3843" width="11.75" style="3356" customWidth="1"/>
    <col min="3844" max="3844" width="6.25" style="3356" customWidth="1"/>
    <col min="3845" max="3845" width="14.375" style="3356" customWidth="1"/>
    <col min="3846" max="3847" width="13.875" style="3356" customWidth="1"/>
    <col min="3848" max="3848" width="6.25" style="3356" customWidth="1"/>
    <col min="3849" max="3849" width="13.5" style="3356" customWidth="1"/>
    <col min="3850" max="3850" width="7.875" style="3356" customWidth="1"/>
    <col min="3851" max="3851" width="88.25" style="3356" customWidth="1"/>
    <col min="3852" max="3852" width="10.625" style="3356" customWidth="1"/>
    <col min="3853" max="3853" width="16" style="3356" customWidth="1"/>
    <col min="3854" max="3854" width="14.375" style="3356" customWidth="1"/>
    <col min="3855" max="4096" width="9" style="3356"/>
    <col min="4097" max="4097" width="40" style="3356" customWidth="1"/>
    <col min="4098" max="4098" width="6.25" style="3356" customWidth="1"/>
    <col min="4099" max="4099" width="11.75" style="3356" customWidth="1"/>
    <col min="4100" max="4100" width="6.25" style="3356" customWidth="1"/>
    <col min="4101" max="4101" width="14.375" style="3356" customWidth="1"/>
    <col min="4102" max="4103" width="13.875" style="3356" customWidth="1"/>
    <col min="4104" max="4104" width="6.25" style="3356" customWidth="1"/>
    <col min="4105" max="4105" width="13.5" style="3356" customWidth="1"/>
    <col min="4106" max="4106" width="7.875" style="3356" customWidth="1"/>
    <col min="4107" max="4107" width="88.25" style="3356" customWidth="1"/>
    <col min="4108" max="4108" width="10.625" style="3356" customWidth="1"/>
    <col min="4109" max="4109" width="16" style="3356" customWidth="1"/>
    <col min="4110" max="4110" width="14.375" style="3356" customWidth="1"/>
    <col min="4111" max="4352" width="9" style="3356"/>
    <col min="4353" max="4353" width="40" style="3356" customWidth="1"/>
    <col min="4354" max="4354" width="6.25" style="3356" customWidth="1"/>
    <col min="4355" max="4355" width="11.75" style="3356" customWidth="1"/>
    <col min="4356" max="4356" width="6.25" style="3356" customWidth="1"/>
    <col min="4357" max="4357" width="14.375" style="3356" customWidth="1"/>
    <col min="4358" max="4359" width="13.875" style="3356" customWidth="1"/>
    <col min="4360" max="4360" width="6.25" style="3356" customWidth="1"/>
    <col min="4361" max="4361" width="13.5" style="3356" customWidth="1"/>
    <col min="4362" max="4362" width="7.875" style="3356" customWidth="1"/>
    <col min="4363" max="4363" width="88.25" style="3356" customWidth="1"/>
    <col min="4364" max="4364" width="10.625" style="3356" customWidth="1"/>
    <col min="4365" max="4365" width="16" style="3356" customWidth="1"/>
    <col min="4366" max="4366" width="14.375" style="3356" customWidth="1"/>
    <col min="4367" max="4608" width="9" style="3356"/>
    <col min="4609" max="4609" width="40" style="3356" customWidth="1"/>
    <col min="4610" max="4610" width="6.25" style="3356" customWidth="1"/>
    <col min="4611" max="4611" width="11.75" style="3356" customWidth="1"/>
    <col min="4612" max="4612" width="6.25" style="3356" customWidth="1"/>
    <col min="4613" max="4613" width="14.375" style="3356" customWidth="1"/>
    <col min="4614" max="4615" width="13.875" style="3356" customWidth="1"/>
    <col min="4616" max="4616" width="6.25" style="3356" customWidth="1"/>
    <col min="4617" max="4617" width="13.5" style="3356" customWidth="1"/>
    <col min="4618" max="4618" width="7.875" style="3356" customWidth="1"/>
    <col min="4619" max="4619" width="88.25" style="3356" customWidth="1"/>
    <col min="4620" max="4620" width="10.625" style="3356" customWidth="1"/>
    <col min="4621" max="4621" width="16" style="3356" customWidth="1"/>
    <col min="4622" max="4622" width="14.375" style="3356" customWidth="1"/>
    <col min="4623" max="4864" width="9" style="3356"/>
    <col min="4865" max="4865" width="40" style="3356" customWidth="1"/>
    <col min="4866" max="4866" width="6.25" style="3356" customWidth="1"/>
    <col min="4867" max="4867" width="11.75" style="3356" customWidth="1"/>
    <col min="4868" max="4868" width="6.25" style="3356" customWidth="1"/>
    <col min="4869" max="4869" width="14.375" style="3356" customWidth="1"/>
    <col min="4870" max="4871" width="13.875" style="3356" customWidth="1"/>
    <col min="4872" max="4872" width="6.25" style="3356" customWidth="1"/>
    <col min="4873" max="4873" width="13.5" style="3356" customWidth="1"/>
    <col min="4874" max="4874" width="7.875" style="3356" customWidth="1"/>
    <col min="4875" max="4875" width="88.25" style="3356" customWidth="1"/>
    <col min="4876" max="4876" width="10.625" style="3356" customWidth="1"/>
    <col min="4877" max="4877" width="16" style="3356" customWidth="1"/>
    <col min="4878" max="4878" width="14.375" style="3356" customWidth="1"/>
    <col min="4879" max="5120" width="9" style="3356"/>
    <col min="5121" max="5121" width="40" style="3356" customWidth="1"/>
    <col min="5122" max="5122" width="6.25" style="3356" customWidth="1"/>
    <col min="5123" max="5123" width="11.75" style="3356" customWidth="1"/>
    <col min="5124" max="5124" width="6.25" style="3356" customWidth="1"/>
    <col min="5125" max="5125" width="14.375" style="3356" customWidth="1"/>
    <col min="5126" max="5127" width="13.875" style="3356" customWidth="1"/>
    <col min="5128" max="5128" width="6.25" style="3356" customWidth="1"/>
    <col min="5129" max="5129" width="13.5" style="3356" customWidth="1"/>
    <col min="5130" max="5130" width="7.875" style="3356" customWidth="1"/>
    <col min="5131" max="5131" width="88.25" style="3356" customWidth="1"/>
    <col min="5132" max="5132" width="10.625" style="3356" customWidth="1"/>
    <col min="5133" max="5133" width="16" style="3356" customWidth="1"/>
    <col min="5134" max="5134" width="14.375" style="3356" customWidth="1"/>
    <col min="5135" max="5376" width="9" style="3356"/>
    <col min="5377" max="5377" width="40" style="3356" customWidth="1"/>
    <col min="5378" max="5378" width="6.25" style="3356" customWidth="1"/>
    <col min="5379" max="5379" width="11.75" style="3356" customWidth="1"/>
    <col min="5380" max="5380" width="6.25" style="3356" customWidth="1"/>
    <col min="5381" max="5381" width="14.375" style="3356" customWidth="1"/>
    <col min="5382" max="5383" width="13.875" style="3356" customWidth="1"/>
    <col min="5384" max="5384" width="6.25" style="3356" customWidth="1"/>
    <col min="5385" max="5385" width="13.5" style="3356" customWidth="1"/>
    <col min="5386" max="5386" width="7.875" style="3356" customWidth="1"/>
    <col min="5387" max="5387" width="88.25" style="3356" customWidth="1"/>
    <col min="5388" max="5388" width="10.625" style="3356" customWidth="1"/>
    <col min="5389" max="5389" width="16" style="3356" customWidth="1"/>
    <col min="5390" max="5390" width="14.375" style="3356" customWidth="1"/>
    <col min="5391" max="5632" width="9" style="3356"/>
    <col min="5633" max="5633" width="40" style="3356" customWidth="1"/>
    <col min="5634" max="5634" width="6.25" style="3356" customWidth="1"/>
    <col min="5635" max="5635" width="11.75" style="3356" customWidth="1"/>
    <col min="5636" max="5636" width="6.25" style="3356" customWidth="1"/>
    <col min="5637" max="5637" width="14.375" style="3356" customWidth="1"/>
    <col min="5638" max="5639" width="13.875" style="3356" customWidth="1"/>
    <col min="5640" max="5640" width="6.25" style="3356" customWidth="1"/>
    <col min="5641" max="5641" width="13.5" style="3356" customWidth="1"/>
    <col min="5642" max="5642" width="7.875" style="3356" customWidth="1"/>
    <col min="5643" max="5643" width="88.25" style="3356" customWidth="1"/>
    <col min="5644" max="5644" width="10.625" style="3356" customWidth="1"/>
    <col min="5645" max="5645" width="16" style="3356" customWidth="1"/>
    <col min="5646" max="5646" width="14.375" style="3356" customWidth="1"/>
    <col min="5647" max="5888" width="9" style="3356"/>
    <col min="5889" max="5889" width="40" style="3356" customWidth="1"/>
    <col min="5890" max="5890" width="6.25" style="3356" customWidth="1"/>
    <col min="5891" max="5891" width="11.75" style="3356" customWidth="1"/>
    <col min="5892" max="5892" width="6.25" style="3356" customWidth="1"/>
    <col min="5893" max="5893" width="14.375" style="3356" customWidth="1"/>
    <col min="5894" max="5895" width="13.875" style="3356" customWidth="1"/>
    <col min="5896" max="5896" width="6.25" style="3356" customWidth="1"/>
    <col min="5897" max="5897" width="13.5" style="3356" customWidth="1"/>
    <col min="5898" max="5898" width="7.875" style="3356" customWidth="1"/>
    <col min="5899" max="5899" width="88.25" style="3356" customWidth="1"/>
    <col min="5900" max="5900" width="10.625" style="3356" customWidth="1"/>
    <col min="5901" max="5901" width="16" style="3356" customWidth="1"/>
    <col min="5902" max="5902" width="14.375" style="3356" customWidth="1"/>
    <col min="5903" max="6144" width="9" style="3356"/>
    <col min="6145" max="6145" width="40" style="3356" customWidth="1"/>
    <col min="6146" max="6146" width="6.25" style="3356" customWidth="1"/>
    <col min="6147" max="6147" width="11.75" style="3356" customWidth="1"/>
    <col min="6148" max="6148" width="6.25" style="3356" customWidth="1"/>
    <col min="6149" max="6149" width="14.375" style="3356" customWidth="1"/>
    <col min="6150" max="6151" width="13.875" style="3356" customWidth="1"/>
    <col min="6152" max="6152" width="6.25" style="3356" customWidth="1"/>
    <col min="6153" max="6153" width="13.5" style="3356" customWidth="1"/>
    <col min="6154" max="6154" width="7.875" style="3356" customWidth="1"/>
    <col min="6155" max="6155" width="88.25" style="3356" customWidth="1"/>
    <col min="6156" max="6156" width="10.625" style="3356" customWidth="1"/>
    <col min="6157" max="6157" width="16" style="3356" customWidth="1"/>
    <col min="6158" max="6158" width="14.375" style="3356" customWidth="1"/>
    <col min="6159" max="6400" width="9" style="3356"/>
    <col min="6401" max="6401" width="40" style="3356" customWidth="1"/>
    <col min="6402" max="6402" width="6.25" style="3356" customWidth="1"/>
    <col min="6403" max="6403" width="11.75" style="3356" customWidth="1"/>
    <col min="6404" max="6404" width="6.25" style="3356" customWidth="1"/>
    <col min="6405" max="6405" width="14.375" style="3356" customWidth="1"/>
    <col min="6406" max="6407" width="13.875" style="3356" customWidth="1"/>
    <col min="6408" max="6408" width="6.25" style="3356" customWidth="1"/>
    <col min="6409" max="6409" width="13.5" style="3356" customWidth="1"/>
    <col min="6410" max="6410" width="7.875" style="3356" customWidth="1"/>
    <col min="6411" max="6411" width="88.25" style="3356" customWidth="1"/>
    <col min="6412" max="6412" width="10.625" style="3356" customWidth="1"/>
    <col min="6413" max="6413" width="16" style="3356" customWidth="1"/>
    <col min="6414" max="6414" width="14.375" style="3356" customWidth="1"/>
    <col min="6415" max="6656" width="9" style="3356"/>
    <col min="6657" max="6657" width="40" style="3356" customWidth="1"/>
    <col min="6658" max="6658" width="6.25" style="3356" customWidth="1"/>
    <col min="6659" max="6659" width="11.75" style="3356" customWidth="1"/>
    <col min="6660" max="6660" width="6.25" style="3356" customWidth="1"/>
    <col min="6661" max="6661" width="14.375" style="3356" customWidth="1"/>
    <col min="6662" max="6663" width="13.875" style="3356" customWidth="1"/>
    <col min="6664" max="6664" width="6.25" style="3356" customWidth="1"/>
    <col min="6665" max="6665" width="13.5" style="3356" customWidth="1"/>
    <col min="6666" max="6666" width="7.875" style="3356" customWidth="1"/>
    <col min="6667" max="6667" width="88.25" style="3356" customWidth="1"/>
    <col min="6668" max="6668" width="10.625" style="3356" customWidth="1"/>
    <col min="6669" max="6669" width="16" style="3356" customWidth="1"/>
    <col min="6670" max="6670" width="14.375" style="3356" customWidth="1"/>
    <col min="6671" max="6912" width="9" style="3356"/>
    <col min="6913" max="6913" width="40" style="3356" customWidth="1"/>
    <col min="6914" max="6914" width="6.25" style="3356" customWidth="1"/>
    <col min="6915" max="6915" width="11.75" style="3356" customWidth="1"/>
    <col min="6916" max="6916" width="6.25" style="3356" customWidth="1"/>
    <col min="6917" max="6917" width="14.375" style="3356" customWidth="1"/>
    <col min="6918" max="6919" width="13.875" style="3356" customWidth="1"/>
    <col min="6920" max="6920" width="6.25" style="3356" customWidth="1"/>
    <col min="6921" max="6921" width="13.5" style="3356" customWidth="1"/>
    <col min="6922" max="6922" width="7.875" style="3356" customWidth="1"/>
    <col min="6923" max="6923" width="88.25" style="3356" customWidth="1"/>
    <col min="6924" max="6924" width="10.625" style="3356" customWidth="1"/>
    <col min="6925" max="6925" width="16" style="3356" customWidth="1"/>
    <col min="6926" max="6926" width="14.375" style="3356" customWidth="1"/>
    <col min="6927" max="7168" width="9" style="3356"/>
    <col min="7169" max="7169" width="40" style="3356" customWidth="1"/>
    <col min="7170" max="7170" width="6.25" style="3356" customWidth="1"/>
    <col min="7171" max="7171" width="11.75" style="3356" customWidth="1"/>
    <col min="7172" max="7172" width="6.25" style="3356" customWidth="1"/>
    <col min="7173" max="7173" width="14.375" style="3356" customWidth="1"/>
    <col min="7174" max="7175" width="13.875" style="3356" customWidth="1"/>
    <col min="7176" max="7176" width="6.25" style="3356" customWidth="1"/>
    <col min="7177" max="7177" width="13.5" style="3356" customWidth="1"/>
    <col min="7178" max="7178" width="7.875" style="3356" customWidth="1"/>
    <col min="7179" max="7179" width="88.25" style="3356" customWidth="1"/>
    <col min="7180" max="7180" width="10.625" style="3356" customWidth="1"/>
    <col min="7181" max="7181" width="16" style="3356" customWidth="1"/>
    <col min="7182" max="7182" width="14.375" style="3356" customWidth="1"/>
    <col min="7183" max="7424" width="9" style="3356"/>
    <col min="7425" max="7425" width="40" style="3356" customWidth="1"/>
    <col min="7426" max="7426" width="6.25" style="3356" customWidth="1"/>
    <col min="7427" max="7427" width="11.75" style="3356" customWidth="1"/>
    <col min="7428" max="7428" width="6.25" style="3356" customWidth="1"/>
    <col min="7429" max="7429" width="14.375" style="3356" customWidth="1"/>
    <col min="7430" max="7431" width="13.875" style="3356" customWidth="1"/>
    <col min="7432" max="7432" width="6.25" style="3356" customWidth="1"/>
    <col min="7433" max="7433" width="13.5" style="3356" customWidth="1"/>
    <col min="7434" max="7434" width="7.875" style="3356" customWidth="1"/>
    <col min="7435" max="7435" width="88.25" style="3356" customWidth="1"/>
    <col min="7436" max="7436" width="10.625" style="3356" customWidth="1"/>
    <col min="7437" max="7437" width="16" style="3356" customWidth="1"/>
    <col min="7438" max="7438" width="14.375" style="3356" customWidth="1"/>
    <col min="7439" max="7680" width="9" style="3356"/>
    <col min="7681" max="7681" width="40" style="3356" customWidth="1"/>
    <col min="7682" max="7682" width="6.25" style="3356" customWidth="1"/>
    <col min="7683" max="7683" width="11.75" style="3356" customWidth="1"/>
    <col min="7684" max="7684" width="6.25" style="3356" customWidth="1"/>
    <col min="7685" max="7685" width="14.375" style="3356" customWidth="1"/>
    <col min="7686" max="7687" width="13.875" style="3356" customWidth="1"/>
    <col min="7688" max="7688" width="6.25" style="3356" customWidth="1"/>
    <col min="7689" max="7689" width="13.5" style="3356" customWidth="1"/>
    <col min="7690" max="7690" width="7.875" style="3356" customWidth="1"/>
    <col min="7691" max="7691" width="88.25" style="3356" customWidth="1"/>
    <col min="7692" max="7692" width="10.625" style="3356" customWidth="1"/>
    <col min="7693" max="7693" width="16" style="3356" customWidth="1"/>
    <col min="7694" max="7694" width="14.375" style="3356" customWidth="1"/>
    <col min="7695" max="7936" width="9" style="3356"/>
    <col min="7937" max="7937" width="40" style="3356" customWidth="1"/>
    <col min="7938" max="7938" width="6.25" style="3356" customWidth="1"/>
    <col min="7939" max="7939" width="11.75" style="3356" customWidth="1"/>
    <col min="7940" max="7940" width="6.25" style="3356" customWidth="1"/>
    <col min="7941" max="7941" width="14.375" style="3356" customWidth="1"/>
    <col min="7942" max="7943" width="13.875" style="3356" customWidth="1"/>
    <col min="7944" max="7944" width="6.25" style="3356" customWidth="1"/>
    <col min="7945" max="7945" width="13.5" style="3356" customWidth="1"/>
    <col min="7946" max="7946" width="7.875" style="3356" customWidth="1"/>
    <col min="7947" max="7947" width="88.25" style="3356" customWidth="1"/>
    <col min="7948" max="7948" width="10.625" style="3356" customWidth="1"/>
    <col min="7949" max="7949" width="16" style="3356" customWidth="1"/>
    <col min="7950" max="7950" width="14.375" style="3356" customWidth="1"/>
    <col min="7951" max="8192" width="9" style="3356"/>
    <col min="8193" max="8193" width="40" style="3356" customWidth="1"/>
    <col min="8194" max="8194" width="6.25" style="3356" customWidth="1"/>
    <col min="8195" max="8195" width="11.75" style="3356" customWidth="1"/>
    <col min="8196" max="8196" width="6.25" style="3356" customWidth="1"/>
    <col min="8197" max="8197" width="14.375" style="3356" customWidth="1"/>
    <col min="8198" max="8199" width="13.875" style="3356" customWidth="1"/>
    <col min="8200" max="8200" width="6.25" style="3356" customWidth="1"/>
    <col min="8201" max="8201" width="13.5" style="3356" customWidth="1"/>
    <col min="8202" max="8202" width="7.875" style="3356" customWidth="1"/>
    <col min="8203" max="8203" width="88.25" style="3356" customWidth="1"/>
    <col min="8204" max="8204" width="10.625" style="3356" customWidth="1"/>
    <col min="8205" max="8205" width="16" style="3356" customWidth="1"/>
    <col min="8206" max="8206" width="14.375" style="3356" customWidth="1"/>
    <col min="8207" max="8448" width="9" style="3356"/>
    <col min="8449" max="8449" width="40" style="3356" customWidth="1"/>
    <col min="8450" max="8450" width="6.25" style="3356" customWidth="1"/>
    <col min="8451" max="8451" width="11.75" style="3356" customWidth="1"/>
    <col min="8452" max="8452" width="6.25" style="3356" customWidth="1"/>
    <col min="8453" max="8453" width="14.375" style="3356" customWidth="1"/>
    <col min="8454" max="8455" width="13.875" style="3356" customWidth="1"/>
    <col min="8456" max="8456" width="6.25" style="3356" customWidth="1"/>
    <col min="8457" max="8457" width="13.5" style="3356" customWidth="1"/>
    <col min="8458" max="8458" width="7.875" style="3356" customWidth="1"/>
    <col min="8459" max="8459" width="88.25" style="3356" customWidth="1"/>
    <col min="8460" max="8460" width="10.625" style="3356" customWidth="1"/>
    <col min="8461" max="8461" width="16" style="3356" customWidth="1"/>
    <col min="8462" max="8462" width="14.375" style="3356" customWidth="1"/>
    <col min="8463" max="8704" width="9" style="3356"/>
    <col min="8705" max="8705" width="40" style="3356" customWidth="1"/>
    <col min="8706" max="8706" width="6.25" style="3356" customWidth="1"/>
    <col min="8707" max="8707" width="11.75" style="3356" customWidth="1"/>
    <col min="8708" max="8708" width="6.25" style="3356" customWidth="1"/>
    <col min="8709" max="8709" width="14.375" style="3356" customWidth="1"/>
    <col min="8710" max="8711" width="13.875" style="3356" customWidth="1"/>
    <col min="8712" max="8712" width="6.25" style="3356" customWidth="1"/>
    <col min="8713" max="8713" width="13.5" style="3356" customWidth="1"/>
    <col min="8714" max="8714" width="7.875" style="3356" customWidth="1"/>
    <col min="8715" max="8715" width="88.25" style="3356" customWidth="1"/>
    <col min="8716" max="8716" width="10.625" style="3356" customWidth="1"/>
    <col min="8717" max="8717" width="16" style="3356" customWidth="1"/>
    <col min="8718" max="8718" width="14.375" style="3356" customWidth="1"/>
    <col min="8719" max="8960" width="9" style="3356"/>
    <col min="8961" max="8961" width="40" style="3356" customWidth="1"/>
    <col min="8962" max="8962" width="6.25" style="3356" customWidth="1"/>
    <col min="8963" max="8963" width="11.75" style="3356" customWidth="1"/>
    <col min="8964" max="8964" width="6.25" style="3356" customWidth="1"/>
    <col min="8965" max="8965" width="14.375" style="3356" customWidth="1"/>
    <col min="8966" max="8967" width="13.875" style="3356" customWidth="1"/>
    <col min="8968" max="8968" width="6.25" style="3356" customWidth="1"/>
    <col min="8969" max="8969" width="13.5" style="3356" customWidth="1"/>
    <col min="8970" max="8970" width="7.875" style="3356" customWidth="1"/>
    <col min="8971" max="8971" width="88.25" style="3356" customWidth="1"/>
    <col min="8972" max="8972" width="10.625" style="3356" customWidth="1"/>
    <col min="8973" max="8973" width="16" style="3356" customWidth="1"/>
    <col min="8974" max="8974" width="14.375" style="3356" customWidth="1"/>
    <col min="8975" max="9216" width="9" style="3356"/>
    <col min="9217" max="9217" width="40" style="3356" customWidth="1"/>
    <col min="9218" max="9218" width="6.25" style="3356" customWidth="1"/>
    <col min="9219" max="9219" width="11.75" style="3356" customWidth="1"/>
    <col min="9220" max="9220" width="6.25" style="3356" customWidth="1"/>
    <col min="9221" max="9221" width="14.375" style="3356" customWidth="1"/>
    <col min="9222" max="9223" width="13.875" style="3356" customWidth="1"/>
    <col min="9224" max="9224" width="6.25" style="3356" customWidth="1"/>
    <col min="9225" max="9225" width="13.5" style="3356" customWidth="1"/>
    <col min="9226" max="9226" width="7.875" style="3356" customWidth="1"/>
    <col min="9227" max="9227" width="88.25" style="3356" customWidth="1"/>
    <col min="9228" max="9228" width="10.625" style="3356" customWidth="1"/>
    <col min="9229" max="9229" width="16" style="3356" customWidth="1"/>
    <col min="9230" max="9230" width="14.375" style="3356" customWidth="1"/>
    <col min="9231" max="9472" width="9" style="3356"/>
    <col min="9473" max="9473" width="40" style="3356" customWidth="1"/>
    <col min="9474" max="9474" width="6.25" style="3356" customWidth="1"/>
    <col min="9475" max="9475" width="11.75" style="3356" customWidth="1"/>
    <col min="9476" max="9476" width="6.25" style="3356" customWidth="1"/>
    <col min="9477" max="9477" width="14.375" style="3356" customWidth="1"/>
    <col min="9478" max="9479" width="13.875" style="3356" customWidth="1"/>
    <col min="9480" max="9480" width="6.25" style="3356" customWidth="1"/>
    <col min="9481" max="9481" width="13.5" style="3356" customWidth="1"/>
    <col min="9482" max="9482" width="7.875" style="3356" customWidth="1"/>
    <col min="9483" max="9483" width="88.25" style="3356" customWidth="1"/>
    <col min="9484" max="9484" width="10.625" style="3356" customWidth="1"/>
    <col min="9485" max="9485" width="16" style="3356" customWidth="1"/>
    <col min="9486" max="9486" width="14.375" style="3356" customWidth="1"/>
    <col min="9487" max="9728" width="9" style="3356"/>
    <col min="9729" max="9729" width="40" style="3356" customWidth="1"/>
    <col min="9730" max="9730" width="6.25" style="3356" customWidth="1"/>
    <col min="9731" max="9731" width="11.75" style="3356" customWidth="1"/>
    <col min="9732" max="9732" width="6.25" style="3356" customWidth="1"/>
    <col min="9733" max="9733" width="14.375" style="3356" customWidth="1"/>
    <col min="9734" max="9735" width="13.875" style="3356" customWidth="1"/>
    <col min="9736" max="9736" width="6.25" style="3356" customWidth="1"/>
    <col min="9737" max="9737" width="13.5" style="3356" customWidth="1"/>
    <col min="9738" max="9738" width="7.875" style="3356" customWidth="1"/>
    <col min="9739" max="9739" width="88.25" style="3356" customWidth="1"/>
    <col min="9740" max="9740" width="10.625" style="3356" customWidth="1"/>
    <col min="9741" max="9741" width="16" style="3356" customWidth="1"/>
    <col min="9742" max="9742" width="14.375" style="3356" customWidth="1"/>
    <col min="9743" max="9984" width="9" style="3356"/>
    <col min="9985" max="9985" width="40" style="3356" customWidth="1"/>
    <col min="9986" max="9986" width="6.25" style="3356" customWidth="1"/>
    <col min="9987" max="9987" width="11.75" style="3356" customWidth="1"/>
    <col min="9988" max="9988" width="6.25" style="3356" customWidth="1"/>
    <col min="9989" max="9989" width="14.375" style="3356" customWidth="1"/>
    <col min="9990" max="9991" width="13.875" style="3356" customWidth="1"/>
    <col min="9992" max="9992" width="6.25" style="3356" customWidth="1"/>
    <col min="9993" max="9993" width="13.5" style="3356" customWidth="1"/>
    <col min="9994" max="9994" width="7.875" style="3356" customWidth="1"/>
    <col min="9995" max="9995" width="88.25" style="3356" customWidth="1"/>
    <col min="9996" max="9996" width="10.625" style="3356" customWidth="1"/>
    <col min="9997" max="9997" width="16" style="3356" customWidth="1"/>
    <col min="9998" max="9998" width="14.375" style="3356" customWidth="1"/>
    <col min="9999" max="10240" width="9" style="3356"/>
    <col min="10241" max="10241" width="40" style="3356" customWidth="1"/>
    <col min="10242" max="10242" width="6.25" style="3356" customWidth="1"/>
    <col min="10243" max="10243" width="11.75" style="3356" customWidth="1"/>
    <col min="10244" max="10244" width="6.25" style="3356" customWidth="1"/>
    <col min="10245" max="10245" width="14.375" style="3356" customWidth="1"/>
    <col min="10246" max="10247" width="13.875" style="3356" customWidth="1"/>
    <col min="10248" max="10248" width="6.25" style="3356" customWidth="1"/>
    <col min="10249" max="10249" width="13.5" style="3356" customWidth="1"/>
    <col min="10250" max="10250" width="7.875" style="3356" customWidth="1"/>
    <col min="10251" max="10251" width="88.25" style="3356" customWidth="1"/>
    <col min="10252" max="10252" width="10.625" style="3356" customWidth="1"/>
    <col min="10253" max="10253" width="16" style="3356" customWidth="1"/>
    <col min="10254" max="10254" width="14.375" style="3356" customWidth="1"/>
    <col min="10255" max="10496" width="9" style="3356"/>
    <col min="10497" max="10497" width="40" style="3356" customWidth="1"/>
    <col min="10498" max="10498" width="6.25" style="3356" customWidth="1"/>
    <col min="10499" max="10499" width="11.75" style="3356" customWidth="1"/>
    <col min="10500" max="10500" width="6.25" style="3356" customWidth="1"/>
    <col min="10501" max="10501" width="14.375" style="3356" customWidth="1"/>
    <col min="10502" max="10503" width="13.875" style="3356" customWidth="1"/>
    <col min="10504" max="10504" width="6.25" style="3356" customWidth="1"/>
    <col min="10505" max="10505" width="13.5" style="3356" customWidth="1"/>
    <col min="10506" max="10506" width="7.875" style="3356" customWidth="1"/>
    <col min="10507" max="10507" width="88.25" style="3356" customWidth="1"/>
    <col min="10508" max="10508" width="10.625" style="3356" customWidth="1"/>
    <col min="10509" max="10509" width="16" style="3356" customWidth="1"/>
    <col min="10510" max="10510" width="14.375" style="3356" customWidth="1"/>
    <col min="10511" max="10752" width="9" style="3356"/>
    <col min="10753" max="10753" width="40" style="3356" customWidth="1"/>
    <col min="10754" max="10754" width="6.25" style="3356" customWidth="1"/>
    <col min="10755" max="10755" width="11.75" style="3356" customWidth="1"/>
    <col min="10756" max="10756" width="6.25" style="3356" customWidth="1"/>
    <col min="10757" max="10757" width="14.375" style="3356" customWidth="1"/>
    <col min="10758" max="10759" width="13.875" style="3356" customWidth="1"/>
    <col min="10760" max="10760" width="6.25" style="3356" customWidth="1"/>
    <col min="10761" max="10761" width="13.5" style="3356" customWidth="1"/>
    <col min="10762" max="10762" width="7.875" style="3356" customWidth="1"/>
    <col min="10763" max="10763" width="88.25" style="3356" customWidth="1"/>
    <col min="10764" max="10764" width="10.625" style="3356" customWidth="1"/>
    <col min="10765" max="10765" width="16" style="3356" customWidth="1"/>
    <col min="10766" max="10766" width="14.375" style="3356" customWidth="1"/>
    <col min="10767" max="11008" width="9" style="3356"/>
    <col min="11009" max="11009" width="40" style="3356" customWidth="1"/>
    <col min="11010" max="11010" width="6.25" style="3356" customWidth="1"/>
    <col min="11011" max="11011" width="11.75" style="3356" customWidth="1"/>
    <col min="11012" max="11012" width="6.25" style="3356" customWidth="1"/>
    <col min="11013" max="11013" width="14.375" style="3356" customWidth="1"/>
    <col min="11014" max="11015" width="13.875" style="3356" customWidth="1"/>
    <col min="11016" max="11016" width="6.25" style="3356" customWidth="1"/>
    <col min="11017" max="11017" width="13.5" style="3356" customWidth="1"/>
    <col min="11018" max="11018" width="7.875" style="3356" customWidth="1"/>
    <col min="11019" max="11019" width="88.25" style="3356" customWidth="1"/>
    <col min="11020" max="11020" width="10.625" style="3356" customWidth="1"/>
    <col min="11021" max="11021" width="16" style="3356" customWidth="1"/>
    <col min="11022" max="11022" width="14.375" style="3356" customWidth="1"/>
    <col min="11023" max="11264" width="9" style="3356"/>
    <col min="11265" max="11265" width="40" style="3356" customWidth="1"/>
    <col min="11266" max="11266" width="6.25" style="3356" customWidth="1"/>
    <col min="11267" max="11267" width="11.75" style="3356" customWidth="1"/>
    <col min="11268" max="11268" width="6.25" style="3356" customWidth="1"/>
    <col min="11269" max="11269" width="14.375" style="3356" customWidth="1"/>
    <col min="11270" max="11271" width="13.875" style="3356" customWidth="1"/>
    <col min="11272" max="11272" width="6.25" style="3356" customWidth="1"/>
    <col min="11273" max="11273" width="13.5" style="3356" customWidth="1"/>
    <col min="11274" max="11274" width="7.875" style="3356" customWidth="1"/>
    <col min="11275" max="11275" width="88.25" style="3356" customWidth="1"/>
    <col min="11276" max="11276" width="10.625" style="3356" customWidth="1"/>
    <col min="11277" max="11277" width="16" style="3356" customWidth="1"/>
    <col min="11278" max="11278" width="14.375" style="3356" customWidth="1"/>
    <col min="11279" max="11520" width="9" style="3356"/>
    <col min="11521" max="11521" width="40" style="3356" customWidth="1"/>
    <col min="11522" max="11522" width="6.25" style="3356" customWidth="1"/>
    <col min="11523" max="11523" width="11.75" style="3356" customWidth="1"/>
    <col min="11524" max="11524" width="6.25" style="3356" customWidth="1"/>
    <col min="11525" max="11525" width="14.375" style="3356" customWidth="1"/>
    <col min="11526" max="11527" width="13.875" style="3356" customWidth="1"/>
    <col min="11528" max="11528" width="6.25" style="3356" customWidth="1"/>
    <col min="11529" max="11529" width="13.5" style="3356" customWidth="1"/>
    <col min="11530" max="11530" width="7.875" style="3356" customWidth="1"/>
    <col min="11531" max="11531" width="88.25" style="3356" customWidth="1"/>
    <col min="11532" max="11532" width="10.625" style="3356" customWidth="1"/>
    <col min="11533" max="11533" width="16" style="3356" customWidth="1"/>
    <col min="11534" max="11534" width="14.375" style="3356" customWidth="1"/>
    <col min="11535" max="11776" width="9" style="3356"/>
    <col min="11777" max="11777" width="40" style="3356" customWidth="1"/>
    <col min="11778" max="11778" width="6.25" style="3356" customWidth="1"/>
    <col min="11779" max="11779" width="11.75" style="3356" customWidth="1"/>
    <col min="11780" max="11780" width="6.25" style="3356" customWidth="1"/>
    <col min="11781" max="11781" width="14.375" style="3356" customWidth="1"/>
    <col min="11782" max="11783" width="13.875" style="3356" customWidth="1"/>
    <col min="11784" max="11784" width="6.25" style="3356" customWidth="1"/>
    <col min="11785" max="11785" width="13.5" style="3356" customWidth="1"/>
    <col min="11786" max="11786" width="7.875" style="3356" customWidth="1"/>
    <col min="11787" max="11787" width="88.25" style="3356" customWidth="1"/>
    <col min="11788" max="11788" width="10.625" style="3356" customWidth="1"/>
    <col min="11789" max="11789" width="16" style="3356" customWidth="1"/>
    <col min="11790" max="11790" width="14.375" style="3356" customWidth="1"/>
    <col min="11791" max="12032" width="9" style="3356"/>
    <col min="12033" max="12033" width="40" style="3356" customWidth="1"/>
    <col min="12034" max="12034" width="6.25" style="3356" customWidth="1"/>
    <col min="12035" max="12035" width="11.75" style="3356" customWidth="1"/>
    <col min="12036" max="12036" width="6.25" style="3356" customWidth="1"/>
    <col min="12037" max="12037" width="14.375" style="3356" customWidth="1"/>
    <col min="12038" max="12039" width="13.875" style="3356" customWidth="1"/>
    <col min="12040" max="12040" width="6.25" style="3356" customWidth="1"/>
    <col min="12041" max="12041" width="13.5" style="3356" customWidth="1"/>
    <col min="12042" max="12042" width="7.875" style="3356" customWidth="1"/>
    <col min="12043" max="12043" width="88.25" style="3356" customWidth="1"/>
    <col min="12044" max="12044" width="10.625" style="3356" customWidth="1"/>
    <col min="12045" max="12045" width="16" style="3356" customWidth="1"/>
    <col min="12046" max="12046" width="14.375" style="3356" customWidth="1"/>
    <col min="12047" max="12288" width="9" style="3356"/>
    <col min="12289" max="12289" width="40" style="3356" customWidth="1"/>
    <col min="12290" max="12290" width="6.25" style="3356" customWidth="1"/>
    <col min="12291" max="12291" width="11.75" style="3356" customWidth="1"/>
    <col min="12292" max="12292" width="6.25" style="3356" customWidth="1"/>
    <col min="12293" max="12293" width="14.375" style="3356" customWidth="1"/>
    <col min="12294" max="12295" width="13.875" style="3356" customWidth="1"/>
    <col min="12296" max="12296" width="6.25" style="3356" customWidth="1"/>
    <col min="12297" max="12297" width="13.5" style="3356" customWidth="1"/>
    <col min="12298" max="12298" width="7.875" style="3356" customWidth="1"/>
    <col min="12299" max="12299" width="88.25" style="3356" customWidth="1"/>
    <col min="12300" max="12300" width="10.625" style="3356" customWidth="1"/>
    <col min="12301" max="12301" width="16" style="3356" customWidth="1"/>
    <col min="12302" max="12302" width="14.375" style="3356" customWidth="1"/>
    <col min="12303" max="12544" width="9" style="3356"/>
    <col min="12545" max="12545" width="40" style="3356" customWidth="1"/>
    <col min="12546" max="12546" width="6.25" style="3356" customWidth="1"/>
    <col min="12547" max="12547" width="11.75" style="3356" customWidth="1"/>
    <col min="12548" max="12548" width="6.25" style="3356" customWidth="1"/>
    <col min="12549" max="12549" width="14.375" style="3356" customWidth="1"/>
    <col min="12550" max="12551" width="13.875" style="3356" customWidth="1"/>
    <col min="12552" max="12552" width="6.25" style="3356" customWidth="1"/>
    <col min="12553" max="12553" width="13.5" style="3356" customWidth="1"/>
    <col min="12554" max="12554" width="7.875" style="3356" customWidth="1"/>
    <col min="12555" max="12555" width="88.25" style="3356" customWidth="1"/>
    <col min="12556" max="12556" width="10.625" style="3356" customWidth="1"/>
    <col min="12557" max="12557" width="16" style="3356" customWidth="1"/>
    <col min="12558" max="12558" width="14.375" style="3356" customWidth="1"/>
    <col min="12559" max="12800" width="9" style="3356"/>
    <col min="12801" max="12801" width="40" style="3356" customWidth="1"/>
    <col min="12802" max="12802" width="6.25" style="3356" customWidth="1"/>
    <col min="12803" max="12803" width="11.75" style="3356" customWidth="1"/>
    <col min="12804" max="12804" width="6.25" style="3356" customWidth="1"/>
    <col min="12805" max="12805" width="14.375" style="3356" customWidth="1"/>
    <col min="12806" max="12807" width="13.875" style="3356" customWidth="1"/>
    <col min="12808" max="12808" width="6.25" style="3356" customWidth="1"/>
    <col min="12809" max="12809" width="13.5" style="3356" customWidth="1"/>
    <col min="12810" max="12810" width="7.875" style="3356" customWidth="1"/>
    <col min="12811" max="12811" width="88.25" style="3356" customWidth="1"/>
    <col min="12812" max="12812" width="10.625" style="3356" customWidth="1"/>
    <col min="12813" max="12813" width="16" style="3356" customWidth="1"/>
    <col min="12814" max="12814" width="14.375" style="3356" customWidth="1"/>
    <col min="12815" max="13056" width="9" style="3356"/>
    <col min="13057" max="13057" width="40" style="3356" customWidth="1"/>
    <col min="13058" max="13058" width="6.25" style="3356" customWidth="1"/>
    <col min="13059" max="13059" width="11.75" style="3356" customWidth="1"/>
    <col min="13060" max="13060" width="6.25" style="3356" customWidth="1"/>
    <col min="13061" max="13061" width="14.375" style="3356" customWidth="1"/>
    <col min="13062" max="13063" width="13.875" style="3356" customWidth="1"/>
    <col min="13064" max="13064" width="6.25" style="3356" customWidth="1"/>
    <col min="13065" max="13065" width="13.5" style="3356" customWidth="1"/>
    <col min="13066" max="13066" width="7.875" style="3356" customWidth="1"/>
    <col min="13067" max="13067" width="88.25" style="3356" customWidth="1"/>
    <col min="13068" max="13068" width="10.625" style="3356" customWidth="1"/>
    <col min="13069" max="13069" width="16" style="3356" customWidth="1"/>
    <col min="13070" max="13070" width="14.375" style="3356" customWidth="1"/>
    <col min="13071" max="13312" width="9" style="3356"/>
    <col min="13313" max="13313" width="40" style="3356" customWidth="1"/>
    <col min="13314" max="13314" width="6.25" style="3356" customWidth="1"/>
    <col min="13315" max="13315" width="11.75" style="3356" customWidth="1"/>
    <col min="13316" max="13316" width="6.25" style="3356" customWidth="1"/>
    <col min="13317" max="13317" width="14.375" style="3356" customWidth="1"/>
    <col min="13318" max="13319" width="13.875" style="3356" customWidth="1"/>
    <col min="13320" max="13320" width="6.25" style="3356" customWidth="1"/>
    <col min="13321" max="13321" width="13.5" style="3356" customWidth="1"/>
    <col min="13322" max="13322" width="7.875" style="3356" customWidth="1"/>
    <col min="13323" max="13323" width="88.25" style="3356" customWidth="1"/>
    <col min="13324" max="13324" width="10.625" style="3356" customWidth="1"/>
    <col min="13325" max="13325" width="16" style="3356" customWidth="1"/>
    <col min="13326" max="13326" width="14.375" style="3356" customWidth="1"/>
    <col min="13327" max="13568" width="9" style="3356"/>
    <col min="13569" max="13569" width="40" style="3356" customWidth="1"/>
    <col min="13570" max="13570" width="6.25" style="3356" customWidth="1"/>
    <col min="13571" max="13571" width="11.75" style="3356" customWidth="1"/>
    <col min="13572" max="13572" width="6.25" style="3356" customWidth="1"/>
    <col min="13573" max="13573" width="14.375" style="3356" customWidth="1"/>
    <col min="13574" max="13575" width="13.875" style="3356" customWidth="1"/>
    <col min="13576" max="13576" width="6.25" style="3356" customWidth="1"/>
    <col min="13577" max="13577" width="13.5" style="3356" customWidth="1"/>
    <col min="13578" max="13578" width="7.875" style="3356" customWidth="1"/>
    <col min="13579" max="13579" width="88.25" style="3356" customWidth="1"/>
    <col min="13580" max="13580" width="10.625" style="3356" customWidth="1"/>
    <col min="13581" max="13581" width="16" style="3356" customWidth="1"/>
    <col min="13582" max="13582" width="14.375" style="3356" customWidth="1"/>
    <col min="13583" max="13824" width="9" style="3356"/>
    <col min="13825" max="13825" width="40" style="3356" customWidth="1"/>
    <col min="13826" max="13826" width="6.25" style="3356" customWidth="1"/>
    <col min="13827" max="13827" width="11.75" style="3356" customWidth="1"/>
    <col min="13828" max="13828" width="6.25" style="3356" customWidth="1"/>
    <col min="13829" max="13829" width="14.375" style="3356" customWidth="1"/>
    <col min="13830" max="13831" width="13.875" style="3356" customWidth="1"/>
    <col min="13832" max="13832" width="6.25" style="3356" customWidth="1"/>
    <col min="13833" max="13833" width="13.5" style="3356" customWidth="1"/>
    <col min="13834" max="13834" width="7.875" style="3356" customWidth="1"/>
    <col min="13835" max="13835" width="88.25" style="3356" customWidth="1"/>
    <col min="13836" max="13836" width="10.625" style="3356" customWidth="1"/>
    <col min="13837" max="13837" width="16" style="3356" customWidth="1"/>
    <col min="13838" max="13838" width="14.375" style="3356" customWidth="1"/>
    <col min="13839" max="14080" width="9" style="3356"/>
    <col min="14081" max="14081" width="40" style="3356" customWidth="1"/>
    <col min="14082" max="14082" width="6.25" style="3356" customWidth="1"/>
    <col min="14083" max="14083" width="11.75" style="3356" customWidth="1"/>
    <col min="14084" max="14084" width="6.25" style="3356" customWidth="1"/>
    <col min="14085" max="14085" width="14.375" style="3356" customWidth="1"/>
    <col min="14086" max="14087" width="13.875" style="3356" customWidth="1"/>
    <col min="14088" max="14088" width="6.25" style="3356" customWidth="1"/>
    <col min="14089" max="14089" width="13.5" style="3356" customWidth="1"/>
    <col min="14090" max="14090" width="7.875" style="3356" customWidth="1"/>
    <col min="14091" max="14091" width="88.25" style="3356" customWidth="1"/>
    <col min="14092" max="14092" width="10.625" style="3356" customWidth="1"/>
    <col min="14093" max="14093" width="16" style="3356" customWidth="1"/>
    <col min="14094" max="14094" width="14.375" style="3356" customWidth="1"/>
    <col min="14095" max="14336" width="9" style="3356"/>
    <col min="14337" max="14337" width="40" style="3356" customWidth="1"/>
    <col min="14338" max="14338" width="6.25" style="3356" customWidth="1"/>
    <col min="14339" max="14339" width="11.75" style="3356" customWidth="1"/>
    <col min="14340" max="14340" width="6.25" style="3356" customWidth="1"/>
    <col min="14341" max="14341" width="14.375" style="3356" customWidth="1"/>
    <col min="14342" max="14343" width="13.875" style="3356" customWidth="1"/>
    <col min="14344" max="14344" width="6.25" style="3356" customWidth="1"/>
    <col min="14345" max="14345" width="13.5" style="3356" customWidth="1"/>
    <col min="14346" max="14346" width="7.875" style="3356" customWidth="1"/>
    <col min="14347" max="14347" width="88.25" style="3356" customWidth="1"/>
    <col min="14348" max="14348" width="10.625" style="3356" customWidth="1"/>
    <col min="14349" max="14349" width="16" style="3356" customWidth="1"/>
    <col min="14350" max="14350" width="14.375" style="3356" customWidth="1"/>
    <col min="14351" max="14592" width="9" style="3356"/>
    <col min="14593" max="14593" width="40" style="3356" customWidth="1"/>
    <col min="14594" max="14594" width="6.25" style="3356" customWidth="1"/>
    <col min="14595" max="14595" width="11.75" style="3356" customWidth="1"/>
    <col min="14596" max="14596" width="6.25" style="3356" customWidth="1"/>
    <col min="14597" max="14597" width="14.375" style="3356" customWidth="1"/>
    <col min="14598" max="14599" width="13.875" style="3356" customWidth="1"/>
    <col min="14600" max="14600" width="6.25" style="3356" customWidth="1"/>
    <col min="14601" max="14601" width="13.5" style="3356" customWidth="1"/>
    <col min="14602" max="14602" width="7.875" style="3356" customWidth="1"/>
    <col min="14603" max="14603" width="88.25" style="3356" customWidth="1"/>
    <col min="14604" max="14604" width="10.625" style="3356" customWidth="1"/>
    <col min="14605" max="14605" width="16" style="3356" customWidth="1"/>
    <col min="14606" max="14606" width="14.375" style="3356" customWidth="1"/>
    <col min="14607" max="14848" width="9" style="3356"/>
    <col min="14849" max="14849" width="40" style="3356" customWidth="1"/>
    <col min="14850" max="14850" width="6.25" style="3356" customWidth="1"/>
    <col min="14851" max="14851" width="11.75" style="3356" customWidth="1"/>
    <col min="14852" max="14852" width="6.25" style="3356" customWidth="1"/>
    <col min="14853" max="14853" width="14.375" style="3356" customWidth="1"/>
    <col min="14854" max="14855" width="13.875" style="3356" customWidth="1"/>
    <col min="14856" max="14856" width="6.25" style="3356" customWidth="1"/>
    <col min="14857" max="14857" width="13.5" style="3356" customWidth="1"/>
    <col min="14858" max="14858" width="7.875" style="3356" customWidth="1"/>
    <col min="14859" max="14859" width="88.25" style="3356" customWidth="1"/>
    <col min="14860" max="14860" width="10.625" style="3356" customWidth="1"/>
    <col min="14861" max="14861" width="16" style="3356" customWidth="1"/>
    <col min="14862" max="14862" width="14.375" style="3356" customWidth="1"/>
    <col min="14863" max="15104" width="9" style="3356"/>
    <col min="15105" max="15105" width="40" style="3356" customWidth="1"/>
    <col min="15106" max="15106" width="6.25" style="3356" customWidth="1"/>
    <col min="15107" max="15107" width="11.75" style="3356" customWidth="1"/>
    <col min="15108" max="15108" width="6.25" style="3356" customWidth="1"/>
    <col min="15109" max="15109" width="14.375" style="3356" customWidth="1"/>
    <col min="15110" max="15111" width="13.875" style="3356" customWidth="1"/>
    <col min="15112" max="15112" width="6.25" style="3356" customWidth="1"/>
    <col min="15113" max="15113" width="13.5" style="3356" customWidth="1"/>
    <col min="15114" max="15114" width="7.875" style="3356" customWidth="1"/>
    <col min="15115" max="15115" width="88.25" style="3356" customWidth="1"/>
    <col min="15116" max="15116" width="10.625" style="3356" customWidth="1"/>
    <col min="15117" max="15117" width="16" style="3356" customWidth="1"/>
    <col min="15118" max="15118" width="14.375" style="3356" customWidth="1"/>
    <col min="15119" max="15360" width="9" style="3356"/>
    <col min="15361" max="15361" width="40" style="3356" customWidth="1"/>
    <col min="15362" max="15362" width="6.25" style="3356" customWidth="1"/>
    <col min="15363" max="15363" width="11.75" style="3356" customWidth="1"/>
    <col min="15364" max="15364" width="6.25" style="3356" customWidth="1"/>
    <col min="15365" max="15365" width="14.375" style="3356" customWidth="1"/>
    <col min="15366" max="15367" width="13.875" style="3356" customWidth="1"/>
    <col min="15368" max="15368" width="6.25" style="3356" customWidth="1"/>
    <col min="15369" max="15369" width="13.5" style="3356" customWidth="1"/>
    <col min="15370" max="15370" width="7.875" style="3356" customWidth="1"/>
    <col min="15371" max="15371" width="88.25" style="3356" customWidth="1"/>
    <col min="15372" max="15372" width="10.625" style="3356" customWidth="1"/>
    <col min="15373" max="15373" width="16" style="3356" customWidth="1"/>
    <col min="15374" max="15374" width="14.375" style="3356" customWidth="1"/>
    <col min="15375" max="15616" width="9" style="3356"/>
    <col min="15617" max="15617" width="40" style="3356" customWidth="1"/>
    <col min="15618" max="15618" width="6.25" style="3356" customWidth="1"/>
    <col min="15619" max="15619" width="11.75" style="3356" customWidth="1"/>
    <col min="15620" max="15620" width="6.25" style="3356" customWidth="1"/>
    <col min="15621" max="15621" width="14.375" style="3356" customWidth="1"/>
    <col min="15622" max="15623" width="13.875" style="3356" customWidth="1"/>
    <col min="15624" max="15624" width="6.25" style="3356" customWidth="1"/>
    <col min="15625" max="15625" width="13.5" style="3356" customWidth="1"/>
    <col min="15626" max="15626" width="7.875" style="3356" customWidth="1"/>
    <col min="15627" max="15627" width="88.25" style="3356" customWidth="1"/>
    <col min="15628" max="15628" width="10.625" style="3356" customWidth="1"/>
    <col min="15629" max="15629" width="16" style="3356" customWidth="1"/>
    <col min="15630" max="15630" width="14.375" style="3356" customWidth="1"/>
    <col min="15631" max="15872" width="9" style="3356"/>
    <col min="15873" max="15873" width="40" style="3356" customWidth="1"/>
    <col min="15874" max="15874" width="6.25" style="3356" customWidth="1"/>
    <col min="15875" max="15875" width="11.75" style="3356" customWidth="1"/>
    <col min="15876" max="15876" width="6.25" style="3356" customWidth="1"/>
    <col min="15877" max="15877" width="14.375" style="3356" customWidth="1"/>
    <col min="15878" max="15879" width="13.875" style="3356" customWidth="1"/>
    <col min="15880" max="15880" width="6.25" style="3356" customWidth="1"/>
    <col min="15881" max="15881" width="13.5" style="3356" customWidth="1"/>
    <col min="15882" max="15882" width="7.875" style="3356" customWidth="1"/>
    <col min="15883" max="15883" width="88.25" style="3356" customWidth="1"/>
    <col min="15884" max="15884" width="10.625" style="3356" customWidth="1"/>
    <col min="15885" max="15885" width="16" style="3356" customWidth="1"/>
    <col min="15886" max="15886" width="14.375" style="3356" customWidth="1"/>
    <col min="15887" max="16128" width="9" style="3356"/>
    <col min="16129" max="16129" width="40" style="3356" customWidth="1"/>
    <col min="16130" max="16130" width="6.25" style="3356" customWidth="1"/>
    <col min="16131" max="16131" width="11.75" style="3356" customWidth="1"/>
    <col min="16132" max="16132" width="6.25" style="3356" customWidth="1"/>
    <col min="16133" max="16133" width="14.375" style="3356" customWidth="1"/>
    <col min="16134" max="16135" width="13.875" style="3356" customWidth="1"/>
    <col min="16136" max="16136" width="6.25" style="3356" customWidth="1"/>
    <col min="16137" max="16137" width="13.5" style="3356" customWidth="1"/>
    <col min="16138" max="16138" width="7.875" style="3356" customWidth="1"/>
    <col min="16139" max="16139" width="88.25" style="3356" customWidth="1"/>
    <col min="16140" max="16140" width="10.625" style="3356" customWidth="1"/>
    <col min="16141" max="16141" width="16" style="3356" customWidth="1"/>
    <col min="16142" max="16142" width="14.375" style="3356" customWidth="1"/>
    <col min="16143" max="16384" width="9" style="3356"/>
  </cols>
  <sheetData>
    <row r="1" spans="1:14">
      <c r="A1" s="3356" t="s">
        <v>3090</v>
      </c>
      <c r="B1" s="3356" t="s">
        <v>3091</v>
      </c>
      <c r="C1" s="3356" t="s">
        <v>3092</v>
      </c>
      <c r="D1" s="3356" t="s">
        <v>3093</v>
      </c>
      <c r="E1" s="3356" t="s">
        <v>3094</v>
      </c>
      <c r="F1" s="3356" t="s">
        <v>3095</v>
      </c>
      <c r="G1" s="3356" t="s">
        <v>3096</v>
      </c>
      <c r="H1" s="3356" t="s">
        <v>3097</v>
      </c>
      <c r="I1" s="3356" t="s">
        <v>3098</v>
      </c>
      <c r="J1" s="3356" t="s">
        <v>3099</v>
      </c>
      <c r="K1" s="3356" t="s">
        <v>3100</v>
      </c>
      <c r="L1" s="3356" t="s">
        <v>3101</v>
      </c>
      <c r="M1" s="3356" t="s">
        <v>3102</v>
      </c>
      <c r="N1" s="3356" t="s">
        <v>3103</v>
      </c>
    </row>
    <row r="2" spans="1:14" hidden="1">
      <c r="A2" s="3356" t="s">
        <v>3104</v>
      </c>
      <c r="B2" s="3356" t="s">
        <v>3074</v>
      </c>
      <c r="C2" s="3356" t="s">
        <v>3105</v>
      </c>
      <c r="D2" s="3356" t="s">
        <v>3106</v>
      </c>
      <c r="E2" s="3356" t="s">
        <v>3107</v>
      </c>
      <c r="F2" s="3356">
        <v>2070793</v>
      </c>
      <c r="G2" s="3356">
        <v>1642730</v>
      </c>
      <c r="H2" s="3356">
        <v>0.79</v>
      </c>
      <c r="I2" s="3356" t="s">
        <v>3108</v>
      </c>
      <c r="J2" s="3356" t="s">
        <v>3109</v>
      </c>
      <c r="K2" s="3356" t="s">
        <v>3110</v>
      </c>
      <c r="L2" s="3356">
        <v>870000</v>
      </c>
      <c r="M2" s="3356">
        <v>4201.28</v>
      </c>
      <c r="N2" s="3356">
        <v>5296.06</v>
      </c>
    </row>
    <row r="3" spans="1:14" hidden="1">
      <c r="A3" s="3356" t="s">
        <v>3111</v>
      </c>
      <c r="B3" s="3356" t="s">
        <v>3074</v>
      </c>
      <c r="C3" s="3356" t="s">
        <v>3105</v>
      </c>
      <c r="D3" s="3356" t="s">
        <v>3106</v>
      </c>
      <c r="E3" s="3356" t="s">
        <v>3112</v>
      </c>
      <c r="F3" s="3356">
        <v>65873.39</v>
      </c>
      <c r="G3" s="3356">
        <v>164683</v>
      </c>
      <c r="H3" s="3356">
        <v>2.5</v>
      </c>
      <c r="I3" s="3356" t="s">
        <v>3113</v>
      </c>
      <c r="J3" s="3356" t="s">
        <v>3109</v>
      </c>
      <c r="K3" s="3356" t="s">
        <v>3114</v>
      </c>
      <c r="L3" s="3356">
        <v>108000</v>
      </c>
      <c r="M3" s="3356">
        <v>16395.080000000002</v>
      </c>
      <c r="N3" s="3356">
        <v>6558.05</v>
      </c>
    </row>
    <row r="4" spans="1:14" hidden="1">
      <c r="A4" s="3356" t="s">
        <v>3115</v>
      </c>
      <c r="B4" s="3356" t="s">
        <v>3074</v>
      </c>
      <c r="C4" s="3356" t="s">
        <v>3105</v>
      </c>
      <c r="D4" s="3356" t="s">
        <v>3106</v>
      </c>
      <c r="E4" s="3356" t="s">
        <v>3116</v>
      </c>
      <c r="F4" s="3356">
        <v>47100</v>
      </c>
      <c r="G4" s="3356">
        <v>450000</v>
      </c>
      <c r="H4" s="3356">
        <v>9.5500000000000007</v>
      </c>
      <c r="I4" s="3356" t="s">
        <v>3117</v>
      </c>
      <c r="J4" s="3356" t="s">
        <v>3109</v>
      </c>
      <c r="K4" s="3356" t="s">
        <v>3118</v>
      </c>
      <c r="L4" s="3356">
        <v>503990</v>
      </c>
      <c r="M4" s="3356">
        <v>107004.25</v>
      </c>
      <c r="N4" s="3356">
        <v>11199.78</v>
      </c>
    </row>
    <row r="5" spans="1:14" hidden="1">
      <c r="A5" s="3356" t="s">
        <v>3119</v>
      </c>
      <c r="B5" s="3356" t="s">
        <v>3074</v>
      </c>
      <c r="C5" s="3356" t="s">
        <v>3105</v>
      </c>
      <c r="D5" s="3356" t="s">
        <v>3106</v>
      </c>
      <c r="E5" s="3356" t="s">
        <v>3120</v>
      </c>
      <c r="F5" s="3356">
        <v>37656</v>
      </c>
      <c r="G5" s="3356">
        <v>131600</v>
      </c>
      <c r="H5" s="3356">
        <v>3.49</v>
      </c>
      <c r="I5" s="3356" t="s">
        <v>3121</v>
      </c>
      <c r="J5" s="3356" t="s">
        <v>3109</v>
      </c>
      <c r="K5" s="3356" t="s">
        <v>3122</v>
      </c>
      <c r="L5" s="3356">
        <v>151603.20000000001</v>
      </c>
      <c r="M5" s="3356">
        <v>40260.04</v>
      </c>
      <c r="N5" s="3356">
        <v>11520</v>
      </c>
    </row>
    <row r="6" spans="1:14" hidden="1">
      <c r="A6" s="3356" t="s">
        <v>3123</v>
      </c>
      <c r="B6" s="3356" t="s">
        <v>3074</v>
      </c>
      <c r="C6" s="3356" t="s">
        <v>3105</v>
      </c>
      <c r="D6" s="3356" t="s">
        <v>3106</v>
      </c>
      <c r="E6" s="3356" t="s">
        <v>3120</v>
      </c>
      <c r="F6" s="3356">
        <v>14124.26</v>
      </c>
      <c r="G6" s="3356">
        <v>119961</v>
      </c>
      <c r="H6" s="3356">
        <v>8.49</v>
      </c>
      <c r="I6" s="3356" t="s">
        <v>3121</v>
      </c>
      <c r="J6" s="3356" t="s">
        <v>3109</v>
      </c>
      <c r="K6" s="3356" t="s">
        <v>3124</v>
      </c>
      <c r="L6" s="3356">
        <v>135700</v>
      </c>
      <c r="M6" s="3356">
        <v>96075.83</v>
      </c>
      <c r="N6" s="3356">
        <v>11312.01</v>
      </c>
    </row>
    <row r="7" spans="1:14" hidden="1">
      <c r="A7" s="3356" t="s">
        <v>3125</v>
      </c>
      <c r="B7" s="3356" t="s">
        <v>3074</v>
      </c>
      <c r="C7" s="3356" t="s">
        <v>3105</v>
      </c>
      <c r="D7" s="3356" t="s">
        <v>3106</v>
      </c>
      <c r="E7" s="3356" t="s">
        <v>3120</v>
      </c>
      <c r="F7" s="3356">
        <v>39645</v>
      </c>
      <c r="G7" s="3356">
        <v>189500</v>
      </c>
      <c r="H7" s="3356">
        <v>4.78</v>
      </c>
      <c r="I7" s="3356" t="s">
        <v>3121</v>
      </c>
      <c r="J7" s="3356" t="s">
        <v>3109</v>
      </c>
      <c r="K7" s="3356" t="s">
        <v>3126</v>
      </c>
      <c r="L7" s="3356">
        <v>218304</v>
      </c>
      <c r="M7" s="3356">
        <v>55064.69</v>
      </c>
      <c r="N7" s="3356">
        <v>11520</v>
      </c>
    </row>
    <row r="8" spans="1:14" hidden="1">
      <c r="A8" s="3356" t="s">
        <v>3127</v>
      </c>
      <c r="B8" s="3356" t="s">
        <v>3074</v>
      </c>
      <c r="C8" s="3356" t="s">
        <v>3105</v>
      </c>
      <c r="D8" s="3356" t="s">
        <v>3106</v>
      </c>
      <c r="E8" s="3356" t="s">
        <v>3120</v>
      </c>
      <c r="F8" s="3356">
        <v>9200</v>
      </c>
      <c r="G8" s="3356">
        <v>78139</v>
      </c>
      <c r="H8" s="3356">
        <v>8.49</v>
      </c>
      <c r="I8" s="3356" t="s">
        <v>3121</v>
      </c>
      <c r="J8" s="3356" t="s">
        <v>3109</v>
      </c>
      <c r="K8" s="3356" t="s">
        <v>3124</v>
      </c>
      <c r="L8" s="3356">
        <v>88400</v>
      </c>
      <c r="M8" s="3356">
        <v>96086.94</v>
      </c>
      <c r="N8" s="3356">
        <v>11313.17</v>
      </c>
    </row>
    <row r="9" spans="1:14" hidden="1">
      <c r="A9" s="3356" t="s">
        <v>3128</v>
      </c>
      <c r="B9" s="3356" t="s">
        <v>3074</v>
      </c>
      <c r="C9" s="3356" t="s">
        <v>3105</v>
      </c>
      <c r="D9" s="3356" t="s">
        <v>3106</v>
      </c>
      <c r="E9" s="3356" t="s">
        <v>3120</v>
      </c>
      <c r="F9" s="3356">
        <v>14088</v>
      </c>
      <c r="G9" s="3356">
        <v>90600</v>
      </c>
      <c r="H9" s="3356">
        <v>6.43</v>
      </c>
      <c r="I9" s="3356" t="s">
        <v>3129</v>
      </c>
      <c r="J9" s="3356" t="s">
        <v>3109</v>
      </c>
      <c r="K9" s="3356" t="s">
        <v>3124</v>
      </c>
      <c r="L9" s="3356">
        <v>105100</v>
      </c>
      <c r="M9" s="3356">
        <v>74602.5</v>
      </c>
      <c r="N9" s="3356">
        <v>11600.44</v>
      </c>
    </row>
    <row r="10" spans="1:14" hidden="1">
      <c r="A10" s="3356" t="s">
        <v>3130</v>
      </c>
      <c r="B10" s="3356" t="s">
        <v>3074</v>
      </c>
      <c r="C10" s="3356" t="s">
        <v>3105</v>
      </c>
      <c r="D10" s="3356" t="s">
        <v>3106</v>
      </c>
      <c r="E10" s="3356" t="s">
        <v>3120</v>
      </c>
      <c r="F10" s="3356">
        <v>9293</v>
      </c>
      <c r="G10" s="3356">
        <v>55800</v>
      </c>
      <c r="H10" s="3356">
        <v>6</v>
      </c>
      <c r="I10" s="3356" t="s">
        <v>3129</v>
      </c>
      <c r="J10" s="3356" t="s">
        <v>3109</v>
      </c>
      <c r="K10" s="3356" t="s">
        <v>3124</v>
      </c>
      <c r="L10" s="3356">
        <v>64700</v>
      </c>
      <c r="M10" s="3356">
        <v>69622.3</v>
      </c>
      <c r="N10" s="3356">
        <v>11594.97</v>
      </c>
    </row>
    <row r="11" spans="1:14">
      <c r="A11" s="3356" t="s">
        <v>3131</v>
      </c>
      <c r="B11" s="3356" t="s">
        <v>3074</v>
      </c>
      <c r="C11" s="3356" t="s">
        <v>3105</v>
      </c>
      <c r="D11" s="3356" t="s">
        <v>3106</v>
      </c>
      <c r="E11" s="3356" t="s">
        <v>3120</v>
      </c>
      <c r="F11" s="3356">
        <v>17815</v>
      </c>
      <c r="G11" s="3356">
        <v>133500</v>
      </c>
      <c r="H11" s="3356">
        <v>7.49</v>
      </c>
      <c r="I11" s="3356" t="s">
        <v>3132</v>
      </c>
      <c r="J11" s="3356" t="s">
        <v>3109</v>
      </c>
      <c r="K11" s="3356" t="s">
        <v>3133</v>
      </c>
      <c r="L11" s="3356">
        <v>178500</v>
      </c>
      <c r="M11" s="3356">
        <v>100196.46</v>
      </c>
      <c r="N11" s="3356">
        <v>13370.79</v>
      </c>
    </row>
    <row r="12" spans="1:14" hidden="1">
      <c r="A12" s="3356" t="s">
        <v>3134</v>
      </c>
      <c r="B12" s="3356" t="s">
        <v>3074</v>
      </c>
      <c r="C12" s="3356" t="s">
        <v>3105</v>
      </c>
      <c r="D12" s="3356" t="s">
        <v>3106</v>
      </c>
      <c r="E12" s="3356" t="s">
        <v>3120</v>
      </c>
      <c r="F12" s="3356">
        <v>8949</v>
      </c>
      <c r="G12" s="3356">
        <v>89000</v>
      </c>
      <c r="H12" s="3356">
        <v>9.9499999999999993</v>
      </c>
      <c r="I12" s="3356" t="s">
        <v>3132</v>
      </c>
      <c r="J12" s="3356" t="s">
        <v>3109</v>
      </c>
      <c r="K12" s="3356" t="s">
        <v>3133</v>
      </c>
      <c r="L12" s="3356">
        <v>107000</v>
      </c>
      <c r="M12" s="3356">
        <v>119566.42</v>
      </c>
      <c r="N12" s="3356">
        <v>12022.46</v>
      </c>
    </row>
    <row r="13" spans="1:14" hidden="1">
      <c r="A13" s="3356" t="s">
        <v>3135</v>
      </c>
      <c r="B13" s="3356" t="s">
        <v>3074</v>
      </c>
      <c r="C13" s="3356" t="s">
        <v>3105</v>
      </c>
      <c r="D13" s="3356" t="s">
        <v>3106</v>
      </c>
      <c r="E13" s="3356" t="s">
        <v>3120</v>
      </c>
      <c r="F13" s="3356">
        <v>17771</v>
      </c>
      <c r="G13" s="3356">
        <v>124600</v>
      </c>
      <c r="H13" s="3356">
        <v>7.01</v>
      </c>
      <c r="I13" s="3356" t="s">
        <v>3136</v>
      </c>
      <c r="J13" s="3356" t="s">
        <v>3109</v>
      </c>
      <c r="K13" s="3356" t="s">
        <v>3137</v>
      </c>
      <c r="L13" s="3356">
        <v>142900</v>
      </c>
      <c r="M13" s="3356">
        <v>80411.91</v>
      </c>
      <c r="N13" s="3356">
        <v>11468.7</v>
      </c>
    </row>
    <row r="14" spans="1:14">
      <c r="A14" s="3356" t="s">
        <v>3138</v>
      </c>
      <c r="B14" s="3356" t="s">
        <v>3074</v>
      </c>
      <c r="C14" s="3356" t="s">
        <v>3105</v>
      </c>
      <c r="D14" s="3356" t="s">
        <v>3106</v>
      </c>
      <c r="E14" s="3356" t="s">
        <v>3120</v>
      </c>
      <c r="F14" s="3356">
        <v>17064</v>
      </c>
      <c r="G14" s="3356">
        <v>128300</v>
      </c>
      <c r="H14" s="3356">
        <v>7.52</v>
      </c>
      <c r="I14" s="3356" t="s">
        <v>3136</v>
      </c>
      <c r="J14" s="3356" t="s">
        <v>3109</v>
      </c>
      <c r="K14" s="3356" t="s">
        <v>3139</v>
      </c>
      <c r="L14" s="3356">
        <v>167000</v>
      </c>
      <c r="M14" s="3356">
        <v>97866.85</v>
      </c>
      <c r="N14" s="3356">
        <v>13016.37</v>
      </c>
    </row>
    <row r="15" spans="1:14" hidden="1">
      <c r="A15" s="3356" t="s">
        <v>3140</v>
      </c>
      <c r="B15" s="3356" t="s">
        <v>3074</v>
      </c>
      <c r="C15" s="3356" t="s">
        <v>3105</v>
      </c>
      <c r="D15" s="3356" t="s">
        <v>3106</v>
      </c>
      <c r="E15" s="3356" t="s">
        <v>3141</v>
      </c>
      <c r="F15" s="3356">
        <v>1209458</v>
      </c>
      <c r="G15" s="3356">
        <v>798095</v>
      </c>
      <c r="H15" s="3356">
        <v>0.66</v>
      </c>
      <c r="I15" s="3356" t="s">
        <v>3142</v>
      </c>
      <c r="J15" s="3356" t="s">
        <v>3109</v>
      </c>
      <c r="K15" s="3356" t="s">
        <v>3110</v>
      </c>
      <c r="L15" s="3356">
        <v>193000</v>
      </c>
      <c r="M15" s="3356">
        <v>1595.75</v>
      </c>
      <c r="N15" s="3356">
        <v>2418.2600000000002</v>
      </c>
    </row>
    <row r="16" spans="1:14">
      <c r="A16" s="3356" t="s">
        <v>3143</v>
      </c>
      <c r="B16" s="3356" t="s">
        <v>3074</v>
      </c>
      <c r="C16" s="3356" t="s">
        <v>3105</v>
      </c>
      <c r="D16" s="3356" t="s">
        <v>3106</v>
      </c>
      <c r="E16" s="3356" t="s">
        <v>3120</v>
      </c>
      <c r="F16" s="3356">
        <v>17086</v>
      </c>
      <c r="G16" s="3356">
        <v>128300</v>
      </c>
      <c r="H16" s="3356">
        <v>7.51</v>
      </c>
      <c r="I16" s="3356" t="s">
        <v>3144</v>
      </c>
      <c r="J16" s="3356" t="s">
        <v>3109</v>
      </c>
      <c r="K16" s="3356" t="s">
        <v>3145</v>
      </c>
      <c r="L16" s="3356">
        <v>161658</v>
      </c>
      <c r="M16" s="3356">
        <v>94614.3</v>
      </c>
      <c r="N16" s="3356">
        <v>12600</v>
      </c>
    </row>
    <row r="17" spans="1:14" hidden="1">
      <c r="A17" s="3356" t="s">
        <v>3146</v>
      </c>
      <c r="B17" s="3356" t="s">
        <v>3074</v>
      </c>
      <c r="C17" s="3356" t="s">
        <v>3105</v>
      </c>
      <c r="D17" s="3356" t="s">
        <v>3106</v>
      </c>
      <c r="E17" s="3356" t="s">
        <v>3120</v>
      </c>
      <c r="F17" s="3356">
        <v>15520</v>
      </c>
      <c r="G17" s="3356">
        <v>62000</v>
      </c>
      <c r="H17" s="3356">
        <v>3.99</v>
      </c>
      <c r="I17" s="3356" t="s">
        <v>3147</v>
      </c>
      <c r="J17" s="3356" t="s">
        <v>3109</v>
      </c>
      <c r="K17" s="3356" t="s">
        <v>3148</v>
      </c>
      <c r="L17" s="3356">
        <v>80600</v>
      </c>
      <c r="M17" s="3356">
        <v>51932.98</v>
      </c>
      <c r="N17" s="3356">
        <v>13000</v>
      </c>
    </row>
    <row r="18" spans="1:14" hidden="1">
      <c r="A18" s="3356" t="s">
        <v>3149</v>
      </c>
      <c r="B18" s="3356" t="s">
        <v>3074</v>
      </c>
      <c r="C18" s="3356" t="s">
        <v>3105</v>
      </c>
      <c r="D18" s="3356" t="s">
        <v>3106</v>
      </c>
      <c r="E18" s="3356" t="s">
        <v>3120</v>
      </c>
      <c r="F18" s="3356">
        <v>22855</v>
      </c>
      <c r="G18" s="3356">
        <v>136800</v>
      </c>
      <c r="H18" s="3356">
        <v>5.99</v>
      </c>
      <c r="I18" s="3356" t="s">
        <v>3147</v>
      </c>
      <c r="J18" s="3356" t="s">
        <v>3109</v>
      </c>
      <c r="K18" s="3356" t="s">
        <v>3150</v>
      </c>
      <c r="L18" s="3356">
        <v>173777</v>
      </c>
      <c r="M18" s="3356">
        <v>76034.55</v>
      </c>
      <c r="N18" s="3356">
        <v>12703</v>
      </c>
    </row>
    <row r="19" spans="1:14" hidden="1">
      <c r="A19" s="3356" t="s">
        <v>3151</v>
      </c>
      <c r="B19" s="3356" t="s">
        <v>3074</v>
      </c>
      <c r="C19" s="3356" t="s">
        <v>3105</v>
      </c>
      <c r="D19" s="3356" t="s">
        <v>3106</v>
      </c>
      <c r="E19" s="3356" t="s">
        <v>3120</v>
      </c>
      <c r="F19" s="3356">
        <v>26591</v>
      </c>
      <c r="G19" s="3356">
        <v>186200</v>
      </c>
      <c r="H19" s="3356">
        <v>7</v>
      </c>
      <c r="I19" s="3356" t="s">
        <v>3152</v>
      </c>
      <c r="J19" s="3356" t="s">
        <v>3109</v>
      </c>
      <c r="K19" s="3356" t="s">
        <v>3150</v>
      </c>
      <c r="L19" s="3356">
        <v>232777</v>
      </c>
      <c r="M19" s="3356">
        <v>87539.76</v>
      </c>
      <c r="N19" s="3356">
        <v>12501.45</v>
      </c>
    </row>
    <row r="20" spans="1:14" hidden="1">
      <c r="A20" s="3356" t="s">
        <v>3153</v>
      </c>
      <c r="B20" s="3356" t="s">
        <v>3074</v>
      </c>
      <c r="C20" s="3356" t="s">
        <v>3105</v>
      </c>
      <c r="D20" s="3356" t="s">
        <v>3106</v>
      </c>
      <c r="E20" s="3356" t="s">
        <v>3120</v>
      </c>
      <c r="F20" s="3356">
        <v>20350</v>
      </c>
      <c r="G20" s="3356">
        <v>142800</v>
      </c>
      <c r="H20" s="3356">
        <v>7.02</v>
      </c>
      <c r="I20" s="3356" t="s">
        <v>3152</v>
      </c>
      <c r="J20" s="3356" t="s">
        <v>3109</v>
      </c>
      <c r="K20" s="3356" t="s">
        <v>3150</v>
      </c>
      <c r="L20" s="3356">
        <v>182777</v>
      </c>
      <c r="M20" s="3356">
        <v>89816.71</v>
      </c>
      <c r="N20" s="3356">
        <v>12799.51</v>
      </c>
    </row>
    <row r="21" spans="1:14" hidden="1">
      <c r="A21" s="3356" t="s">
        <v>3154</v>
      </c>
      <c r="B21" s="3356" t="s">
        <v>3074</v>
      </c>
      <c r="C21" s="3356" t="s">
        <v>3105</v>
      </c>
      <c r="D21" s="3356" t="s">
        <v>3106</v>
      </c>
      <c r="E21" s="3356" t="s">
        <v>3120</v>
      </c>
      <c r="F21" s="3356">
        <v>14958</v>
      </c>
      <c r="G21" s="3356">
        <v>60000</v>
      </c>
      <c r="H21" s="3356">
        <v>4.01</v>
      </c>
      <c r="I21" s="3356" t="s">
        <v>3152</v>
      </c>
      <c r="J21" s="3356" t="s">
        <v>3109</v>
      </c>
      <c r="K21" s="3356" t="s">
        <v>3155</v>
      </c>
      <c r="L21" s="3356">
        <v>78200</v>
      </c>
      <c r="M21" s="3356">
        <v>52279.71</v>
      </c>
      <c r="N21" s="3356">
        <v>13033.32</v>
      </c>
    </row>
    <row r="22" spans="1:14" hidden="1">
      <c r="A22" s="3356" t="s">
        <v>3156</v>
      </c>
      <c r="B22" s="3356" t="s">
        <v>3074</v>
      </c>
      <c r="C22" s="3356" t="s">
        <v>3105</v>
      </c>
      <c r="D22" s="3356" t="s">
        <v>3106</v>
      </c>
      <c r="E22" s="3356" t="s">
        <v>3120</v>
      </c>
      <c r="F22" s="3356">
        <v>19161</v>
      </c>
      <c r="G22" s="3356">
        <v>100100</v>
      </c>
      <c r="H22" s="3356">
        <v>5.22</v>
      </c>
      <c r="I22" s="3356" t="s">
        <v>3157</v>
      </c>
      <c r="J22" s="3356" t="s">
        <v>3109</v>
      </c>
      <c r="K22" s="3356" t="s">
        <v>3158</v>
      </c>
      <c r="L22" s="3356">
        <v>107107</v>
      </c>
      <c r="M22" s="3356">
        <v>55898.44</v>
      </c>
      <c r="N22" s="3356">
        <v>10700</v>
      </c>
    </row>
    <row r="23" spans="1:14" hidden="1">
      <c r="A23" s="3356" t="s">
        <v>3159</v>
      </c>
      <c r="B23" s="3356" t="s">
        <v>3074</v>
      </c>
      <c r="C23" s="3356" t="s">
        <v>3105</v>
      </c>
      <c r="D23" s="3356" t="s">
        <v>3106</v>
      </c>
      <c r="E23" s="3356" t="s">
        <v>3120</v>
      </c>
      <c r="F23" s="3356">
        <v>21537</v>
      </c>
      <c r="G23" s="3356">
        <v>107500</v>
      </c>
      <c r="H23" s="3356">
        <v>4.99</v>
      </c>
      <c r="I23" s="3356" t="s">
        <v>3157</v>
      </c>
      <c r="J23" s="3356" t="s">
        <v>3109</v>
      </c>
      <c r="K23" s="3356" t="s">
        <v>3160</v>
      </c>
      <c r="L23" s="3356">
        <v>115025</v>
      </c>
      <c r="M23" s="3356">
        <v>53408.08</v>
      </c>
      <c r="N23" s="3356">
        <v>10700</v>
      </c>
    </row>
    <row r="24" spans="1:14" hidden="1">
      <c r="A24" s="3356" t="s">
        <v>3161</v>
      </c>
      <c r="B24" s="3356" t="s">
        <v>3074</v>
      </c>
      <c r="C24" s="3356" t="s">
        <v>3105</v>
      </c>
      <c r="D24" s="3356" t="s">
        <v>3106</v>
      </c>
      <c r="E24" s="3356" t="s">
        <v>3120</v>
      </c>
      <c r="F24" s="3356">
        <v>20394</v>
      </c>
      <c r="G24" s="3356">
        <v>71800</v>
      </c>
      <c r="H24" s="3356">
        <v>3.52</v>
      </c>
      <c r="I24" s="3356" t="s">
        <v>3162</v>
      </c>
      <c r="J24" s="3356" t="s">
        <v>3109</v>
      </c>
      <c r="K24" s="3356" t="s">
        <v>3163</v>
      </c>
      <c r="L24" s="3356">
        <v>76826</v>
      </c>
      <c r="M24" s="3356">
        <v>37670.879999999997</v>
      </c>
      <c r="N24" s="3356">
        <v>10700</v>
      </c>
    </row>
    <row r="25" spans="1:14" hidden="1">
      <c r="A25" s="3356" t="s">
        <v>3164</v>
      </c>
      <c r="B25" s="3356" t="s">
        <v>3074</v>
      </c>
      <c r="C25" s="3356" t="s">
        <v>3105</v>
      </c>
      <c r="D25" s="3356" t="s">
        <v>3106</v>
      </c>
      <c r="E25" s="3356" t="s">
        <v>3120</v>
      </c>
      <c r="F25" s="3356">
        <v>7828</v>
      </c>
      <c r="G25" s="3356">
        <v>27300</v>
      </c>
      <c r="H25" s="3356">
        <v>3.49</v>
      </c>
      <c r="I25" s="3356" t="s">
        <v>3162</v>
      </c>
      <c r="J25" s="3356" t="s">
        <v>3109</v>
      </c>
      <c r="K25" s="3356" t="s">
        <v>3165</v>
      </c>
      <c r="L25" s="3356">
        <v>29211</v>
      </c>
      <c r="M25" s="3356">
        <v>37316.04</v>
      </c>
      <c r="N25" s="3356">
        <v>10700</v>
      </c>
    </row>
    <row r="26" spans="1:14" hidden="1">
      <c r="A26" s="3356" t="s">
        <v>3166</v>
      </c>
      <c r="B26" s="3356" t="s">
        <v>3074</v>
      </c>
      <c r="C26" s="3356" t="s">
        <v>3105</v>
      </c>
      <c r="D26" s="3356" t="s">
        <v>3106</v>
      </c>
      <c r="E26" s="3356" t="s">
        <v>3120</v>
      </c>
      <c r="F26" s="3356">
        <v>17757</v>
      </c>
      <c r="G26" s="3356">
        <v>88900</v>
      </c>
      <c r="H26" s="3356">
        <v>5.01</v>
      </c>
      <c r="I26" s="3356" t="s">
        <v>3162</v>
      </c>
      <c r="J26" s="3356" t="s">
        <v>3109</v>
      </c>
      <c r="K26" s="3356" t="s">
        <v>3167</v>
      </c>
      <c r="L26" s="3356">
        <v>95123</v>
      </c>
      <c r="M26" s="3356">
        <v>53569.29</v>
      </c>
      <c r="N26" s="3356">
        <v>10700</v>
      </c>
    </row>
    <row r="27" spans="1:14" hidden="1">
      <c r="A27" s="3356" t="s">
        <v>3168</v>
      </c>
      <c r="B27" s="3356" t="s">
        <v>3074</v>
      </c>
      <c r="C27" s="3356" t="s">
        <v>3105</v>
      </c>
      <c r="D27" s="3356" t="s">
        <v>3106</v>
      </c>
      <c r="E27" s="3356" t="s">
        <v>3169</v>
      </c>
      <c r="F27" s="3356">
        <v>34657</v>
      </c>
      <c r="G27" s="3356">
        <v>103971</v>
      </c>
      <c r="H27" s="3356">
        <v>3</v>
      </c>
      <c r="I27" s="3356" t="s">
        <v>3170</v>
      </c>
      <c r="J27" s="3356" t="s">
        <v>3109</v>
      </c>
      <c r="K27" s="3356" t="s">
        <v>3171</v>
      </c>
      <c r="L27" s="3356">
        <v>102000</v>
      </c>
      <c r="M27" s="3356">
        <v>29431.279999999999</v>
      </c>
      <c r="N27" s="3356">
        <v>9810.43</v>
      </c>
    </row>
    <row r="28" spans="1:14" hidden="1">
      <c r="A28" s="3356" t="s">
        <v>3172</v>
      </c>
      <c r="B28" s="3356" t="s">
        <v>3074</v>
      </c>
      <c r="C28" s="3356" t="s">
        <v>3105</v>
      </c>
      <c r="D28" s="3356" t="s">
        <v>3106</v>
      </c>
      <c r="E28" s="3356" t="s">
        <v>3173</v>
      </c>
      <c r="F28" s="3356">
        <v>99150</v>
      </c>
      <c r="G28" s="3356">
        <v>198300</v>
      </c>
      <c r="H28" s="3356">
        <v>2</v>
      </c>
      <c r="I28" s="3356" t="s">
        <v>3174</v>
      </c>
      <c r="J28" s="3356" t="s">
        <v>3109</v>
      </c>
      <c r="K28" s="3356" t="s">
        <v>3175</v>
      </c>
      <c r="L28" s="3356">
        <v>189400</v>
      </c>
      <c r="M28" s="3356">
        <v>19102.37</v>
      </c>
      <c r="N28" s="3356">
        <v>9551.19</v>
      </c>
    </row>
    <row r="29" spans="1:14" hidden="1">
      <c r="A29" s="3356" t="s">
        <v>3176</v>
      </c>
      <c r="B29" s="3356" t="s">
        <v>3074</v>
      </c>
      <c r="C29" s="3356" t="s">
        <v>3105</v>
      </c>
      <c r="D29" s="3356" t="s">
        <v>3106</v>
      </c>
      <c r="E29" s="3356" t="s">
        <v>3120</v>
      </c>
      <c r="F29" s="3356">
        <v>8351</v>
      </c>
      <c r="G29" s="3356">
        <v>42000</v>
      </c>
      <c r="H29" s="3356">
        <v>5.03</v>
      </c>
      <c r="I29" s="3356" t="s">
        <v>3177</v>
      </c>
      <c r="J29" s="3356" t="s">
        <v>3109</v>
      </c>
      <c r="K29" s="3356" t="s">
        <v>3178</v>
      </c>
      <c r="L29" s="3356">
        <v>48000</v>
      </c>
      <c r="M29" s="3356">
        <v>57478.14</v>
      </c>
      <c r="N29" s="3356">
        <v>11428.56</v>
      </c>
    </row>
    <row r="30" spans="1:14" hidden="1">
      <c r="A30" s="3356" t="s">
        <v>3179</v>
      </c>
      <c r="B30" s="3356" t="s">
        <v>3074</v>
      </c>
      <c r="C30" s="3356" t="s">
        <v>3105</v>
      </c>
      <c r="D30" s="3356" t="s">
        <v>3106</v>
      </c>
      <c r="E30" s="3356" t="s">
        <v>3120</v>
      </c>
      <c r="F30" s="3356">
        <v>9644</v>
      </c>
      <c r="G30" s="3356">
        <v>43700</v>
      </c>
      <c r="H30" s="3356">
        <v>4.53</v>
      </c>
      <c r="I30" s="3356" t="s">
        <v>3177</v>
      </c>
      <c r="J30" s="3356" t="s">
        <v>3109</v>
      </c>
      <c r="K30" s="3356" t="s">
        <v>3180</v>
      </c>
      <c r="L30" s="3356">
        <v>49650</v>
      </c>
      <c r="M30" s="3356">
        <v>51482.79</v>
      </c>
      <c r="N30" s="3356">
        <v>11361.55</v>
      </c>
    </row>
    <row r="31" spans="1:14" hidden="1">
      <c r="A31" s="3356" t="s">
        <v>3181</v>
      </c>
      <c r="B31" s="3356" t="s">
        <v>3074</v>
      </c>
      <c r="C31" s="3356" t="s">
        <v>3105</v>
      </c>
      <c r="D31" s="3356" t="s">
        <v>3106</v>
      </c>
      <c r="E31" s="3356" t="s">
        <v>3182</v>
      </c>
      <c r="F31" s="3356">
        <v>39272</v>
      </c>
      <c r="G31" s="3356">
        <v>76464</v>
      </c>
      <c r="H31" s="3356">
        <v>1.95</v>
      </c>
      <c r="I31" s="3356" t="s">
        <v>3183</v>
      </c>
      <c r="J31" s="3356" t="s">
        <v>3109</v>
      </c>
      <c r="K31" s="3356" t="s">
        <v>3184</v>
      </c>
      <c r="L31" s="3356">
        <v>104000</v>
      </c>
      <c r="M31" s="3356">
        <v>26481.97</v>
      </c>
      <c r="N31" s="3356">
        <v>13601.17</v>
      </c>
    </row>
    <row r="32" spans="1:14" hidden="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4" t="str">
        <f>IF(项目基本情况!B9="房地产市场价值","估价结果一览表","结果表-2")</f>
        <v>结果表-2</v>
      </c>
      <c r="B1" s="3374"/>
      <c r="C1" s="3374"/>
      <c r="D1" s="3374"/>
      <c r="E1" s="3374"/>
      <c r="F1" s="3374"/>
      <c r="G1" s="3374"/>
      <c r="H1" s="3374"/>
      <c r="I1" s="3374"/>
    </row>
    <row r="2" spans="1:9" ht="30" customHeight="1" thickTop="1">
      <c r="A2" s="3375" t="s">
        <v>2875</v>
      </c>
      <c r="B2" s="3375" t="s">
        <v>2038</v>
      </c>
      <c r="C2" s="3375" t="s">
        <v>2039</v>
      </c>
      <c r="D2" s="3375" t="str">
        <f>结果表!D116</f>
        <v>出让国有建设用地使用权价值</v>
      </c>
      <c r="E2" s="3375"/>
      <c r="F2" s="3375" t="str">
        <f>结果表!F116</f>
        <v>在建建筑物价值</v>
      </c>
      <c r="G2" s="3375"/>
      <c r="H2" s="3375" t="str">
        <f>IF(项目基本情况!B9="房地产市场价值","房地产市场价值","房地产价值")</f>
        <v>房地产价值</v>
      </c>
      <c r="I2" s="3375"/>
    </row>
    <row r="3" spans="1:9" ht="14.25">
      <c r="A3" s="3376"/>
      <c r="B3" s="3376"/>
      <c r="C3" s="3376"/>
      <c r="D3" s="1906" t="s">
        <v>7</v>
      </c>
      <c r="E3" s="1906" t="s">
        <v>2040</v>
      </c>
      <c r="F3" s="1906" t="s">
        <v>7</v>
      </c>
      <c r="G3" s="1906" t="s">
        <v>8</v>
      </c>
      <c r="H3" s="1906" t="s">
        <v>7</v>
      </c>
      <c r="I3" s="1906" t="s">
        <v>8</v>
      </c>
    </row>
    <row r="4" spans="1:9" ht="42.75">
      <c r="A4" s="1976" t="str">
        <f>项目基本情况!S2</f>
        <v>北京市通州区运河西岸Ⅷ-11地块出让国有建设用地使用权及在建建筑物房地产</v>
      </c>
      <c r="B4" s="1970">
        <f>项目基本情况!C17</f>
        <v>95896.06</v>
      </c>
      <c r="C4" s="1970">
        <f>项目基本情况!C18</f>
        <v>15644.81</v>
      </c>
      <c r="D4" s="1970">
        <f ca="1">结果表!D118</f>
        <v>107146</v>
      </c>
      <c r="E4" s="1970">
        <f ca="1">结果表!E118</f>
        <v>11173</v>
      </c>
      <c r="F4" s="1970">
        <f ca="1">结果表!F118</f>
        <v>8189</v>
      </c>
      <c r="G4" s="1970">
        <f ca="1">结果表!G118</f>
        <v>854</v>
      </c>
      <c r="H4" s="1970">
        <f ca="1">结果表!H118</f>
        <v>115335</v>
      </c>
      <c r="I4" s="1970">
        <f ca="1">结果表!I118</f>
        <v>12027</v>
      </c>
    </row>
    <row r="5" spans="1:9" ht="30" customHeight="1">
      <c r="A5" s="3376" t="s">
        <v>9</v>
      </c>
      <c r="B5" s="3376"/>
      <c r="C5" s="3376"/>
      <c r="D5" s="3377" t="str">
        <f ca="1">结果表!D119</f>
        <v>壹拾亿柒仟壹佰肆拾陆万元整</v>
      </c>
      <c r="E5" s="3377"/>
      <c r="F5" s="3377" t="str">
        <f ca="1">结果表!F119</f>
        <v>捌仟壹佰捌拾玖万元整</v>
      </c>
      <c r="G5" s="3377"/>
      <c r="H5" s="3377" t="str">
        <f ca="1">结果表!H119</f>
        <v>壹拾壹亿伍仟叁佰叁拾伍万元整</v>
      </c>
      <c r="I5" s="3377"/>
    </row>
    <row r="6" spans="1:9" ht="15.75">
      <c r="A6" s="3378" t="str">
        <f>结果表!A120</f>
        <v>估价师知悉的法定优先受偿款</v>
      </c>
      <c r="B6" s="3378"/>
      <c r="C6" s="3378"/>
      <c r="D6" s="3379">
        <f>结果表!D120</f>
        <v>0</v>
      </c>
      <c r="E6" s="3379"/>
      <c r="F6" s="3379"/>
      <c r="G6" s="3379"/>
      <c r="H6" s="3379"/>
      <c r="I6" s="3379"/>
    </row>
    <row r="7" spans="1:9" ht="14.25">
      <c r="A7" s="3376" t="s">
        <v>9</v>
      </c>
      <c r="B7" s="3376"/>
      <c r="C7" s="3376"/>
      <c r="D7" s="3380" t="str">
        <f>结果表!D121</f>
        <v>零元整</v>
      </c>
      <c r="E7" s="3381"/>
      <c r="F7" s="3381"/>
      <c r="G7" s="3381"/>
      <c r="H7" s="3381"/>
      <c r="I7" s="3382"/>
    </row>
    <row r="8" spans="1:9" ht="15.75">
      <c r="A8" s="3378" t="str">
        <f>结果表!A122</f>
        <v>房地产抵押价值</v>
      </c>
      <c r="B8" s="3378"/>
      <c r="C8" s="3378"/>
      <c r="D8" s="3379">
        <f ca="1">结果表!D122</f>
        <v>115335</v>
      </c>
      <c r="E8" s="3379"/>
      <c r="F8" s="3379"/>
      <c r="G8" s="3379"/>
      <c r="H8" s="3379"/>
      <c r="I8" s="3379"/>
    </row>
    <row r="9" spans="1:9" ht="14.25">
      <c r="A9" s="3376" t="s">
        <v>9</v>
      </c>
      <c r="B9" s="3376"/>
      <c r="C9" s="3376"/>
      <c r="D9" s="3377" t="str">
        <f ca="1">结果表!D123</f>
        <v>壹拾壹亿伍仟叁佰叁拾伍万元整</v>
      </c>
      <c r="E9" s="3377"/>
      <c r="F9" s="3377"/>
      <c r="G9" s="3377"/>
      <c r="H9" s="3377"/>
      <c r="I9" s="3377"/>
    </row>
    <row r="10" spans="1:9" ht="15.75">
      <c r="A10" s="3378" t="str">
        <f>结果表!A124</f>
        <v/>
      </c>
      <c r="B10" s="3378"/>
      <c r="C10" s="3378"/>
      <c r="D10" s="3379" t="str">
        <f>结果表!D124</f>
        <v>——</v>
      </c>
      <c r="E10" s="3379"/>
      <c r="F10" s="3379"/>
      <c r="G10" s="3379"/>
      <c r="H10" s="3379"/>
      <c r="I10" s="3379"/>
    </row>
    <row r="11" spans="1:9" ht="14.25">
      <c r="A11" s="3376" t="s">
        <v>9</v>
      </c>
      <c r="B11" s="3376"/>
      <c r="C11" s="3376"/>
      <c r="D11" s="3377" t="e">
        <f>结果表!D125</f>
        <v>#VALUE!</v>
      </c>
      <c r="E11" s="3377"/>
      <c r="F11" s="3377"/>
      <c r="G11" s="3377"/>
      <c r="H11" s="3377"/>
      <c r="I11" s="3377"/>
    </row>
    <row r="12" spans="1:9" ht="15.75">
      <c r="A12" s="3378" t="str">
        <f>结果表!A126</f>
        <v/>
      </c>
      <c r="B12" s="3378"/>
      <c r="C12" s="3378"/>
      <c r="D12" s="3379" t="str">
        <f>结果表!D126</f>
        <v>——</v>
      </c>
      <c r="E12" s="3379"/>
      <c r="F12" s="3379"/>
      <c r="G12" s="3379"/>
      <c r="H12" s="3379"/>
      <c r="I12" s="3379"/>
    </row>
    <row r="13" spans="1:9" ht="15" thickBot="1">
      <c r="A13" s="3383" t="s">
        <v>9</v>
      </c>
      <c r="B13" s="3383"/>
      <c r="C13" s="3383"/>
      <c r="D13" s="3384" t="e">
        <f>结果表!D127</f>
        <v>#VALUE!</v>
      </c>
      <c r="E13" s="3384"/>
      <c r="F13" s="3384"/>
      <c r="G13" s="3384"/>
      <c r="H13" s="3384"/>
      <c r="I13" s="3384"/>
    </row>
    <row r="14" spans="1:9" ht="14.25" thickTop="1">
      <c r="A14" s="3385" t="s">
        <v>2041</v>
      </c>
      <c r="B14" s="3385"/>
      <c r="C14" s="3385"/>
      <c r="D14" s="3385"/>
      <c r="E14" s="3385"/>
      <c r="F14" s="3385"/>
      <c r="G14" s="3385"/>
      <c r="H14" s="3385"/>
      <c r="I14" s="3385"/>
    </row>
    <row r="16" spans="1:9" ht="18.75">
      <c r="A16" s="1985" t="s">
        <v>2042</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6" t="s">
        <v>2852</v>
      </c>
      <c r="B1" s="3386"/>
      <c r="C1" s="3386"/>
      <c r="D1" s="3386"/>
    </row>
    <row r="2" spans="1:4" ht="18.75">
      <c r="A2" s="3387" t="s">
        <v>2112</v>
      </c>
      <c r="B2" s="3387"/>
      <c r="C2" s="3387"/>
      <c r="D2" s="3387"/>
    </row>
    <row r="3" spans="1:4" ht="18.75">
      <c r="A3" s="2603" t="s">
        <v>2113</v>
      </c>
      <c r="B3" s="2603" t="s">
        <v>2114</v>
      </c>
      <c r="C3" s="2603" t="s">
        <v>2115</v>
      </c>
      <c r="D3" s="2603" t="s">
        <v>2116</v>
      </c>
    </row>
    <row r="4" spans="1:4" ht="56.25" customHeight="1">
      <c r="A4" s="2609" t="str">
        <f>项目基本情况!B4</f>
        <v>王鹏</v>
      </c>
      <c r="B4" s="2604">
        <f ca="1">项目基本情况!C4</f>
        <v>1120050019</v>
      </c>
      <c r="C4" s="2607"/>
      <c r="D4" s="2605" t="s">
        <v>2117</v>
      </c>
    </row>
    <row r="5" spans="1:4" ht="56.25" customHeight="1">
      <c r="A5" s="2609" t="str">
        <f>项目基本情况!D4</f>
        <v>梁津</v>
      </c>
      <c r="B5" s="2604">
        <f ca="1">项目基本情况!E4</f>
        <v>1119970066</v>
      </c>
      <c r="C5" s="2608"/>
      <c r="D5" s="2605" t="s">
        <v>2117</v>
      </c>
    </row>
    <row r="6" spans="1:4" ht="18.75">
      <c r="A6" s="3387" t="s">
        <v>2614</v>
      </c>
      <c r="B6" s="3387"/>
      <c r="C6" s="3387"/>
      <c r="D6" s="3387"/>
    </row>
    <row r="7" spans="1:4" ht="18.75">
      <c r="A7" s="2603" t="s">
        <v>2113</v>
      </c>
      <c r="B7" s="2604" t="s">
        <v>2118</v>
      </c>
      <c r="C7" s="2603" t="s">
        <v>2115</v>
      </c>
      <c r="D7" s="2603" t="s">
        <v>2116</v>
      </c>
    </row>
    <row r="8" spans="1:4" ht="56.25" customHeight="1">
      <c r="A8" s="2606" t="s">
        <v>2119</v>
      </c>
      <c r="B8" s="2606" t="s">
        <v>23</v>
      </c>
      <c r="C8" s="2607"/>
      <c r="D8" s="2605" t="s">
        <v>2117</v>
      </c>
    </row>
    <row r="9" spans="1:4">
      <c r="A9" s="1489"/>
      <c r="B9" s="1489"/>
      <c r="C9" s="1489"/>
      <c r="D9" s="1489"/>
    </row>
    <row r="10" spans="1:4" ht="18.75">
      <c r="A10" s="2087" t="s">
        <v>2120</v>
      </c>
      <c r="B10" s="1489"/>
      <c r="C10" s="1489"/>
      <c r="D10" s="1489"/>
    </row>
    <row r="11" spans="1:4" ht="30" customHeight="1">
      <c r="A11" s="3388" t="s">
        <v>2707</v>
      </c>
      <c r="B11" s="3389"/>
      <c r="C11" s="3389"/>
      <c r="D11" s="3389"/>
    </row>
    <row r="12" spans="1:4" ht="14.25">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spans="1:4" ht="15.75" customHeight="1">
      <c r="A14" s="3389" t="str">
        <f>IF(项目基本情况!B8="抵押","4.本次评估估价师所知悉的法定优先受偿款情况说明如下：","——")</f>
        <v>4.本次评估估价师所知悉的法定优先受偿款情况说明如下：</v>
      </c>
      <c r="B14" s="3390"/>
      <c r="C14" s="3390"/>
      <c r="D14" s="3390"/>
    </row>
    <row r="15" spans="1:4" ht="42" customHeight="1">
      <c r="A15" s="33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spans="1:4" ht="30" customHeight="1">
      <c r="A16" s="3392" t="s">
        <v>2124</v>
      </c>
      <c r="B16" s="3392"/>
      <c r="C16" s="3392"/>
      <c r="D16" s="3392"/>
    </row>
    <row r="17" spans="1:4" ht="144" customHeight="1">
      <c r="A17" s="3392" t="s">
        <v>2125</v>
      </c>
      <c r="B17" s="3392"/>
      <c r="C17" s="3392"/>
      <c r="D17" s="3392"/>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spans="1:4" ht="18.75" customHeight="1">
      <c r="A22" s="3394" t="s">
        <v>2873</v>
      </c>
      <c r="B22" s="3394"/>
      <c r="C22" s="3394"/>
      <c r="D22" s="3394"/>
    </row>
    <row r="23" spans="1:4">
      <c r="A23" s="1977"/>
      <c r="B23" s="1986"/>
      <c r="C23" s="1986"/>
      <c r="D23" s="1986"/>
    </row>
    <row r="24" spans="1:4">
      <c r="A24" s="1977"/>
      <c r="B24" s="1986"/>
      <c r="C24" s="1986"/>
      <c r="D24" s="1986"/>
    </row>
    <row r="25" spans="1:4" ht="18.75">
      <c r="A25" s="1975" t="s">
        <v>2121</v>
      </c>
    </row>
    <row r="26" spans="1:4" ht="18.75">
      <c r="A26" s="1947"/>
    </row>
    <row r="27" spans="1:4" ht="18.75">
      <c r="A27" s="1947" t="s">
        <v>2122</v>
      </c>
    </row>
    <row r="30" spans="1:4" ht="18.75">
      <c r="D30" s="1975" t="s">
        <v>2123</v>
      </c>
    </row>
    <row r="31" spans="1:4" ht="13.5" customHeight="1">
      <c r="C31" s="3391">
        <v>42551</v>
      </c>
      <c r="D31" s="339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2128</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1136</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00" t="s">
        <v>553</v>
      </c>
      <c r="B15" s="3395" t="s">
        <v>1137</v>
      </c>
      <c r="C15" s="3396"/>
    </row>
    <row r="16" spans="1:7" ht="13.5">
      <c r="A16" s="3401"/>
      <c r="B16" s="3395" t="s">
        <v>526</v>
      </c>
      <c r="C16" s="3396"/>
    </row>
    <row r="17" spans="1:3" ht="13.5">
      <c r="A17" s="3401"/>
      <c r="B17" s="3398" t="s">
        <v>554</v>
      </c>
      <c r="C17" s="1148" t="s">
        <v>553</v>
      </c>
    </row>
    <row r="18" spans="1:3" ht="13.5">
      <c r="A18" s="3401"/>
      <c r="B18" s="3398"/>
      <c r="C18" s="1148" t="s">
        <v>555</v>
      </c>
    </row>
    <row r="19" spans="1:3" ht="13.5">
      <c r="A19" s="3401"/>
      <c r="B19" s="3398"/>
      <c r="C19" s="1148" t="s">
        <v>556</v>
      </c>
    </row>
    <row r="20" spans="1:3" ht="13.5">
      <c r="A20" s="3402"/>
      <c r="B20" s="3397" t="s">
        <v>557</v>
      </c>
      <c r="C20" s="3396"/>
    </row>
    <row r="21" spans="1:3" ht="13.5">
      <c r="A21" s="1149" t="s">
        <v>558</v>
      </c>
      <c r="B21" s="1150"/>
      <c r="C21" s="1151"/>
    </row>
    <row r="22" spans="1:3" ht="13.5">
      <c r="A22" s="3399" t="s">
        <v>559</v>
      </c>
      <c r="B22" s="3397" t="s">
        <v>560</v>
      </c>
      <c r="C22" s="3396"/>
    </row>
    <row r="23" spans="1:3" ht="13.5">
      <c r="A23" s="3399"/>
      <c r="B23" s="3397" t="s">
        <v>561</v>
      </c>
      <c r="C23" s="3396"/>
    </row>
    <row r="24" spans="1:3" ht="13.5">
      <c r="A24" s="3399"/>
      <c r="B24" s="3397" t="s">
        <v>562</v>
      </c>
      <c r="C24" s="3396"/>
    </row>
    <row r="25" spans="1:3" ht="13.5">
      <c r="A25" s="3399"/>
      <c r="B25" s="3398" t="s">
        <v>563</v>
      </c>
      <c r="C25" s="1148" t="s">
        <v>564</v>
      </c>
    </row>
    <row r="26" spans="1:3" ht="13.5">
      <c r="A26" s="3399"/>
      <c r="B26" s="3398"/>
      <c r="C26" s="1148" t="s">
        <v>565</v>
      </c>
    </row>
    <row r="27" spans="1:3" ht="13.5">
      <c r="A27" s="3399"/>
      <c r="B27" s="3398"/>
      <c r="C27" s="1148" t="s">
        <v>566</v>
      </c>
    </row>
    <row r="28" spans="1:3" ht="13.5">
      <c r="A28" s="3399"/>
      <c r="B28" s="3398"/>
      <c r="C28" s="1148" t="s">
        <v>567</v>
      </c>
    </row>
    <row r="29" spans="1:3" ht="13.5">
      <c r="A29" s="3399"/>
      <c r="B29" s="3398"/>
      <c r="C29" s="1148" t="s">
        <v>568</v>
      </c>
    </row>
    <row r="30" spans="1:3" ht="13.5">
      <c r="A30" s="3399"/>
      <c r="B30" s="3398"/>
      <c r="C30" s="1148" t="s">
        <v>569</v>
      </c>
    </row>
    <row r="31" spans="1:3" ht="13.5">
      <c r="A31" s="3399"/>
      <c r="B31" s="3398"/>
      <c r="C31" s="1148" t="s">
        <v>570</v>
      </c>
    </row>
    <row r="32" spans="1:3" ht="13.5">
      <c r="A32" s="3399"/>
      <c r="B32" s="3398"/>
      <c r="C32" s="1148" t="s">
        <v>571</v>
      </c>
    </row>
    <row r="33" spans="1:3" ht="13.5">
      <c r="A33" s="3399"/>
      <c r="B33" s="3398"/>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1971</v>
      </c>
      <c r="B2" s="1884">
        <f ca="1">TODAY()</f>
        <v>43008</v>
      </c>
      <c r="C2" s="1885" t="s">
        <v>1972</v>
      </c>
      <c r="D2" s="1885"/>
    </row>
    <row r="3" spans="1:6" ht="24" customHeight="1">
      <c r="A3" s="1886" t="s">
        <v>1973</v>
      </c>
      <c r="B3" s="1887" t="s">
        <v>1974</v>
      </c>
      <c r="C3" s="1887" t="s">
        <v>1975</v>
      </c>
      <c r="D3" s="1888" t="s">
        <v>1976</v>
      </c>
      <c r="E3" s="1889" t="s">
        <v>1977</v>
      </c>
      <c r="F3" s="1887" t="s">
        <v>1975</v>
      </c>
    </row>
    <row r="4" spans="1:6" ht="24" customHeight="1">
      <c r="A4" s="3196" t="s">
        <v>1978</v>
      </c>
      <c r="B4" s="1889">
        <f ca="1">IF(C4&lt;B2,"已过期",1119970066)</f>
        <v>1119970066</v>
      </c>
      <c r="C4" s="3197">
        <v>43849</v>
      </c>
      <c r="D4" s="3196" t="s">
        <v>1978</v>
      </c>
      <c r="E4" s="1889">
        <f ca="1">IF(F4&lt;B2,"已过期",96010014)</f>
        <v>96010014</v>
      </c>
      <c r="F4" s="1898">
        <v>47118</v>
      </c>
    </row>
    <row r="5" spans="1:6" ht="24" customHeight="1">
      <c r="A5" s="3196" t="s">
        <v>1979</v>
      </c>
      <c r="B5" s="1889">
        <f ca="1">IF(C5&lt;B2,"已过期",1119970074)</f>
        <v>1119970074</v>
      </c>
      <c r="C5" s="3197">
        <v>43849</v>
      </c>
      <c r="D5" s="3196" t="s">
        <v>1979</v>
      </c>
      <c r="E5" s="1889">
        <f ca="1">IF(F5&lt;B2,"已过期",2002110027)</f>
        <v>2002110027</v>
      </c>
      <c r="F5" s="1898">
        <v>46752</v>
      </c>
    </row>
    <row r="6" spans="1:6" ht="24" customHeight="1">
      <c r="A6" s="3196" t="s">
        <v>1980</v>
      </c>
      <c r="B6" s="1889">
        <f ca="1">IF(C6&lt;B2,"已过期",1119970111)</f>
        <v>1119970111</v>
      </c>
      <c r="C6" s="3197">
        <v>43849</v>
      </c>
      <c r="D6" s="3196" t="s">
        <v>1980</v>
      </c>
      <c r="E6" s="1889">
        <f ca="1">IF(F6&lt;B2,"已过期",94010078)</f>
        <v>94010078</v>
      </c>
      <c r="F6" s="1898">
        <v>46387</v>
      </c>
    </row>
    <row r="7" spans="1:6" ht="24" customHeight="1">
      <c r="A7" s="3196" t="s">
        <v>1981</v>
      </c>
      <c r="B7" s="1889">
        <f ca="1">IF(C7&lt;B2,"已过期",1120050019)</f>
        <v>1120050019</v>
      </c>
      <c r="C7" s="3197">
        <v>43359</v>
      </c>
      <c r="D7" s="3196" t="s">
        <v>1981</v>
      </c>
      <c r="E7" s="1889">
        <f ca="1">IF(F7&lt;B2,"已过期",2002110030)</f>
        <v>2002110030</v>
      </c>
      <c r="F7" s="1898">
        <v>46387</v>
      </c>
    </row>
    <row r="8" spans="1:6" ht="24" customHeight="1">
      <c r="A8" s="3196" t="s">
        <v>1982</v>
      </c>
      <c r="B8" s="1889">
        <f ca="1">IF(C8&lt;B2,"已过期",1120000080)</f>
        <v>1120000080</v>
      </c>
      <c r="C8" s="3197">
        <v>43849</v>
      </c>
      <c r="D8" s="3196" t="s">
        <v>1982</v>
      </c>
      <c r="E8" s="1889">
        <f ca="1">IF(F8&lt;B2,"已过期",2000110082)</f>
        <v>2000110082</v>
      </c>
      <c r="F8" s="1898">
        <v>46387</v>
      </c>
    </row>
    <row r="9" spans="1:6" ht="24" customHeight="1">
      <c r="A9" s="3196" t="s">
        <v>1983</v>
      </c>
      <c r="B9" s="1889">
        <f ca="1">IF(C9&lt;B2,"已过期",1419970001)</f>
        <v>1419970001</v>
      </c>
      <c r="C9" s="3197">
        <v>43867</v>
      </c>
      <c r="D9" s="3196" t="s">
        <v>1983</v>
      </c>
      <c r="E9" s="1889">
        <f ca="1">IF(F9&lt;B2,"已过期",2002110125)</f>
        <v>2002110125</v>
      </c>
      <c r="F9" s="1898">
        <v>47118</v>
      </c>
    </row>
    <row r="10" spans="1:6" ht="24" customHeight="1">
      <c r="A10" s="3196" t="s">
        <v>1984</v>
      </c>
      <c r="B10" s="1889">
        <f ca="1">IF(C10&lt;B2,"已过期",1120060040)</f>
        <v>1120060040</v>
      </c>
      <c r="C10" s="3197">
        <v>43483</v>
      </c>
      <c r="D10" s="3196" t="s">
        <v>1984</v>
      </c>
      <c r="E10" s="1889">
        <f ca="1">IF(F10&lt;B2,"已过期",2004110096)</f>
        <v>2004110096</v>
      </c>
      <c r="F10" s="1898">
        <v>47118</v>
      </c>
    </row>
    <row r="11" spans="1:6" ht="24" customHeight="1">
      <c r="A11" s="3196" t="s">
        <v>1985</v>
      </c>
      <c r="B11" s="1889">
        <f ca="1">IF(C11&lt;B2,"已过期",1120100036)</f>
        <v>1120100036</v>
      </c>
      <c r="C11" s="3197">
        <v>43622</v>
      </c>
      <c r="D11" s="3196" t="s">
        <v>1985</v>
      </c>
      <c r="E11" s="1889">
        <f ca="1">IF(F11&lt;B2,"已过期",2010110070)</f>
        <v>2010110070</v>
      </c>
      <c r="F11" s="1898">
        <v>47907</v>
      </c>
    </row>
    <row r="12" spans="1:6" ht="24" customHeight="1">
      <c r="A12" s="3196"/>
      <c r="B12" s="1889"/>
      <c r="C12" s="3197"/>
      <c r="D12" s="3196"/>
      <c r="E12" s="1889"/>
      <c r="F12" s="1889"/>
    </row>
    <row r="13" spans="1:6" ht="24" customHeight="1">
      <c r="A13" s="3196" t="s">
        <v>1986</v>
      </c>
      <c r="B13" s="1889">
        <f ca="1">IF(C13&lt;B2,"已过期",1120070131)</f>
        <v>1120070131</v>
      </c>
      <c r="C13" s="3197">
        <v>43814</v>
      </c>
      <c r="D13" s="3196" t="s">
        <v>1986</v>
      </c>
      <c r="E13" s="1889">
        <v>2014110011</v>
      </c>
      <c r="F13" s="1898">
        <v>49302</v>
      </c>
    </row>
    <row r="14" spans="1:6" ht="24" customHeight="1">
      <c r="A14" s="3196" t="s">
        <v>1987</v>
      </c>
      <c r="B14" s="1889">
        <f ca="1">IF(C14&lt;B2,"已过期",1120130020)</f>
        <v>1120130020</v>
      </c>
      <c r="C14" s="3197">
        <v>43622</v>
      </c>
      <c r="D14" s="3196"/>
      <c r="E14" s="1889"/>
      <c r="F14" s="1889"/>
    </row>
    <row r="15" spans="1:6" ht="24" customHeight="1">
      <c r="A15" s="3198" t="s">
        <v>2705</v>
      </c>
      <c r="B15" s="1889">
        <v>1120070085</v>
      </c>
      <c r="C15" s="3197">
        <v>43814</v>
      </c>
      <c r="D15" s="3198" t="s">
        <v>2705</v>
      </c>
      <c r="E15" s="1889">
        <v>2004110128</v>
      </c>
      <c r="F15" s="1890">
        <v>47118</v>
      </c>
    </row>
    <row r="16" spans="1:6" ht="24" customHeight="1">
      <c r="A16" s="3196" t="s">
        <v>1988</v>
      </c>
      <c r="B16" s="1889">
        <f ca="1">IF(C16&lt;B2,"已过期",1120140022)</f>
        <v>1120140022</v>
      </c>
      <c r="C16" s="3197">
        <v>44029</v>
      </c>
      <c r="D16" s="3196" t="s">
        <v>1988</v>
      </c>
      <c r="E16" s="1889">
        <f ca="1">IF(F16&lt;B2,"已过期",2008110059)</f>
        <v>2008110059</v>
      </c>
      <c r="F16" s="1898">
        <v>47177</v>
      </c>
    </row>
    <row r="17" spans="1:7" ht="24" customHeight="1">
      <c r="A17" s="3196"/>
      <c r="B17" s="1889"/>
      <c r="C17" s="3197"/>
      <c r="D17" s="3196"/>
      <c r="E17" s="1889"/>
      <c r="F17" s="1898"/>
    </row>
    <row r="18" spans="1:7" ht="24" customHeight="1">
      <c r="A18" s="3196"/>
      <c r="B18" s="1889"/>
      <c r="C18" s="3197"/>
      <c r="D18" s="3196"/>
      <c r="E18" s="1889"/>
      <c r="F18" s="1898"/>
    </row>
    <row r="19" spans="1:7" ht="24" customHeight="1">
      <c r="A19" s="3196"/>
      <c r="B19" s="1889"/>
      <c r="C19" s="3197"/>
      <c r="D19" s="3196"/>
      <c r="E19" s="1889"/>
      <c r="F19" s="1889"/>
    </row>
    <row r="20" spans="1:7" ht="24" customHeight="1">
      <c r="A20" s="3196"/>
      <c r="B20" s="1889"/>
      <c r="C20" s="3197"/>
      <c r="D20" s="3196"/>
      <c r="E20" s="1889"/>
      <c r="F20" s="1889"/>
    </row>
    <row r="21" spans="1:7" ht="24" customHeight="1">
      <c r="A21" s="3196"/>
      <c r="B21" s="1889"/>
      <c r="C21" s="3197"/>
      <c r="D21" s="3196" t="s">
        <v>1989</v>
      </c>
      <c r="E21" s="1889">
        <f ca="1">IF(F21&lt;B2,"已过期",2011110090)</f>
        <v>2011110090</v>
      </c>
      <c r="F21" s="1898">
        <v>48302</v>
      </c>
    </row>
    <row r="22" spans="1:7" ht="24" customHeight="1">
      <c r="A22" s="3196" t="s">
        <v>1990</v>
      </c>
      <c r="B22" s="1889">
        <f ca="1">IF(C22&lt;B2,"已过期",1120020033)</f>
        <v>1120020033</v>
      </c>
      <c r="C22" s="3197">
        <v>43304</v>
      </c>
      <c r="D22" s="3196" t="s">
        <v>1990</v>
      </c>
      <c r="E22" s="1889">
        <f ca="1">IF(F22&lt;B2,"已过期",2000110137)</f>
        <v>2000110137</v>
      </c>
      <c r="F22" s="1898">
        <v>46387</v>
      </c>
    </row>
    <row r="23" spans="1:7" ht="24" customHeight="1">
      <c r="A23" s="3196" t="s">
        <v>1991</v>
      </c>
      <c r="B23" s="1889">
        <f ca="1">IF(C23&lt;B2,"已过期",1120130048)</f>
        <v>1120130048</v>
      </c>
      <c r="C23" s="3197">
        <v>43686</v>
      </c>
      <c r="D23" s="3196"/>
      <c r="E23" s="1889"/>
      <c r="F23" s="1889"/>
    </row>
    <row r="24" spans="1:7" s="1891" customFormat="1" ht="24" customHeight="1">
      <c r="A24" s="3198" t="s">
        <v>2939</v>
      </c>
      <c r="B24" s="3198" t="s">
        <v>2939</v>
      </c>
      <c r="C24" s="3198" t="s">
        <v>2939</v>
      </c>
      <c r="D24" s="3198" t="s">
        <v>2939</v>
      </c>
      <c r="E24" s="3198" t="s">
        <v>2939</v>
      </c>
      <c r="F24" s="3198" t="s">
        <v>2939</v>
      </c>
    </row>
    <row r="25" spans="1:7" ht="24" customHeight="1">
      <c r="A25" s="3403" t="s">
        <v>1992</v>
      </c>
      <c r="B25" s="3403"/>
      <c r="C25" s="3403"/>
      <c r="D25" s="3403"/>
      <c r="E25" s="3403"/>
      <c r="F25" s="3403"/>
      <c r="G25" s="3403"/>
    </row>
    <row r="26" spans="1:7" s="1893" customFormat="1" ht="24" customHeight="1">
      <c r="A26" s="3404" t="s">
        <v>1993</v>
      </c>
      <c r="B26" s="3404"/>
      <c r="C26" s="3404"/>
      <c r="D26" s="1892"/>
      <c r="E26" s="3404" t="s">
        <v>1994</v>
      </c>
      <c r="F26" s="3404"/>
      <c r="G26" s="3404"/>
    </row>
    <row r="27" spans="1:7" s="1895" customFormat="1" ht="24" customHeight="1">
      <c r="A27" s="1894" t="s">
        <v>1995</v>
      </c>
      <c r="B27" s="1887" t="s">
        <v>1996</v>
      </c>
      <c r="C27" s="1887" t="s">
        <v>1997</v>
      </c>
      <c r="D27" s="1887"/>
      <c r="E27" s="1889" t="s">
        <v>1995</v>
      </c>
      <c r="F27" s="1887" t="s">
        <v>1996</v>
      </c>
      <c r="G27" s="1887" t="s">
        <v>1997</v>
      </c>
    </row>
    <row r="28" spans="1:7" s="1895" customFormat="1" ht="24" customHeight="1">
      <c r="A28" s="1896" t="s">
        <v>1998</v>
      </c>
      <c r="B28" s="1897" t="s">
        <v>1999</v>
      </c>
      <c r="C28" s="1898">
        <v>43725</v>
      </c>
      <c r="D28" s="1898"/>
      <c r="E28" s="1896" t="s">
        <v>2000</v>
      </c>
      <c r="F28" s="1896" t="s">
        <v>2001</v>
      </c>
      <c r="G28" s="2106">
        <v>44377</v>
      </c>
    </row>
    <row r="29" spans="1:7" s="1895" customFormat="1" ht="24" customHeight="1">
      <c r="A29" s="1896"/>
      <c r="B29" s="1896"/>
      <c r="C29" s="1899"/>
      <c r="D29" s="1899"/>
      <c r="E29" s="1896" t="s">
        <v>2002</v>
      </c>
      <c r="F29" s="2430" t="s">
        <v>3052</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收益法（公寓）</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 (元)'!Print_Area</vt:lpstr>
      <vt:lpstr>'收益法（地下车库）'!Print_Area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2017-09-30T02:52:49Z</dcterms:modified>
</cp:coreProperties>
</file>