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北保2024\2024-1-0263北京市昌平区沙河镇北沙河北\"/>
    </mc:Choice>
  </mc:AlternateContent>
  <bookViews>
    <workbookView xWindow="30" yWindow="4095" windowWidth="22470" windowHeight="5205"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Sheet1" sheetId="72" r:id="rId18"/>
    <sheet name="剩余法-待开发" sheetId="12" state="hidden" r:id="rId19"/>
    <sheet name="剩余法-现房" sheetId="43" state="hidden" r:id="rId20"/>
    <sheet name="比较法-住宅、综合" sheetId="39" state="hidden" r:id="rId21"/>
    <sheet name="比较法-工业" sheetId="40" r:id="rId22"/>
    <sheet name="比较法案例（ppt）" sheetId="75" r:id="rId23"/>
    <sheet name="基准地价" sheetId="46"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r:id="rId36"/>
    <sheet name="比较法-成本 (搭配划拨)" sheetId="74"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成本案例" sheetId="73" r:id="rId45"/>
    <sheet name="存贷款利率" sheetId="65" r:id="rId46"/>
  </sheets>
  <externalReferences>
    <externalReference r:id="rId47"/>
    <externalReference r:id="rId48"/>
    <externalReference r:id="rId49"/>
    <externalReference r:id="rId50"/>
  </externalReferences>
  <definedNames>
    <definedName name="_xlnm._FilterDatabase" localSheetId="36" hidden="1">'比较法-成本 (搭配划拨)'!$A$1:$L$45</definedName>
    <definedName name="_xlnm._FilterDatabase" localSheetId="21"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36">'比较法-成本 (搭配划拨)'!$A$1:$K$62,'比较法-成本 (搭配划拨)'!$A$65:$N$122</definedName>
    <definedName name="_xlnm.Print_Area" localSheetId="21">'比较法-工业'!$A$1:$K$62,'比较法-工业'!$A$65:$N$122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22">'[1]不动产比较法-办公'!$B$119:$M$119</definedName>
    <definedName name="办公层高" localSheetId="36">'[1]不动产比较法-办公'!$B$119:$M$119</definedName>
    <definedName name="办公层高" localSheetId="44">'[1]不动产比较法-办公'!$B$119:$M$119</definedName>
    <definedName name="办公层高">'不动产比较法-办公'!$B$119:$M$119</definedName>
    <definedName name="办公朝向" localSheetId="22">'[1]不动产比较法-办公'!$B$91:$M$91</definedName>
    <definedName name="办公朝向" localSheetId="36">'[1]不动产比较法-办公'!$B$91:$M$91</definedName>
    <definedName name="办公朝向" localSheetId="44">'[1]不动产比较法-办公'!$B$91:$M$91</definedName>
    <definedName name="办公朝向">'不动产比较法-办公'!$B$91:$M$91</definedName>
    <definedName name="办公道路级别" localSheetId="22">'[1]不动产比较法-办公'!$B$87:$M$87</definedName>
    <definedName name="办公道路级别" localSheetId="36">'[1]不动产比较法-办公'!$B$87:$M$87</definedName>
    <definedName name="办公道路级别" localSheetId="44">'[1]不动产比较法-办公'!$B$87:$M$87</definedName>
    <definedName name="办公道路级别">'不动产比较法-办公'!$B$87:$M$87</definedName>
    <definedName name="办公公共部分装修" localSheetId="22">'[1]不动产比较法-办公'!$B$108:$M$108</definedName>
    <definedName name="办公公共部分装修" localSheetId="36">'[1]不动产比较法-办公'!$B$108:$M$108</definedName>
    <definedName name="办公公共部分装修" localSheetId="44">'[1]不动产比较法-办公'!$B$108:$M$108</definedName>
    <definedName name="办公公共部分装修">'不动产比较法-办公'!$B$108:$M$108</definedName>
    <definedName name="办公基础设施水平" localSheetId="22">'[1]不动产比较法-办公'!$B$117:$M$117</definedName>
    <definedName name="办公基础设施水平" localSheetId="36">'[1]不动产比较法-办公'!$B$117:$M$117</definedName>
    <definedName name="办公基础设施水平" localSheetId="44">'[1]不动产比较法-办公'!$B$117:$M$117</definedName>
    <definedName name="办公基础设施水平">'不动产比较法-办公'!$B$117:$M$117</definedName>
    <definedName name="办公集聚程度" localSheetId="22">[1]定义!$M$1:$M$6</definedName>
    <definedName name="办公集聚程度" localSheetId="36">[1]定义!$M$1:$M$6</definedName>
    <definedName name="办公集聚程度" localSheetId="44">[1]定义!$M$1:$M$6</definedName>
    <definedName name="办公集聚程度">定义!$M$1:$M$6</definedName>
    <definedName name="办公建筑结构" localSheetId="22">'[1]不动产比较法-办公'!$B$106:$M$106</definedName>
    <definedName name="办公建筑结构" localSheetId="36">'[1]不动产比较法-办公'!$B$106:$M$106</definedName>
    <definedName name="办公建筑结构" localSheetId="44">'[1]不动产比较法-办公'!$B$106:$M$106</definedName>
    <definedName name="办公建筑结构">'不动产比较法-办公'!$B$106:$M$106</definedName>
    <definedName name="办公建筑类型" localSheetId="22">'[1]不动产比较法-办公'!$B$101:$M$101</definedName>
    <definedName name="办公建筑类型" localSheetId="36">'[1]不动产比较法-办公'!$B$101:$M$101</definedName>
    <definedName name="办公建筑类型" localSheetId="44">'[1]不动产比较法-办公'!$B$101:$M$101</definedName>
    <definedName name="办公建筑类型">'不动产比较法-办公'!$B$101:$M$101</definedName>
    <definedName name="办公交易情况" localSheetId="22">'[1]不动产比较法-办公'!$A$62:$M$62</definedName>
    <definedName name="办公交易情况" localSheetId="36">'[1]不动产比较法-办公'!$A$62:$M$62</definedName>
    <definedName name="办公交易情况" localSheetId="44">'[1]不动产比较法-办公'!$A$62:$M$62</definedName>
    <definedName name="办公交易情况">'不动产比较法-办公'!$A$62:$M$62</definedName>
    <definedName name="办公楼层" localSheetId="22">'[1]不动产比较法-办公'!$B$89:$M$89</definedName>
    <definedName name="办公楼层" localSheetId="36">'[1]不动产比较法-办公'!$B$89:$M$89</definedName>
    <definedName name="办公楼层" localSheetId="44">'[1]不动产比较法-办公'!$B$89:$M$89</definedName>
    <definedName name="办公楼层">'不动产比较法-办公'!$B$89:$M$89</definedName>
    <definedName name="办公内部装修" localSheetId="22">'[1]不动产比较法-办公'!$B$123:$M$123</definedName>
    <definedName name="办公内部装修" localSheetId="36">'[1]不动产比较法-办公'!$B$123:$M$123</definedName>
    <definedName name="办公内部装修" localSheetId="44">'[1]不动产比较法-办公'!$B$123:$M$123</definedName>
    <definedName name="办公内部装修">'不动产比较法-办公'!$B$123:$M$123</definedName>
    <definedName name="办公物业管理" localSheetId="22">'[1]不动产比较法-办公'!$B$115:$M$115</definedName>
    <definedName name="办公物业管理" localSheetId="36">'[1]不动产比较法-办公'!$B$115:$M$115</definedName>
    <definedName name="办公物业管理" localSheetId="44">'[1]不动产比较法-办公'!$B$115:$M$115</definedName>
    <definedName name="办公物业管理">'不动产比较法-办公'!$B$115:$M$115</definedName>
    <definedName name="办公用途" localSheetId="22">'[1]不动产比较法-办公'!$B$64:$M$64</definedName>
    <definedName name="办公用途" localSheetId="36">'[1]不动产比较法-办公'!$B$64:$M$64</definedName>
    <definedName name="办公用途" localSheetId="44">'[1]不动产比较法-办公'!$B$64:$M$64</definedName>
    <definedName name="办公用途">'不动产比较法-办公'!$B$64:$M$64</definedName>
    <definedName name="仓储公共部分装修" localSheetId="22">'[1]不动产比较法-仓储'!$B$77:$M$77</definedName>
    <definedName name="仓储公共部分装修" localSheetId="36">'[1]不动产比较法-仓储'!$B$77:$M$77</definedName>
    <definedName name="仓储公共部分装修" localSheetId="44">'[1]不动产比较法-仓储'!$B$77:$M$77</definedName>
    <definedName name="仓储公共部分装修">'不动产比较法-仓储'!$B$77:$M$77</definedName>
    <definedName name="仓储交易情况" localSheetId="22">'[1]不动产比较法-仓储'!$A$49:$M$49</definedName>
    <definedName name="仓储交易情况" localSheetId="36">'[1]不动产比较法-仓储'!$A$49:$M$49</definedName>
    <definedName name="仓储交易情况" localSheetId="44">'[1]不动产比较法-仓储'!$A$49:$M$49</definedName>
    <definedName name="仓储交易情况">'不动产比较法-仓储'!$A$49:$M$49</definedName>
    <definedName name="仓储楼层" localSheetId="22">'[1]不动产比较法-仓储'!$B$69:$M$69</definedName>
    <definedName name="仓储楼层" localSheetId="36">'[1]不动产比较法-仓储'!$B$69:$M$69</definedName>
    <definedName name="仓储楼层" localSheetId="44">'[1]不动产比较法-仓储'!$B$69:$M$69</definedName>
    <definedName name="仓储楼层">'不动产比较法-仓储'!$B$69:$M$69</definedName>
    <definedName name="仓储物业等级" localSheetId="22">'[1]不动产比较法-仓储'!$B$82:$M$82</definedName>
    <definedName name="仓储物业等级" localSheetId="36">'[1]不动产比较法-仓储'!$B$82:$M$82</definedName>
    <definedName name="仓储物业等级" localSheetId="44">'[1]不动产比较法-仓储'!$B$82:$M$82</definedName>
    <definedName name="仓储物业等级">'不动产比较法-仓储'!$B$82:$M$82</definedName>
    <definedName name="仓储用途" localSheetId="22">'[1]不动产比较法-仓储'!$B$51:$M$51</definedName>
    <definedName name="仓储用途" localSheetId="36">'[1]不动产比较法-仓储'!$B$51:$M$51</definedName>
    <definedName name="仓储用途" localSheetId="44">'[1]不动产比较法-仓储'!$B$51:$M$51</definedName>
    <definedName name="仓储用途">'不动产比较法-仓储'!$B$51:$M$51</definedName>
    <definedName name="产业集聚程度" localSheetId="22">[1]定义!$N$1:$N$6</definedName>
    <definedName name="产业集聚程度" localSheetId="36">[1]定义!$N$1:$N$6</definedName>
    <definedName name="产业集聚程度" localSheetId="44">[1]定义!$N$1:$N$6</definedName>
    <definedName name="产业集聚程度">定义!$N$1:$N$6</definedName>
    <definedName name="车位公共部分装修" localSheetId="22">'[1]不动产比较法-车位'!$B$83:$M$83</definedName>
    <definedName name="车位公共部分装修" localSheetId="36">'[1]不动产比较法-车位'!$B$83:$M$83</definedName>
    <definedName name="车位公共部分装修" localSheetId="44">'[1]不动产比较法-车位'!$B$83:$M$83</definedName>
    <definedName name="车位公共部分装修">'不动产比较法-车位'!$B$83:$M$83</definedName>
    <definedName name="车位交易情况" localSheetId="22">'[1]不动产比较法-车位'!$A$51:$M$51</definedName>
    <definedName name="车位交易情况" localSheetId="36">'[1]不动产比较法-车位'!$A$51:$M$51</definedName>
    <definedName name="车位交易情况" localSheetId="44">'[1]不动产比较法-车位'!$A$51:$M$51</definedName>
    <definedName name="车位交易情况">'不动产比较法-车位'!$A$51:$M$51</definedName>
    <definedName name="车位类型" localSheetId="22">'[1]不动产比较法-车位'!$B$93:$M$93</definedName>
    <definedName name="车位类型" localSheetId="36">'[1]不动产比较法-车位'!$B$93:$M$93</definedName>
    <definedName name="车位类型" localSheetId="44">'[1]不动产比较法-车位'!$B$93:$M$93</definedName>
    <definedName name="车位类型">'不动产比较法-车位'!$B$93:$M$93</definedName>
    <definedName name="车位楼层" localSheetId="22">'[1]不动产比较法-车位'!$B$71:$M$71</definedName>
    <definedName name="车位楼层" localSheetId="36">'[1]不动产比较法-车位'!$B$71:$M$71</definedName>
    <definedName name="车位楼层" localSheetId="44">'[1]不动产比较法-车位'!$B$71:$M$71</definedName>
    <definedName name="车位楼层">'不动产比较法-车位'!$B$71:$M$71</definedName>
    <definedName name="车位配套类型" localSheetId="22">'[1]不动产比较法-车位'!$B$79:$M$79</definedName>
    <definedName name="车位配套类型" localSheetId="36">'[1]不动产比较法-车位'!$B$79:$M$79</definedName>
    <definedName name="车位配套类型" localSheetId="44">'[1]不动产比较法-车位'!$B$79:$M$79</definedName>
    <definedName name="车位配套类型">'不动产比较法-车位'!$B$79:$M$79</definedName>
    <definedName name="车位物业等级" localSheetId="22">'[1]不动产比较法-车位'!$B$88:$M$88</definedName>
    <definedName name="车位物业等级" localSheetId="36">'[1]不动产比较法-车位'!$B$88:$M$88</definedName>
    <definedName name="车位物业等级" localSheetId="44">'[1]不动产比较法-车位'!$B$88:$M$88</definedName>
    <definedName name="车位物业等级">'不动产比较法-车位'!$B$88:$M$88</definedName>
    <definedName name="车位用途" localSheetId="22">'[1]不动产比较法-车位'!$B$53:$M$53</definedName>
    <definedName name="车位用途" localSheetId="36">'[1]不动产比较法-车位'!$B$53:$M$53</definedName>
    <definedName name="车位用途" localSheetId="44">'[1]不动产比较法-车位'!$B$53:$M$53</definedName>
    <definedName name="车位用途">'不动产比较法-车位'!$B$53:$M$53</definedName>
    <definedName name="城镇土地纳税等级分级范围" localSheetId="22">'[1]数据-取费表'!$A$53:$A$63</definedName>
    <definedName name="城镇土地纳税等级分级范围" localSheetId="36">'[1]数据-取费表'!$A$53:$A$63</definedName>
    <definedName name="城镇土地纳税等级分级范围" localSheetId="44">'[1]数据-取费表'!$A$53:$A$63</definedName>
    <definedName name="城镇土地纳税等级分级范围">'数据-取费表'!$A$53:$A$63</definedName>
    <definedName name="单价内涵" localSheetId="22">[1]定义!$V$1:$V$3</definedName>
    <definedName name="单价内涵" localSheetId="36">[1]定义!$V$1:$V$3</definedName>
    <definedName name="单价内涵" localSheetId="44">[1]定义!$V$1:$V$3</definedName>
    <definedName name="单价内涵">定义!$V$1:$V$3</definedName>
    <definedName name="地类判定" localSheetId="22">[1]定义!$H$1:$H$9</definedName>
    <definedName name="地类判定" localSheetId="36">[1]定义!$H$1:$H$9</definedName>
    <definedName name="地类判定" localSheetId="44">[1]定义!$H$1:$H$9</definedName>
    <definedName name="地类判定">定义!$H$1:$H$9</definedName>
    <definedName name="二级">区片价!$K$1:$K$21</definedName>
    <definedName name="二级分类" localSheetId="22">[1]修正!$C$19:$C$51</definedName>
    <definedName name="二级分类" localSheetId="36">[1]修正!$C$19:$C$51</definedName>
    <definedName name="二级分类" localSheetId="44">[1]修正!$C$19:$C$51</definedName>
    <definedName name="二级分类">修正!$C$19:$C$51</definedName>
    <definedName name="法定最高年限" localSheetId="22">[1]定义!$G$2:$G$5</definedName>
    <definedName name="法定最高年限" localSheetId="36">[1]定义!$G$2:$G$5</definedName>
    <definedName name="法定最高年限" localSheetId="44">[1]定义!$G$2:$G$5</definedName>
    <definedName name="法定最高年限">定义!$G$2:$G$5</definedName>
    <definedName name="工业公共部分装修" localSheetId="22">'[1]不动产比较法-工业'!$B$95:$M$95</definedName>
    <definedName name="工业公共部分装修" localSheetId="36">'[1]不动产比较法-工业'!$B$95:$M$95</definedName>
    <definedName name="工业公共部分装修" localSheetId="44">'[1]不动产比较法-工业'!$B$95:$M$95</definedName>
    <definedName name="工业公共部分装修">'不动产比较法-工业'!$B$95:$M$95</definedName>
    <definedName name="工业基础设施水平" localSheetId="22">'[1]不动产比较法-工业'!$B$102:$M$102</definedName>
    <definedName name="工业基础设施水平" localSheetId="36">'[1]不动产比较法-工业'!$B$102:$M$102</definedName>
    <definedName name="工业基础设施水平" localSheetId="44">'[1]不动产比较法-工业'!$B$102:$M$102</definedName>
    <definedName name="工业基础设施水平">'不动产比较法-工业'!$B$102:$M$102</definedName>
    <definedName name="工业建筑结构" localSheetId="22">'[1]不动产比较法-工业'!$B$93:$M$93</definedName>
    <definedName name="工业建筑结构" localSheetId="36">'[1]不动产比较法-工业'!$B$93:$M$93</definedName>
    <definedName name="工业建筑结构" localSheetId="44">'[1]不动产比较法-工业'!$B$93:$M$93</definedName>
    <definedName name="工业建筑结构">'不动产比较法-工业'!$B$93:$M$93</definedName>
    <definedName name="工业建筑类型" localSheetId="22">'[1]不动产比较法-工业'!$B$88:$M$88</definedName>
    <definedName name="工业建筑类型" localSheetId="36">'[1]不动产比较法-工业'!$B$88:$M$88</definedName>
    <definedName name="工业建筑类型" localSheetId="44">'[1]不动产比较法-工业'!$B$88:$M$88</definedName>
    <definedName name="工业建筑类型">'不动产比较法-工业'!$B$88:$M$88</definedName>
    <definedName name="工业交易情况" localSheetId="22">'[1]不动产比较法-工业'!$A$55:$M$55</definedName>
    <definedName name="工业交易情况" localSheetId="36">'[1]不动产比较法-工业'!$A$55:$M$55</definedName>
    <definedName name="工业交易情况" localSheetId="44">'[1]不动产比较法-工业'!$A$55:$M$55</definedName>
    <definedName name="工业交易情况">'不动产比较法-工业'!$A$55:$M$55</definedName>
    <definedName name="工业内部装修" localSheetId="22">'[1]不动产比较法-工业'!$B$104:$M$104</definedName>
    <definedName name="工业内部装修" localSheetId="36">'[1]不动产比较法-工业'!$B$104:$M$104</definedName>
    <definedName name="工业内部装修" localSheetId="44">'[1]不动产比较法-工业'!$B$104:$M$104</definedName>
    <definedName name="工业内部装修">'不动产比较法-工业'!$B$104:$M$104</definedName>
    <definedName name="工业物业管理" localSheetId="22">'[1]不动产比较法-工业'!$B$100:$M$100</definedName>
    <definedName name="工业物业管理" localSheetId="36">'[1]不动产比较法-工业'!$B$100:$M$100</definedName>
    <definedName name="工业物业管理" localSheetId="44">'[1]不动产比较法-工业'!$B$100:$M$100</definedName>
    <definedName name="工业物业管理">'不动产比较法-工业'!$B$100:$M$100</definedName>
    <definedName name="工业用途" localSheetId="22">'[1]不动产比较法-工业'!$B$57:$M$57</definedName>
    <definedName name="工业用途" localSheetId="36">'[1]不动产比较法-工业'!$B$57:$M$57</definedName>
    <definedName name="工业用途" localSheetId="44">'[1]不动产比较法-工业'!$B$57:$M$57</definedName>
    <definedName name="工业用途">'不动产比较法-工业'!$B$57:$M$57</definedName>
    <definedName name="公共配套设施" localSheetId="22">[1]定义!$Q$1:$Q$6</definedName>
    <definedName name="公共配套设施" localSheetId="36">[1]定义!$Q$1:$Q$6</definedName>
    <definedName name="公共配套设施" localSheetId="44">[1]定义!$Q$1:$Q$6</definedName>
    <definedName name="公共配套设施">定义!$Q$1:$Q$6</definedName>
    <definedName name="估价范围判定" localSheetId="22">[1]定义!$D$1:$D$4</definedName>
    <definedName name="估价范围判定" localSheetId="36">[1]定义!$D$1:$D$4</definedName>
    <definedName name="估价范围判定" localSheetId="44">[1]定义!$D$1:$D$4</definedName>
    <definedName name="估价范围判定">定义!$D$1:$D$4</definedName>
    <definedName name="估价方法" localSheetId="22">[1]定义!$B$1:$B$50</definedName>
    <definedName name="估价方法" localSheetId="36">[1]定义!$B$1:$B$50</definedName>
    <definedName name="估价方法" localSheetId="44">[1]定义!$B$1:$B$50</definedName>
    <definedName name="估价方法">定义!$B$1:$B$50</definedName>
    <definedName name="环境" localSheetId="22">[1]定义!$S$1:$S$6</definedName>
    <definedName name="环境" localSheetId="36">[1]定义!$S$1:$S$6</definedName>
    <definedName name="环境" localSheetId="44">[1]定义!$S$1:$S$6</definedName>
    <definedName name="环境">定义!$S$1:$S$6</definedName>
    <definedName name="基础设施水平" localSheetId="22">[1]定义!$R$1:$R$6</definedName>
    <definedName name="基础设施水平" localSheetId="36">[1]定义!$R$1:$R$6</definedName>
    <definedName name="基础设施水平" localSheetId="44">[1]定义!$R$1:$R$6</definedName>
    <definedName name="基础设施水平">定义!$R$1:$R$6</definedName>
    <definedName name="季度">基准地价!$N$19:$AB$19</definedName>
    <definedName name="季度2014">地价!$A$2:$A$41</definedName>
    <definedName name="价值类型2" localSheetId="22">[1]定义!$B$54:$B$56</definedName>
    <definedName name="价值类型2" localSheetId="36">[1]定义!$B$54:$B$56</definedName>
    <definedName name="价值类型2" localSheetId="44">[1]定义!$B$54:$B$56</definedName>
    <definedName name="价值类型2">定义!$B$54:$B$56</definedName>
    <definedName name="交通便捷度" localSheetId="22">[1]定义!$O$1:$O$6</definedName>
    <definedName name="交通便捷度" localSheetId="36">[1]定义!$O$1:$O$6</definedName>
    <definedName name="交通便捷度" localSheetId="44">[1]定义!$O$1:$O$6</definedName>
    <definedName name="交通便捷度">定义!$O$1:$O$6</definedName>
    <definedName name="九级">区片价!$R$1:$R$51</definedName>
    <definedName name="居住社区成熟度" localSheetId="22">[1]定义!$K$1:$K$6</definedName>
    <definedName name="居住社区成熟度" localSheetId="36">[1]定义!$K$1:$K$6</definedName>
    <definedName name="居住社区成熟度" localSheetId="44">[1]定义!$K$1:$K$6</definedName>
    <definedName name="居住社区成熟度">定义!$K$1:$K$6</definedName>
    <definedName name="类别" localSheetId="22">[1]定义!$J$1:$J$3</definedName>
    <definedName name="类别" localSheetId="36">[1]定义!$J$1:$J$3</definedName>
    <definedName name="类别" localSheetId="44">[1]定义!$J$1:$J$3</definedName>
    <definedName name="类别">定义!$J$1:$J$3</definedName>
    <definedName name="临街状况" localSheetId="22">[1]定义!$T$1:$T$5</definedName>
    <definedName name="临街状况" localSheetId="36">[1]定义!$T$1:$T$5</definedName>
    <definedName name="临街状况" localSheetId="44">[1]定义!$T$1:$T$5</definedName>
    <definedName name="临街状况">定义!$T$1:$T$5</definedName>
    <definedName name="六级">区片价!$O$1:$O$64</definedName>
    <definedName name="内部装修维护情况" localSheetId="22">[1]定义!$U$1:$U$6</definedName>
    <definedName name="内部装修维护情况" localSheetId="36">[1]定义!$U$1:$U$6</definedName>
    <definedName name="内部装修维护情况" localSheetId="44">[1]定义!$U$1:$U$6</definedName>
    <definedName name="内部装修维护情况">定义!$U$1:$U$6</definedName>
    <definedName name="判定">[2]定义!$D$1:$D$4</definedName>
    <definedName name="七级">区片价!$P$1:$P$45</definedName>
    <definedName name="七通一平" localSheetId="22">[1]修正!$A$8:$A$16</definedName>
    <definedName name="七通一平" localSheetId="36">[1]修正!$A$8:$A$16</definedName>
    <definedName name="七通一平" localSheetId="44">[1]修正!$A$8:$A$16</definedName>
    <definedName name="七通一平">修正!$A$8:$A$16</definedName>
    <definedName name="区域土地利用方向" localSheetId="22">[1]定义!$P$1:$P$6</definedName>
    <definedName name="区域土地利用方向" localSheetId="36">[1]定义!$P$1:$P$6</definedName>
    <definedName name="区域土地利用方向" localSheetId="44">[1]定义!$P$1:$P$6</definedName>
    <definedName name="区域土地利用方向">定义!$P$1:$P$6</definedName>
    <definedName name="三级">区片价!$L$1:$L$26</definedName>
    <definedName name="商业层高" localSheetId="22">'[1]不动产比较法-商业'!$B$116:$M$116</definedName>
    <definedName name="商业层高" localSheetId="36">'[1]不动产比较法-商业'!$B$116:$M$116</definedName>
    <definedName name="商业层高" localSheetId="44">'[1]不动产比较法-商业'!$B$116:$M$116</definedName>
    <definedName name="商业层高">'不动产比较法-商业'!$B$116:$M$116</definedName>
    <definedName name="商业成新度">'不动产比较法-商业'!$B$109:$M$109</definedName>
    <definedName name="商业繁华度" localSheetId="22">[1]定义!$L$1:$L$6</definedName>
    <definedName name="商业繁华度" localSheetId="36">[1]定义!$L$1:$L$6</definedName>
    <definedName name="商业繁华度" localSheetId="44">[1]定义!$L$1:$L$6</definedName>
    <definedName name="商业繁华度">定义!$L$1:$L$6</definedName>
    <definedName name="商业公共部分装修" localSheetId="22">'[1]不动产比较法-商业'!$B$107:$M$107</definedName>
    <definedName name="商业公共部分装修" localSheetId="36">'[1]不动产比较法-商业'!$B$107:$M$107</definedName>
    <definedName name="商业公共部分装修" localSheetId="44">'[1]不动产比较法-商业'!$B$107:$M$107</definedName>
    <definedName name="商业公共部分装修">'不动产比较法-商业'!$B$107:$M$107</definedName>
    <definedName name="商业基础设施水平" localSheetId="22">'[1]不动产比较法-商业'!$B$112:$M$112</definedName>
    <definedName name="商业基础设施水平" localSheetId="36">'[1]不动产比较法-商业'!$B$112:$M$112</definedName>
    <definedName name="商业基础设施水平" localSheetId="44">'[1]不动产比较法-商业'!$B$112:$M$112</definedName>
    <definedName name="商业基础设施水平">'不动产比较法-商业'!$B$112:$M$112</definedName>
    <definedName name="商业建筑结构" localSheetId="22">'[1]不动产比较法-商业'!$B$105:$M$105</definedName>
    <definedName name="商业建筑结构" localSheetId="36">'[1]不动产比较法-商业'!$B$105:$M$105</definedName>
    <definedName name="商业建筑结构" localSheetId="44">'[1]不动产比较法-商业'!$B$105:$M$105</definedName>
    <definedName name="商业建筑结构">'不动产比较法-商业'!$B$105:$M$105</definedName>
    <definedName name="商业交易情况" localSheetId="22">'[1]不动产比较法-商业'!$A$61:$M$61</definedName>
    <definedName name="商业交易情况" localSheetId="36">'[1]不动产比较法-商业'!$A$61:$M$61</definedName>
    <definedName name="商业交易情况" localSheetId="44">'[1]不动产比较法-商业'!$A$61:$M$61</definedName>
    <definedName name="商业交易情况">'不动产比较法-商业'!$A$61:$M$61</definedName>
    <definedName name="商业街名称" localSheetId="22">[1]修正!$C$71:$C$139</definedName>
    <definedName name="商业街名称" localSheetId="36">[1]修正!$C$71:$C$139</definedName>
    <definedName name="商业街名称" localSheetId="44">[1]修正!$C$71:$C$139</definedName>
    <definedName name="商业街名称">修正!$C$71:$C$139</definedName>
    <definedName name="商业进深比" localSheetId="22">'[1]不动产比较法-商业'!$B$120:$M$120</definedName>
    <definedName name="商业进深比" localSheetId="36">'[1]不动产比较法-商业'!$B$120:$M$120</definedName>
    <definedName name="商业进深比" localSheetId="44">'[1]不动产比较法-商业'!$B$120:$M$120</definedName>
    <definedName name="商业进深比">'不动产比较法-商业'!$B$120:$M$120</definedName>
    <definedName name="商业类型" localSheetId="22">'[1]不动产比较法-商业'!$B$100:$M$100</definedName>
    <definedName name="商业类型" localSheetId="36">'[1]不动产比较法-商业'!$B$100:$M$100</definedName>
    <definedName name="商业类型" localSheetId="44">'[1]不动产比较法-商业'!$B$100:$M$100</definedName>
    <definedName name="商业类型">'不动产比较法-商业'!$B$100:$M$100</definedName>
    <definedName name="商业临街状况" localSheetId="22">'[1]不动产比较法-商业'!$B$86:$M$86</definedName>
    <definedName name="商业临街状况" localSheetId="36">'[1]不动产比较法-商业'!$B$86:$M$86</definedName>
    <definedName name="商业临街状况" localSheetId="44">'[1]不动产比较法-商业'!$B$86:$M$86</definedName>
    <definedName name="商业临街状况">'不动产比较法-商业'!$B$86:$M$86</definedName>
    <definedName name="商业楼层" localSheetId="22">'[1]不动产比较法-商业'!$B$92:$M$92</definedName>
    <definedName name="商业楼层" localSheetId="36">'[1]不动产比较法-商业'!$B$92:$M$92</definedName>
    <definedName name="商业楼层" localSheetId="44">'[1]不动产比较法-商业'!$B$92:$M$92</definedName>
    <definedName name="商业楼层">'不动产比较法-商业'!$B$92:$M$92</definedName>
    <definedName name="商业内部装修" localSheetId="22">'[1]不动产比较法-商业'!$B$122:$M$122</definedName>
    <definedName name="商业内部装修" localSheetId="36">'[1]不动产比较法-商业'!$B$122:$M$122</definedName>
    <definedName name="商业内部装修" localSheetId="44">'[1]不动产比较法-商业'!$B$122:$M$122</definedName>
    <definedName name="商业内部装修">'不动产比较法-商业'!$B$122:$M$122</definedName>
    <definedName name="商业人流量" localSheetId="22">'[1]不动产比较法-商业'!$B$90:$M$90</definedName>
    <definedName name="商业人流量" localSheetId="36">'[1]不动产比较法-商业'!$B$90:$M$90</definedName>
    <definedName name="商业人流量" localSheetId="44">'[1]不动产比较法-商业'!$B$90:$M$90</definedName>
    <definedName name="商业人流量">'不动产比较法-商业'!$B$90:$M$90</definedName>
    <definedName name="商业业态" localSheetId="22">'[1]不动产比较法-商业'!$B$114:$M$114</definedName>
    <definedName name="商业业态" localSheetId="36">'[1]不动产比较法-商业'!$B$114:$M$114</definedName>
    <definedName name="商业业态" localSheetId="44">'[1]不动产比较法-商业'!$B$114:$M$114</definedName>
    <definedName name="商业业态">'不动产比较法-商业'!$B$114:$M$114</definedName>
    <definedName name="商业用途" localSheetId="22">'[1]不动产比较法-商业'!$B$63:$M$63</definedName>
    <definedName name="商业用途" localSheetId="36">'[1]不动产比较法-商业'!$B$63:$M$63</definedName>
    <definedName name="商业用途" localSheetId="44">'[1]不动产比较法-商业'!$B$63:$M$63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2">'[1]不动产比较法-仓储'!$B$89:$M$89</definedName>
    <definedName name="是否封闭" localSheetId="36">'[1]不动产比较法-仓储'!$B$89:$M$89</definedName>
    <definedName name="是否封闭" localSheetId="44">'[1]不动产比较法-仓储'!$B$89:$M$89</definedName>
    <definedName name="是否封闭">'不动产比较法-仓储'!$B$89:$M$89</definedName>
    <definedName name="是否直接入户" localSheetId="22">'[1]不动产比较法-车位'!$B$95:$M$95</definedName>
    <definedName name="是否直接入户" localSheetId="36">'[1]不动产比较法-车位'!$B$95:$M$95</definedName>
    <definedName name="是否直接入户" localSheetId="44">'[1]不动产比较法-车位'!$B$95:$M$95</definedName>
    <definedName name="是否直接入户">'不动产比较法-车位'!$B$95:$M$95</definedName>
    <definedName name="四级">区片价!$M$1:$M$33</definedName>
    <definedName name="套工工程地质条件" localSheetId="22">'[1]比较法-公开'!$B$115:$M$115</definedName>
    <definedName name="套工工程地质条件" localSheetId="36">'比较法-成本 (搭配划拨)'!$B$115:$M$115</definedName>
    <definedName name="套工工程地质条件" localSheetId="44">'[1]比较法-公开'!$B$115:$M$115</definedName>
    <definedName name="套工工程地质条件">'比较法-工业'!$B$115:$M$115</definedName>
    <definedName name="套工交易情况" localSheetId="22">'[1]比较法-住宅、综合'!$A$74:$M$74</definedName>
    <definedName name="套工交易情况" localSheetId="36">'[1]比较法-住宅、综合'!$A$74:$M$74</definedName>
    <definedName name="套工交易情况" localSheetId="44">'[1]比较法-住宅、综合'!$A$74:$M$74</definedName>
    <definedName name="套工交易情况">'比较法-住宅、综合'!$A$74:$M$74</definedName>
    <definedName name="套工开发程度" localSheetId="22">'[1]比较法-公开'!$B$113:$M$113</definedName>
    <definedName name="套工开发程度" localSheetId="36">'比较法-成本 (搭配划拨)'!$B$113:$M$113</definedName>
    <definedName name="套工开发程度" localSheetId="44">'[1]比较法-公开'!$B$113:$M$113</definedName>
    <definedName name="套工开发程度">'比较法-工业'!$B$113:$M$113</definedName>
    <definedName name="套工临街等级" localSheetId="22">'[1]比较法-公开'!$B$98:$M$98</definedName>
    <definedName name="套工临街等级" localSheetId="36">'比较法-成本 (搭配划拨)'!$B$98:$M$98</definedName>
    <definedName name="套工临街等级" localSheetId="44">'[1]比较法-公开'!$B$98:$M$98</definedName>
    <definedName name="套工临街等级">'比较法-工业'!$B$98:$M$98</definedName>
    <definedName name="套工土地级别" localSheetId="22">'[1]比较法-公开'!$B$100:$M$100</definedName>
    <definedName name="套工土地级别" localSheetId="36">'比较法-成本 (搭配划拨)'!$B$100:$M$100</definedName>
    <definedName name="套工土地级别" localSheetId="44">'[1]比较法-公开'!$B$100:$M$100</definedName>
    <definedName name="套工土地级别">'比较法-工业'!$B$100:$M$100</definedName>
    <definedName name="套工用途" localSheetId="22">'[1]比较法-公开'!$B$71:$M$71</definedName>
    <definedName name="套工用途" localSheetId="36">'比较法-成本 (搭配划拨)'!$B$71:$M$71</definedName>
    <definedName name="套工用途" localSheetId="44">'[1]比较法-公开'!$B$71:$M$71</definedName>
    <definedName name="套工用途">'比较法-工业'!$B$71:$M$71</definedName>
    <definedName name="套工宗地形状" localSheetId="22">'[1]比较法-公开'!$B$111:$M$111</definedName>
    <definedName name="套工宗地形状" localSheetId="36">'比较法-成本 (搭配划拨)'!$B$111:$M$111</definedName>
    <definedName name="套工宗地形状" localSheetId="44">'[1]比较法-公开'!$B$111:$M$111</definedName>
    <definedName name="套工宗地形状">'比较法-工业'!$B$111:$M$111</definedName>
    <definedName name="套综道路等级" localSheetId="22">'[1]比较法-住宅、综合'!$B$107:$M$107</definedName>
    <definedName name="套综道路等级" localSheetId="36">'[1]比较法-住宅、综合'!$B$107:$M$107</definedName>
    <definedName name="套综道路等级" localSheetId="44">'[1]比较法-住宅、综合'!$B$107:$M$107</definedName>
    <definedName name="套综道路等级">'比较法-住宅、综合'!$B$107:$M$107</definedName>
    <definedName name="套综工程地质条件" localSheetId="22">'[1]比较法-住宅、综合'!$B$126:$M$126</definedName>
    <definedName name="套综工程地质条件" localSheetId="36">'[1]比较法-住宅、综合'!$B$126:$M$126</definedName>
    <definedName name="套综工程地质条件" localSheetId="44">'[1]比较法-住宅、综合'!$B$126:$M$126</definedName>
    <definedName name="套综工程地质条件">'比较法-住宅、综合'!$B$126:$M$126</definedName>
    <definedName name="套综交易情况" localSheetId="22">'[1]比较法-住宅、综合'!$A$74:$M$74</definedName>
    <definedName name="套综交易情况" localSheetId="36">'[1]比较法-住宅、综合'!$A$74:$M$74</definedName>
    <definedName name="套综交易情况" localSheetId="44">'[1]比较法-住宅、综合'!$A$74:$M$74</definedName>
    <definedName name="套综交易情况">'比较法-住宅、综合'!$A$74:$M$74</definedName>
    <definedName name="套综临街宽度及深度" localSheetId="22">'[1]比较法-住宅、综合'!$B$122:$M$122</definedName>
    <definedName name="套综临街宽度及深度" localSheetId="36">'[1]比较法-住宅、综合'!$B$122:$M$122</definedName>
    <definedName name="套综临街宽度及深度" localSheetId="44">'[1]比较法-住宅、综合'!$B$122:$M$122</definedName>
    <definedName name="套综临街宽度及深度">'比较法-住宅、综合'!$B$122:$M$122</definedName>
    <definedName name="套综土地级别" localSheetId="22">'[1]比较法-住宅、综合'!$B$109:$M$109</definedName>
    <definedName name="套综土地级别" localSheetId="36">'[1]比较法-住宅、综合'!$B$109:$M$109</definedName>
    <definedName name="套综土地级别" localSheetId="44">'[1]比较法-住宅、综合'!$B$109:$M$109</definedName>
    <definedName name="套综土地级别">'比较法-住宅、综合'!$B$109:$M$109</definedName>
    <definedName name="套综用途" localSheetId="22">'[1]比较法-住宅、综合'!$B$76:$M$76</definedName>
    <definedName name="套综用途" localSheetId="36">'[1]比较法-住宅、综合'!$B$76:$M$76</definedName>
    <definedName name="套综用途" localSheetId="44">'[1]比较法-住宅、综合'!$B$76:$M$76</definedName>
    <definedName name="套综用途">'比较法-住宅、综合'!$B$76:$M$76</definedName>
    <definedName name="套综宗地内开发程度" localSheetId="22">'[1]比较法-住宅、综合'!$B$124:$M$124</definedName>
    <definedName name="套综宗地内开发程度" localSheetId="36">'[1]比较法-住宅、综合'!$B$124:$M$124</definedName>
    <definedName name="套综宗地内开发程度" localSheetId="44">'[1]比较法-住宅、综合'!$B$124:$M$124</definedName>
    <definedName name="套综宗地内开发程度">'比较法-住宅、综合'!$B$124:$M$124</definedName>
    <definedName name="套综宗地形状" localSheetId="22">'[1]比较法-住宅、综合'!$B$120:$M$120</definedName>
    <definedName name="套综宗地形状" localSheetId="36">'[1]比较法-住宅、综合'!$B$120:$M$120</definedName>
    <definedName name="套综宗地形状" localSheetId="44">'[1]比较法-住宅、综合'!$B$120:$M$120</definedName>
    <definedName name="套综宗地形状">'比较法-住宅、综合'!$B$120:$M$120</definedName>
    <definedName name="土地估价师" localSheetId="22">[1]估价师及机构信息!$D$3:$D$17</definedName>
    <definedName name="土地估价师" localSheetId="36">[1]估价师及机构信息!$D$3:$D$17</definedName>
    <definedName name="土地估价师" localSheetId="44">[1]估价师及机构信息!$D$3:$D$17</definedName>
    <definedName name="土地估价师">估价师及机构信息!$D$3:$D$17</definedName>
    <definedName name="土地级别" localSheetId="22">[1]定义!$C$1:$C$14</definedName>
    <definedName name="土地级别" localSheetId="36">[1]定义!$C$1:$C$14</definedName>
    <definedName name="土地级别" localSheetId="44">[1]定义!$C$1:$C$14</definedName>
    <definedName name="土地级别">定义!$C$1:$C$14</definedName>
    <definedName name="土地利用方向">定义!$P$1:$P$6</definedName>
    <definedName name="土地年限区间">定义!$I$1:$I$16</definedName>
    <definedName name="位置" localSheetId="22">[1]定义!$E$2:$E$4</definedName>
    <definedName name="位置" localSheetId="36">[1]定义!$E$2:$E$4</definedName>
    <definedName name="位置" localSheetId="44">[1]定义!$E$2:$E$4</definedName>
    <definedName name="位置">定义!$E$2:$E$4</definedName>
    <definedName name="五等判定" localSheetId="22">[1]定义!$W$1:$W$6</definedName>
    <definedName name="五等判定" localSheetId="36">[1]定义!$W$1:$W$6</definedName>
    <definedName name="五等判定" localSheetId="44">[1]定义!$W$1:$W$6</definedName>
    <definedName name="五等判定">定义!$W$1:$W$6</definedName>
    <definedName name="五级">区片价!$N$1:$N$41</definedName>
    <definedName name="项目类型" localSheetId="22">'[1]数据-汇总表'!$C$17:$C$26</definedName>
    <definedName name="项目类型" localSheetId="36">'[1]数据-汇总表'!$C$17:$C$26</definedName>
    <definedName name="项目类型" localSheetId="34">'[3]数据-汇总表'!$C$17:$C$26</definedName>
    <definedName name="项目类型" localSheetId="44">'[1]数据-汇总表'!$C$17:$C$26</definedName>
    <definedName name="项目类型">'数据-汇总表'!$C$17:$C$26</definedName>
    <definedName name="写字楼等级" localSheetId="22">'[1]不动产比较法-办公'!$B$113:$M$113</definedName>
    <definedName name="写字楼等级" localSheetId="36">'[1]不动产比较法-办公'!$B$113:$M$113</definedName>
    <definedName name="写字楼等级" localSheetId="44">'[1]不动产比较法-办公'!$B$113:$M$113</definedName>
    <definedName name="写字楼等级">'不动产比较法-办公'!$B$113:$M$113</definedName>
    <definedName name="一级">区片价!$J$1:$J$6</definedName>
    <definedName name="一修多修正项2" localSheetId="22">[1]典型户型修正!$5:$5</definedName>
    <definedName name="一修多修正项2" localSheetId="36">[1]典型户型修正!$5:$5</definedName>
    <definedName name="一修多修正项2" localSheetId="44">[1]典型户型修正!$5:$5</definedName>
    <definedName name="一修多修正项2">典型户型修正!$5:$5</definedName>
    <definedName name="一修多修正项3" localSheetId="22">[1]典型户型修正!$7:$7</definedName>
    <definedName name="一修多修正项3" localSheetId="36">[1]典型户型修正!$7:$7</definedName>
    <definedName name="一修多修正项3" localSheetId="44">[1]典型户型修正!$7:$7</definedName>
    <definedName name="一修多修正项3">典型户型修正!$7:$7</definedName>
    <definedName name="一修多修正项4" localSheetId="22">[1]典型户型修正!$9:$9</definedName>
    <definedName name="一修多修正项4" localSheetId="36">[1]典型户型修正!$9:$9</definedName>
    <definedName name="一修多修正项4" localSheetId="44">[1]典型户型修正!$9:$9</definedName>
    <definedName name="一修多修正项4">典型户型修正!$9:$9</definedName>
    <definedName name="一修多修正项5" localSheetId="22">[1]典型户型修正!$11:$11</definedName>
    <definedName name="一修多修正项5" localSheetId="36">[1]典型户型修正!$11:$11</definedName>
    <definedName name="一修多修正项5" localSheetId="44">[1]典型户型修正!$11:$11</definedName>
    <definedName name="一修多修正项5">典型户型修正!$11:$11</definedName>
    <definedName name="一修多修正项6" localSheetId="22">[1]典型户型修正!$13:$13</definedName>
    <definedName name="一修多修正项6" localSheetId="36">[1]典型户型修正!$13:$13</definedName>
    <definedName name="一修多修正项6" localSheetId="44">[1]典型户型修正!$13:$13</definedName>
    <definedName name="一修多修正项6">典型户型修正!$13:$13</definedName>
    <definedName name="一修多修正项7" localSheetId="22">[1]典型户型修正!$15:$15</definedName>
    <definedName name="一修多修正项7" localSheetId="36">[1]典型户型修正!$15:$15</definedName>
    <definedName name="一修多修正项7" localSheetId="44">[1]典型户型修正!$15:$15</definedName>
    <definedName name="一修多修正项7">典型户型修正!$15:$15</definedName>
    <definedName name="一修多修正项8" localSheetId="22">[1]典型户型修正!$17:$17</definedName>
    <definedName name="一修多修正项8" localSheetId="36">[1]典型户型修正!$17:$17</definedName>
    <definedName name="一修多修正项8" localSheetId="44">[1]典型户型修正!$17:$17</definedName>
    <definedName name="一修多修正项8">典型户型修正!$17:$17</definedName>
    <definedName name="用途类型" localSheetId="22">[1]定义!$A$1:$A$50</definedName>
    <definedName name="用途类型" localSheetId="36">[1]定义!$A$1:$A$50</definedName>
    <definedName name="用途类型" localSheetId="44">[1]定义!$A$1:$A$50</definedName>
    <definedName name="用途类型">定义!$A$1:$A$50</definedName>
    <definedName name="有无电梯" localSheetId="22">'[1]不动产比较法-仓储'!$B$84:$M$84</definedName>
    <definedName name="有无电梯" localSheetId="36">'[1]不动产比较法-仓储'!$B$84:$M$84</definedName>
    <definedName name="有无电梯" localSheetId="44">'[1]不动产比较法-仓储'!$B$84:$M$84</definedName>
    <definedName name="有无电梯">'不动产比较法-仓储'!$B$84:$M$84</definedName>
    <definedName name="主用途" localSheetId="22">[1]定义!$F$1:$F$12</definedName>
    <definedName name="主用途" localSheetId="36">[1]定义!$F$1:$F$12</definedName>
    <definedName name="主用途" localSheetId="44">[1]定义!$F$1:$F$12</definedName>
    <definedName name="主用途">定义!$F$1:$F$12</definedName>
    <definedName name="住宅朝向" localSheetId="22">'[1]不动产比较法-住宅'!$B$88:$M$88</definedName>
    <definedName name="住宅朝向" localSheetId="36">'[1]不动产比较法-住宅'!$B$88:$M$88</definedName>
    <definedName name="住宅朝向" localSheetId="44">'[1]不动产比较法-住宅'!$B$88:$M$88</definedName>
    <definedName name="住宅朝向">'不动产比较法-住宅'!$B$88:$M$88</definedName>
    <definedName name="住宅房型" localSheetId="22">'[1]不动产比较法-住宅'!$B$118:$M$118</definedName>
    <definedName name="住宅房型" localSheetId="36">'[1]不动产比较法-住宅'!$B$118:$M$118</definedName>
    <definedName name="住宅房型" localSheetId="44">'[1]不动产比较法-住宅'!$B$118:$M$118</definedName>
    <definedName name="住宅房型">'不动产比较法-住宅'!$B$118:$M$118</definedName>
    <definedName name="住宅公共部分装修" localSheetId="22">'[1]不动产比较法-住宅'!$B$109:$M$109</definedName>
    <definedName name="住宅公共部分装修" localSheetId="36">'[1]不动产比较法-住宅'!$B$109:$M$109</definedName>
    <definedName name="住宅公共部分装修" localSheetId="44">'[1]不动产比较法-住宅'!$B$109:$M$109</definedName>
    <definedName name="住宅公共部分装修">'不动产比较法-住宅'!$B$109:$M$109</definedName>
    <definedName name="住宅基础设施水平" localSheetId="22">'[1]不动产比较法-住宅'!$B$116:$M$116</definedName>
    <definedName name="住宅基础设施水平" localSheetId="36">'[1]不动产比较法-住宅'!$B$116:$M$116</definedName>
    <definedName name="住宅基础设施水平" localSheetId="44">'[1]不动产比较法-住宅'!$B$116:$M$116</definedName>
    <definedName name="住宅基础设施水平">'不动产比较法-住宅'!$B$116:$M$116</definedName>
    <definedName name="住宅建筑结构" localSheetId="22">'[1]不动产比较法-住宅'!$B$105:$M$105</definedName>
    <definedName name="住宅建筑结构" localSheetId="36">'[1]不动产比较法-住宅'!$B$105:$M$105</definedName>
    <definedName name="住宅建筑结构" localSheetId="44">'[1]不动产比较法-住宅'!$B$105:$M$105</definedName>
    <definedName name="住宅建筑结构">'不动产比较法-住宅'!$B$105:$M$105</definedName>
    <definedName name="住宅建筑类型" localSheetId="22">'[1]不动产比较法-住宅'!$B$100:$M$100</definedName>
    <definedName name="住宅建筑类型" localSheetId="36">'[1]不动产比较法-住宅'!$B$100:$M$100</definedName>
    <definedName name="住宅建筑类型" localSheetId="44">'[1]不动产比较法-住宅'!$B$100:$M$100</definedName>
    <definedName name="住宅建筑类型">'不动产比较法-住宅'!$B$100:$M$100</definedName>
    <definedName name="住宅建筑品质" localSheetId="22">'[1]不动产比较法-住宅'!$B$107:$M$107</definedName>
    <definedName name="住宅建筑品质" localSheetId="36">'[1]不动产比较法-住宅'!$B$107:$M$107</definedName>
    <definedName name="住宅建筑品质" localSheetId="44">'[1]不动产比较法-住宅'!$B$107:$M$107</definedName>
    <definedName name="住宅建筑品质">'不动产比较法-住宅'!$B$107:$M$107</definedName>
    <definedName name="住宅交易情况" localSheetId="22">'[1]不动产比较法-住宅'!$A$61:$M$61</definedName>
    <definedName name="住宅交易情况" localSheetId="36">'[1]不动产比较法-住宅'!$A$61:$M$61</definedName>
    <definedName name="住宅交易情况" localSheetId="44">'[1]不动产比较法-住宅'!$A$61:$M$61</definedName>
    <definedName name="住宅交易情况">'不动产比较法-住宅'!$A$61:$M$61</definedName>
    <definedName name="住宅楼层" localSheetId="22">'[1]不动产比较法-住宅'!$B$86:$M$86</definedName>
    <definedName name="住宅楼层" localSheetId="36">'[1]不动产比较法-住宅'!$B$86:$M$86</definedName>
    <definedName name="住宅楼层" localSheetId="44">'[1]不动产比较法-住宅'!$B$86:$M$86</definedName>
    <definedName name="住宅楼层">'不动产比较法-住宅'!$B$86:$M$86</definedName>
    <definedName name="住宅内部装修" localSheetId="22">'[1]不动产比较法-住宅'!$B$122:$M$122</definedName>
    <definedName name="住宅内部装修" localSheetId="36">'[1]不动产比较法-住宅'!$B$122:$M$122</definedName>
    <definedName name="住宅内部装修" localSheetId="44">'[1]不动产比较法-住宅'!$B$122:$M$122</definedName>
    <definedName name="住宅内部装修">'不动产比较法-住宅'!$B$122:$M$122</definedName>
    <definedName name="住宅物业管理" localSheetId="22">'[1]不动产比较法-住宅'!$B$114:$M$114</definedName>
    <definedName name="住宅物业管理" localSheetId="36">'[1]不动产比较法-住宅'!$B$114:$M$114</definedName>
    <definedName name="住宅物业管理" localSheetId="44">'[1]不动产比较法-住宅'!$B$114:$M$114</definedName>
    <definedName name="住宅物业管理">'不动产比较法-住宅'!$B$114:$M$114</definedName>
    <definedName name="住宅用途" localSheetId="22">'[1]不动产比较法-住宅'!$B$63:$M$63</definedName>
    <definedName name="住宅用途" localSheetId="36">'[1]不动产比较法-住宅'!$B$63:$M$63</definedName>
    <definedName name="住宅用途" localSheetId="44">'[1]不动产比较法-住宅'!$B$63:$M$63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C9" i="74" l="1"/>
  <c r="C7" i="40" l="1"/>
  <c r="D5" i="9"/>
  <c r="U67" i="40"/>
  <c r="V67" i="40" s="1"/>
  <c r="W67" i="40" s="1"/>
  <c r="X67" i="40" s="1"/>
  <c r="Y67" i="40" s="1"/>
  <c r="H67" i="40"/>
  <c r="I67" i="40" s="1"/>
  <c r="J67" i="40" s="1"/>
  <c r="K67" i="40" s="1"/>
  <c r="L67" i="40" s="1"/>
  <c r="M67" i="40" s="1"/>
  <c r="N67" i="40" s="1"/>
  <c r="O67" i="40" s="1"/>
  <c r="P67" i="40" s="1"/>
  <c r="Q67" i="40" s="1"/>
  <c r="R67" i="40" s="1"/>
  <c r="S67" i="40" s="1"/>
  <c r="T67" i="40" s="1"/>
  <c r="E67" i="40"/>
  <c r="F67" i="40" s="1"/>
  <c r="G67" i="40" s="1"/>
  <c r="D67" i="40"/>
  <c r="I36" i="40"/>
  <c r="G36" i="40"/>
  <c r="E36" i="40"/>
  <c r="C36" i="40"/>
  <c r="I43" i="40"/>
  <c r="G43" i="40"/>
  <c r="E43" i="40"/>
  <c r="I12" i="40"/>
  <c r="G12" i="40"/>
  <c r="E12" i="40"/>
  <c r="I9" i="40"/>
  <c r="G9" i="40"/>
  <c r="E9" i="40"/>
  <c r="I7" i="40"/>
  <c r="G7" i="40"/>
  <c r="E7" i="40"/>
  <c r="B29" i="1"/>
  <c r="D8" i="11"/>
  <c r="C36" i="74"/>
  <c r="I9" i="74"/>
  <c r="G9" i="74"/>
  <c r="E9" i="74"/>
  <c r="B121" i="74"/>
  <c r="B119" i="74"/>
  <c r="B117" i="74"/>
  <c r="E116" i="74"/>
  <c r="F116" i="74" s="1"/>
  <c r="G116" i="74" s="1"/>
  <c r="H116" i="74" s="1"/>
  <c r="I116" i="74" s="1"/>
  <c r="J116" i="74" s="1"/>
  <c r="K116" i="74" s="1"/>
  <c r="L116" i="74" s="1"/>
  <c r="M116" i="74" s="1"/>
  <c r="D116" i="74"/>
  <c r="E114" i="74"/>
  <c r="F114" i="74" s="1"/>
  <c r="G114" i="74" s="1"/>
  <c r="H114" i="74" s="1"/>
  <c r="I114" i="74" s="1"/>
  <c r="J114" i="74" s="1"/>
  <c r="K114" i="74" s="1"/>
  <c r="L114" i="74" s="1"/>
  <c r="M114" i="74" s="1"/>
  <c r="D114" i="74"/>
  <c r="E112" i="74"/>
  <c r="F112" i="74" s="1"/>
  <c r="G112" i="74" s="1"/>
  <c r="H112" i="74" s="1"/>
  <c r="I112" i="74" s="1"/>
  <c r="J112" i="74" s="1"/>
  <c r="K112" i="74" s="1"/>
  <c r="L112" i="74" s="1"/>
  <c r="M112" i="74" s="1"/>
  <c r="D112" i="74"/>
  <c r="D110" i="74"/>
  <c r="E110" i="74" s="1"/>
  <c r="M108" i="74"/>
  <c r="L108" i="74"/>
  <c r="K108" i="74"/>
  <c r="J108" i="74"/>
  <c r="I108" i="74"/>
  <c r="H108" i="74"/>
  <c r="G108" i="74"/>
  <c r="F108" i="74"/>
  <c r="E108" i="74"/>
  <c r="D108" i="74"/>
  <c r="C108" i="74"/>
  <c r="B106" i="74"/>
  <c r="F35" i="74" s="1"/>
  <c r="B104" i="74"/>
  <c r="D103" i="74"/>
  <c r="B102" i="74"/>
  <c r="E101" i="74"/>
  <c r="F101" i="74" s="1"/>
  <c r="G101" i="74" s="1"/>
  <c r="H101" i="74" s="1"/>
  <c r="I101" i="74" s="1"/>
  <c r="J101" i="74" s="1"/>
  <c r="K101" i="74" s="1"/>
  <c r="L101" i="74" s="1"/>
  <c r="M101" i="74" s="1"/>
  <c r="D101" i="74"/>
  <c r="E99" i="74"/>
  <c r="F99" i="74" s="1"/>
  <c r="G99" i="74" s="1"/>
  <c r="H99" i="74" s="1"/>
  <c r="I99" i="74" s="1"/>
  <c r="J99" i="74" s="1"/>
  <c r="K99" i="74" s="1"/>
  <c r="L99" i="74" s="1"/>
  <c r="M99" i="74" s="1"/>
  <c r="D99" i="74"/>
  <c r="E97" i="74"/>
  <c r="F97" i="74" s="1"/>
  <c r="G97" i="74" s="1"/>
  <c r="H97" i="74" s="1"/>
  <c r="I97" i="74" s="1"/>
  <c r="J97" i="74" s="1"/>
  <c r="K97" i="74" s="1"/>
  <c r="L97" i="74" s="1"/>
  <c r="M97" i="74" s="1"/>
  <c r="D97" i="74"/>
  <c r="B96" i="74"/>
  <c r="F95" i="74"/>
  <c r="G95" i="74" s="1"/>
  <c r="E95" i="74"/>
  <c r="D95" i="74"/>
  <c r="F93" i="74"/>
  <c r="G93" i="74" s="1"/>
  <c r="E93" i="74"/>
  <c r="D93" i="74"/>
  <c r="F91" i="74"/>
  <c r="G91" i="74" s="1"/>
  <c r="E91" i="74"/>
  <c r="D91" i="74"/>
  <c r="F89" i="74"/>
  <c r="G89" i="74" s="1"/>
  <c r="E89" i="74"/>
  <c r="D89" i="74"/>
  <c r="F87" i="74"/>
  <c r="G87" i="74" s="1"/>
  <c r="E87" i="74"/>
  <c r="D87" i="74"/>
  <c r="F85" i="74"/>
  <c r="G85" i="74" s="1"/>
  <c r="E85" i="74"/>
  <c r="D85" i="74"/>
  <c r="B82" i="74"/>
  <c r="B80" i="74"/>
  <c r="B78" i="74"/>
  <c r="E77" i="74"/>
  <c r="F77" i="74" s="1"/>
  <c r="G77" i="74" s="1"/>
  <c r="H77" i="74" s="1"/>
  <c r="I77" i="74" s="1"/>
  <c r="J77" i="74" s="1"/>
  <c r="K77" i="74" s="1"/>
  <c r="L77" i="74" s="1"/>
  <c r="M77" i="74" s="1"/>
  <c r="D77" i="74"/>
  <c r="M75" i="74"/>
  <c r="L75" i="74"/>
  <c r="K75" i="74"/>
  <c r="J75" i="74"/>
  <c r="I75" i="74"/>
  <c r="H75" i="74"/>
  <c r="G75" i="74"/>
  <c r="F75" i="74"/>
  <c r="E75" i="74"/>
  <c r="D75" i="74"/>
  <c r="C75" i="74"/>
  <c r="M68" i="74"/>
  <c r="L68" i="74"/>
  <c r="K68" i="74"/>
  <c r="J68" i="74"/>
  <c r="I68" i="74"/>
  <c r="H68" i="74"/>
  <c r="G68" i="74"/>
  <c r="F68" i="74"/>
  <c r="E68" i="74"/>
  <c r="D68" i="74"/>
  <c r="D67" i="74" s="1"/>
  <c r="B67" i="74"/>
  <c r="E62" i="74"/>
  <c r="H61" i="74"/>
  <c r="I61" i="74" s="1"/>
  <c r="C61" i="74" s="1"/>
  <c r="E61" i="74"/>
  <c r="H60" i="74"/>
  <c r="I60" i="74" s="1"/>
  <c r="C60" i="74" s="1"/>
  <c r="E60" i="74"/>
  <c r="H59" i="74"/>
  <c r="I59" i="74" s="1"/>
  <c r="C59" i="74" s="1"/>
  <c r="E59" i="74"/>
  <c r="H58" i="74"/>
  <c r="I58" i="74" s="1"/>
  <c r="C58" i="74" s="1"/>
  <c r="E58" i="74"/>
  <c r="H57" i="74"/>
  <c r="I57" i="74" s="1"/>
  <c r="C57" i="74" s="1"/>
  <c r="E57" i="74"/>
  <c r="H56" i="74"/>
  <c r="I56" i="74" s="1"/>
  <c r="C56" i="74" s="1"/>
  <c r="H55" i="74"/>
  <c r="I55" i="74" s="1"/>
  <c r="C55" i="74" s="1"/>
  <c r="H54" i="74"/>
  <c r="I54" i="74" s="1"/>
  <c r="C54" i="74" s="1"/>
  <c r="E53" i="74"/>
  <c r="J52" i="74"/>
  <c r="P45" i="74"/>
  <c r="P44" i="74"/>
  <c r="K44" i="74"/>
  <c r="P43" i="74"/>
  <c r="AC42" i="74"/>
  <c r="AB42" i="74"/>
  <c r="AA42" i="74"/>
  <c r="W42" i="74"/>
  <c r="U42" i="74"/>
  <c r="S42" i="74"/>
  <c r="Q42" i="74"/>
  <c r="Z42" i="74" s="1"/>
  <c r="J42" i="74"/>
  <c r="H42" i="74"/>
  <c r="F42" i="74"/>
  <c r="AB41" i="74"/>
  <c r="AA41" i="74"/>
  <c r="Z41" i="74"/>
  <c r="U41" i="74"/>
  <c r="S41" i="74"/>
  <c r="Q41" i="74"/>
  <c r="J41" i="74"/>
  <c r="AC41" i="74" s="1"/>
  <c r="H41" i="74"/>
  <c r="F41" i="74"/>
  <c r="AA40" i="74"/>
  <c r="Z40" i="74"/>
  <c r="S40" i="74"/>
  <c r="Q40" i="74"/>
  <c r="I40" i="74"/>
  <c r="J40" i="74" s="1"/>
  <c r="H40" i="74"/>
  <c r="AB40" i="74" s="1"/>
  <c r="G40" i="74"/>
  <c r="F40" i="74"/>
  <c r="AB39" i="74"/>
  <c r="AA39" i="74"/>
  <c r="Z39" i="74"/>
  <c r="U39" i="74"/>
  <c r="S39" i="74"/>
  <c r="Q39" i="74"/>
  <c r="J39" i="74"/>
  <c r="AC39" i="74" s="1"/>
  <c r="H39" i="74"/>
  <c r="F39" i="74"/>
  <c r="AC38" i="74"/>
  <c r="AA38" i="74"/>
  <c r="Z38" i="74"/>
  <c r="W38" i="74"/>
  <c r="S38" i="74"/>
  <c r="Q38" i="74"/>
  <c r="J38" i="74"/>
  <c r="H38" i="74"/>
  <c r="AB38" i="74" s="1"/>
  <c r="F38" i="74"/>
  <c r="AC37" i="74"/>
  <c r="AB37" i="74"/>
  <c r="Z37" i="74"/>
  <c r="W37" i="74"/>
  <c r="U37" i="74"/>
  <c r="Q37" i="74"/>
  <c r="J37" i="74"/>
  <c r="H37" i="74"/>
  <c r="F37" i="74"/>
  <c r="AA37" i="74" s="1"/>
  <c r="Q36" i="74"/>
  <c r="Z36" i="74" s="1"/>
  <c r="Z35" i="74"/>
  <c r="Q35" i="74"/>
  <c r="J35" i="74"/>
  <c r="AC35" i="74" s="1"/>
  <c r="H35" i="74"/>
  <c r="AB35" i="74" s="1"/>
  <c r="AC34" i="74"/>
  <c r="AA34" i="74"/>
  <c r="Z34" i="74"/>
  <c r="W34" i="74"/>
  <c r="S34" i="74"/>
  <c r="Q34" i="74"/>
  <c r="J34" i="74"/>
  <c r="H34" i="74"/>
  <c r="AB34" i="74" s="1"/>
  <c r="F34" i="74"/>
  <c r="AC33" i="74"/>
  <c r="Z33" i="74"/>
  <c r="W33" i="74"/>
  <c r="U33" i="74"/>
  <c r="Q33" i="74"/>
  <c r="J33" i="74"/>
  <c r="H33" i="74"/>
  <c r="AB33" i="74" s="1"/>
  <c r="F33" i="74"/>
  <c r="AA33" i="74" s="1"/>
  <c r="Q32" i="74"/>
  <c r="Z32" i="74" s="1"/>
  <c r="C32" i="74"/>
  <c r="H32" i="74" s="1"/>
  <c r="AC30" i="74"/>
  <c r="AB30" i="74"/>
  <c r="AA30" i="74"/>
  <c r="W30" i="74"/>
  <c r="U30" i="74"/>
  <c r="S30" i="74"/>
  <c r="Q30" i="74"/>
  <c r="Z30" i="74" s="1"/>
  <c r="J30" i="74"/>
  <c r="H30" i="74"/>
  <c r="F30" i="74"/>
  <c r="C30" i="74"/>
  <c r="AC29" i="74"/>
  <c r="AB29" i="74"/>
  <c r="AA29" i="74"/>
  <c r="W29" i="74"/>
  <c r="U29" i="74"/>
  <c r="S29" i="74"/>
  <c r="Q29" i="74"/>
  <c r="Z29" i="74" s="1"/>
  <c r="J29" i="74"/>
  <c r="H29" i="74"/>
  <c r="F29" i="74"/>
  <c r="AB27" i="74"/>
  <c r="Z27" i="74"/>
  <c r="U27" i="74"/>
  <c r="Q27" i="74"/>
  <c r="J27" i="74"/>
  <c r="AC27" i="74" s="1"/>
  <c r="H27" i="74"/>
  <c r="F27" i="74"/>
  <c r="AA27" i="74" s="1"/>
  <c r="C27" i="74"/>
  <c r="Z25" i="74"/>
  <c r="Q25" i="74"/>
  <c r="J25" i="74"/>
  <c r="AC25" i="74" s="1"/>
  <c r="H25" i="74"/>
  <c r="AB25" i="74" s="1"/>
  <c r="F25" i="74"/>
  <c r="AA25" i="74" s="1"/>
  <c r="C25" i="74"/>
  <c r="Z23" i="74"/>
  <c r="Q23" i="74"/>
  <c r="J23" i="74"/>
  <c r="AC23" i="74" s="1"/>
  <c r="H23" i="74"/>
  <c r="AB23" i="74" s="1"/>
  <c r="F23" i="74"/>
  <c r="AA23" i="74" s="1"/>
  <c r="C23" i="74"/>
  <c r="AB21" i="74"/>
  <c r="AA21" i="74"/>
  <c r="Z21" i="74"/>
  <c r="U21" i="74"/>
  <c r="S21" i="74"/>
  <c r="Q21" i="74"/>
  <c r="M21" i="74"/>
  <c r="J21" i="74"/>
  <c r="AC21" i="74" s="1"/>
  <c r="H21" i="74"/>
  <c r="F21" i="74"/>
  <c r="C21" i="74"/>
  <c r="AA19" i="74"/>
  <c r="W19" i="74"/>
  <c r="S19" i="74"/>
  <c r="Q19" i="74"/>
  <c r="Z19" i="74" s="1"/>
  <c r="J19" i="74"/>
  <c r="AC19" i="74" s="1"/>
  <c r="H19" i="74"/>
  <c r="AB19" i="74" s="1"/>
  <c r="F19" i="74"/>
  <c r="C19" i="74"/>
  <c r="AA17" i="74"/>
  <c r="S17" i="74"/>
  <c r="Q17" i="74"/>
  <c r="Z17" i="74" s="1"/>
  <c r="J17" i="74"/>
  <c r="W17" i="74" s="1"/>
  <c r="H17" i="74"/>
  <c r="AB17" i="74" s="1"/>
  <c r="F17" i="74"/>
  <c r="C17" i="74"/>
  <c r="AC16" i="74"/>
  <c r="AA16" i="74"/>
  <c r="W16" i="74"/>
  <c r="S16" i="74"/>
  <c r="Q16" i="74"/>
  <c r="Z16" i="74" s="1"/>
  <c r="J16" i="74"/>
  <c r="H16" i="74"/>
  <c r="AB16" i="74" s="1"/>
  <c r="F16" i="74"/>
  <c r="Q15" i="74"/>
  <c r="Z15" i="74" s="1"/>
  <c r="J15" i="74"/>
  <c r="AC15" i="74" s="1"/>
  <c r="H15" i="74"/>
  <c r="U15" i="74" s="1"/>
  <c r="F15" i="74"/>
  <c r="AA15" i="74" s="1"/>
  <c r="Q14" i="74"/>
  <c r="Z14" i="74" s="1"/>
  <c r="J14" i="74"/>
  <c r="AC14" i="74" s="1"/>
  <c r="H14" i="74"/>
  <c r="AB14" i="74" s="1"/>
  <c r="F14" i="74"/>
  <c r="AA14" i="74" s="1"/>
  <c r="Z13" i="74"/>
  <c r="Q13" i="74"/>
  <c r="J13" i="74"/>
  <c r="AC13" i="74" s="1"/>
  <c r="H13" i="74"/>
  <c r="AB13" i="74" s="1"/>
  <c r="F13" i="74"/>
  <c r="AA13" i="74" s="1"/>
  <c r="Q12" i="74"/>
  <c r="Z12" i="74" s="1"/>
  <c r="J12" i="74"/>
  <c r="AC12" i="74" s="1"/>
  <c r="I12" i="74"/>
  <c r="H12" i="74"/>
  <c r="U12" i="74" s="1"/>
  <c r="G12" i="74"/>
  <c r="F12" i="74"/>
  <c r="E12" i="74"/>
  <c r="AA11" i="74"/>
  <c r="Q11" i="74"/>
  <c r="Z11" i="74" s="1"/>
  <c r="J11" i="74"/>
  <c r="AC11" i="74" s="1"/>
  <c r="H11" i="74"/>
  <c r="AB11" i="74" s="1"/>
  <c r="F11" i="74"/>
  <c r="S11" i="74" s="1"/>
  <c r="AA10" i="74"/>
  <c r="W10" i="74"/>
  <c r="J10" i="74"/>
  <c r="AC10" i="74" s="1"/>
  <c r="H10" i="74"/>
  <c r="F10" i="74"/>
  <c r="S10" i="74" s="1"/>
  <c r="C64" i="74"/>
  <c r="D64" i="74" s="1"/>
  <c r="G27" i="73"/>
  <c r="H27" i="73" s="1"/>
  <c r="G26" i="73"/>
  <c r="P24" i="73"/>
  <c r="P23" i="73"/>
  <c r="P22" i="73"/>
  <c r="P21" i="73"/>
  <c r="P20" i="73"/>
  <c r="P19" i="73"/>
  <c r="P18" i="73"/>
  <c r="P17" i="73"/>
  <c r="P16" i="73"/>
  <c r="P15" i="73"/>
  <c r="O14" i="73"/>
  <c r="P14" i="73" s="1"/>
  <c r="H12" i="73"/>
  <c r="G12" i="73"/>
  <c r="F12" i="73"/>
  <c r="J12" i="73" s="1"/>
  <c r="K12" i="73" s="1"/>
  <c r="E12" i="73"/>
  <c r="D12" i="73"/>
  <c r="B12" i="73"/>
  <c r="H11" i="73"/>
  <c r="G11" i="73"/>
  <c r="F11" i="73"/>
  <c r="E11" i="73"/>
  <c r="D11" i="73"/>
  <c r="B11" i="73"/>
  <c r="H10" i="73"/>
  <c r="G10" i="73"/>
  <c r="F10" i="73"/>
  <c r="J10" i="73" s="1"/>
  <c r="K10" i="73" s="1"/>
  <c r="E10" i="73"/>
  <c r="D10" i="73"/>
  <c r="B10" i="73"/>
  <c r="H9" i="73"/>
  <c r="G9" i="73"/>
  <c r="F9" i="73"/>
  <c r="E9" i="73"/>
  <c r="D9" i="73"/>
  <c r="B9" i="73"/>
  <c r="H8" i="73"/>
  <c r="G8" i="73"/>
  <c r="F8" i="73"/>
  <c r="J8" i="73" s="1"/>
  <c r="K8" i="73" s="1"/>
  <c r="E8" i="73"/>
  <c r="D8" i="73"/>
  <c r="B8" i="73"/>
  <c r="H7" i="73"/>
  <c r="G7" i="73"/>
  <c r="F7" i="73"/>
  <c r="E7" i="73"/>
  <c r="D7" i="73"/>
  <c r="B7" i="73"/>
  <c r="H6" i="73"/>
  <c r="G6" i="73"/>
  <c r="F6" i="73"/>
  <c r="J6" i="73" s="1"/>
  <c r="I43" i="74" s="1"/>
  <c r="E6" i="73"/>
  <c r="D6" i="73"/>
  <c r="I36" i="74" s="1"/>
  <c r="B6" i="73"/>
  <c r="I7" i="74" s="1"/>
  <c r="H5" i="73"/>
  <c r="G5" i="73"/>
  <c r="F5" i="73"/>
  <c r="E5" i="73"/>
  <c r="D5" i="73"/>
  <c r="B5" i="73"/>
  <c r="H4" i="73"/>
  <c r="G4" i="73"/>
  <c r="F4" i="73"/>
  <c r="J4" i="73" s="1"/>
  <c r="G43" i="74" s="1"/>
  <c r="E4" i="73"/>
  <c r="D4" i="73"/>
  <c r="G36" i="74" s="1"/>
  <c r="H36" i="74" s="1"/>
  <c r="B4" i="73"/>
  <c r="G7" i="74" s="1"/>
  <c r="H3" i="73"/>
  <c r="G3" i="73"/>
  <c r="F3" i="73"/>
  <c r="E3" i="73"/>
  <c r="D3" i="73"/>
  <c r="E36" i="74" s="1"/>
  <c r="F36" i="74" s="1"/>
  <c r="AA36" i="74" s="1"/>
  <c r="B3" i="73"/>
  <c r="E7" i="74" s="1"/>
  <c r="G2" i="73"/>
  <c r="F2" i="73"/>
  <c r="E2" i="73"/>
  <c r="D2" i="73"/>
  <c r="AB12" i="74" l="1"/>
  <c r="E67" i="74"/>
  <c r="G50" i="74"/>
  <c r="H50" i="74" s="1"/>
  <c r="T43" i="74"/>
  <c r="V43" i="74"/>
  <c r="J7" i="73"/>
  <c r="J9" i="73"/>
  <c r="K9" i="73" s="1"/>
  <c r="J11" i="73"/>
  <c r="K11" i="73" s="1"/>
  <c r="J32" i="74"/>
  <c r="AC32" i="74" s="1"/>
  <c r="F67" i="74"/>
  <c r="G67" i="74" s="1"/>
  <c r="H67" i="74" s="1"/>
  <c r="I67" i="74" s="1"/>
  <c r="J67" i="74" s="1"/>
  <c r="K67" i="74" s="1"/>
  <c r="L67" i="74" s="1"/>
  <c r="M67" i="74" s="1"/>
  <c r="N67" i="74" s="1"/>
  <c r="J3" i="73"/>
  <c r="E43" i="74" s="1"/>
  <c r="I50" i="74" s="1"/>
  <c r="J50" i="74" s="1"/>
  <c r="J5" i="73"/>
  <c r="B21" i="73" s="1"/>
  <c r="W12" i="74"/>
  <c r="AB15" i="74"/>
  <c r="S14" i="74"/>
  <c r="AC17" i="74"/>
  <c r="E64" i="74"/>
  <c r="D66" i="74"/>
  <c r="AA35" i="74"/>
  <c r="S35" i="74"/>
  <c r="J36" i="74"/>
  <c r="F110" i="74"/>
  <c r="AA12" i="74"/>
  <c r="S12" i="74"/>
  <c r="AB32" i="74"/>
  <c r="U32" i="74"/>
  <c r="AB36" i="74"/>
  <c r="U36" i="74"/>
  <c r="U10" i="74"/>
  <c r="AB10" i="74"/>
  <c r="AC40" i="74"/>
  <c r="W40" i="74"/>
  <c r="W27" i="74"/>
  <c r="S33" i="74"/>
  <c r="U34" i="74"/>
  <c r="W35" i="74"/>
  <c r="S37" i="74"/>
  <c r="U38" i="74"/>
  <c r="W39" i="74"/>
  <c r="U40" i="74"/>
  <c r="W41" i="74"/>
  <c r="C66" i="74"/>
  <c r="W11" i="74"/>
  <c r="U13" i="74"/>
  <c r="W14" i="74"/>
  <c r="F32" i="74"/>
  <c r="S36" i="74"/>
  <c r="U11" i="74"/>
  <c r="S13" i="74"/>
  <c r="U14" i="74"/>
  <c r="W15" i="74"/>
  <c r="W21" i="74"/>
  <c r="W23" i="74"/>
  <c r="W25" i="74"/>
  <c r="W13" i="74"/>
  <c r="S15" i="74"/>
  <c r="U16" i="74"/>
  <c r="U17" i="74"/>
  <c r="U19" i="74"/>
  <c r="S23" i="74"/>
  <c r="S25" i="74"/>
  <c r="S27" i="74"/>
  <c r="U23" i="74"/>
  <c r="U25" i="74"/>
  <c r="U35" i="74"/>
  <c r="B20" i="73"/>
  <c r="K4" i="73"/>
  <c r="C20" i="73" s="1"/>
  <c r="B19" i="73"/>
  <c r="B23" i="73"/>
  <c r="K7" i="73"/>
  <c r="C23" i="73" s="1"/>
  <c r="B22" i="73"/>
  <c r="K6" i="73"/>
  <c r="C22" i="73" s="1"/>
  <c r="K5" i="73"/>
  <c r="C21" i="73" s="1"/>
  <c r="K3" i="73" l="1"/>
  <c r="J17" i="73"/>
  <c r="W32" i="74"/>
  <c r="R43" i="74"/>
  <c r="E50" i="74"/>
  <c r="F50" i="74" s="1"/>
  <c r="F64" i="74"/>
  <c r="E66" i="74"/>
  <c r="AA32" i="74"/>
  <c r="S32" i="74"/>
  <c r="AC36" i="74"/>
  <c r="W36" i="74"/>
  <c r="C19" i="73"/>
  <c r="K17" i="73"/>
  <c r="F66" i="74" l="1"/>
  <c r="G64" i="74"/>
  <c r="H64" i="74" l="1"/>
  <c r="G66" i="74"/>
  <c r="I64" i="74" l="1"/>
  <c r="H66" i="74"/>
  <c r="J64" i="74" l="1"/>
  <c r="I66" i="74"/>
  <c r="J66" i="74" l="1"/>
  <c r="K64" i="74"/>
  <c r="L64" i="74" l="1"/>
  <c r="K66" i="74"/>
  <c r="M64" i="74" l="1"/>
  <c r="L66" i="74"/>
  <c r="N64" i="74" l="1"/>
  <c r="N66" i="74" s="1"/>
  <c r="M66" i="74"/>
  <c r="S9" i="74" l="1"/>
  <c r="AA9" i="74"/>
  <c r="R44" i="74" s="1"/>
  <c r="W9" i="74"/>
  <c r="AC9" i="74"/>
  <c r="V44" i="74" s="1"/>
  <c r="I44" i="74" s="1"/>
  <c r="U9" i="74"/>
  <c r="AB9" i="74"/>
  <c r="T44" i="74" s="1"/>
  <c r="G44" i="74" s="1"/>
  <c r="G49" i="74" l="1"/>
  <c r="H49" i="74" s="1"/>
  <c r="G48" i="74"/>
  <c r="H48" i="74" s="1"/>
  <c r="I48" i="74"/>
  <c r="J48" i="74" s="1"/>
  <c r="R45" i="74"/>
  <c r="E44" i="74"/>
  <c r="I49" i="74" s="1"/>
  <c r="J49" i="74" s="1"/>
  <c r="E48" i="74" l="1"/>
  <c r="F48" i="74" s="1"/>
  <c r="E49" i="74"/>
  <c r="F49" i="74" s="1"/>
  <c r="C44" i="74"/>
  <c r="E8" i="11" s="1"/>
  <c r="C45" i="74"/>
  <c r="F62" i="74" l="1"/>
  <c r="B2" i="74" s="1"/>
  <c r="B56" i="74"/>
  <c r="F56" i="74" s="1"/>
  <c r="B60" i="74"/>
  <c r="F60" i="74" s="1"/>
  <c r="B58" i="74"/>
  <c r="F58" i="74" s="1"/>
  <c r="B55" i="74"/>
  <c r="F55" i="74" s="1"/>
  <c r="B53" i="74"/>
  <c r="F53" i="74" s="1"/>
  <c r="B54" i="74"/>
  <c r="F54" i="74" s="1"/>
  <c r="B61" i="74"/>
  <c r="F61" i="74" s="1"/>
  <c r="B59" i="74"/>
  <c r="F59" i="74" s="1"/>
  <c r="B57" i="74"/>
  <c r="F57" i="74" s="1"/>
  <c r="B5" i="74" l="1"/>
  <c r="B4" i="74"/>
  <c r="B3" i="74"/>
  <c r="D33" i="46" l="1"/>
  <c r="F1" i="46"/>
  <c r="A3" i="3"/>
  <c r="F19" i="6"/>
  <c r="AB28" i="70" l="1"/>
  <c r="AA28" i="70"/>
  <c r="Z28" i="70"/>
  <c r="N28" i="70"/>
  <c r="M28" i="70"/>
  <c r="L28" i="70"/>
  <c r="I28" i="70"/>
  <c r="AD28" i="70" s="1"/>
  <c r="AB29" i="70"/>
  <c r="AA29" i="70"/>
  <c r="Z29" i="70"/>
  <c r="N29" i="70"/>
  <c r="M29" i="70"/>
  <c r="L29" i="70"/>
  <c r="I29"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C7" i="69" l="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s="1"/>
  <c r="Z17" i="70"/>
  <c r="Y17" i="70"/>
  <c r="AD16" i="70"/>
  <c r="AC16" i="70"/>
  <c r="AB16" i="70"/>
  <c r="AA16" i="70"/>
  <c r="Z16" i="70"/>
  <c r="Y16" i="70"/>
  <c r="AC15" i="70"/>
  <c r="AB15" i="70"/>
  <c r="AA15" i="70"/>
  <c r="AD15" i="70" s="1"/>
  <c r="Z15" i="70"/>
  <c r="Y15" i="70"/>
  <c r="AD14" i="70"/>
  <c r="AC14" i="70"/>
  <c r="AB14" i="70"/>
  <c r="AA14" i="70"/>
  <c r="Z14" i="70"/>
  <c r="Y14" i="70"/>
  <c r="AC13" i="70"/>
  <c r="AB13" i="70"/>
  <c r="AA13" i="70"/>
  <c r="AD13" i="70" s="1"/>
  <c r="Z13" i="70"/>
  <c r="Y13" i="70"/>
  <c r="AC12" i="70"/>
  <c r="AB12" i="70"/>
  <c r="AA12" i="70"/>
  <c r="AD12" i="70" s="1"/>
  <c r="Z12" i="70"/>
  <c r="Y12" i="70"/>
  <c r="AC11" i="70"/>
  <c r="AB11" i="70"/>
  <c r="AB3" i="70" s="1"/>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N16" i="70"/>
  <c r="U16" i="70" s="1"/>
  <c r="M16" i="70"/>
  <c r="P16" i="70" s="1"/>
  <c r="L16" i="70"/>
  <c r="K16" i="70"/>
  <c r="I16" i="70"/>
  <c r="O15" i="70"/>
  <c r="V15" i="70" s="1"/>
  <c r="N15" i="70"/>
  <c r="M15" i="70"/>
  <c r="L15" i="70"/>
  <c r="S15" i="70" s="1"/>
  <c r="K15" i="70"/>
  <c r="R15" i="70" s="1"/>
  <c r="I15" i="70"/>
  <c r="O14" i="70"/>
  <c r="N14" i="70"/>
  <c r="U14" i="70" s="1"/>
  <c r="M14" i="70"/>
  <c r="P14" i="70" s="1"/>
  <c r="L14" i="70"/>
  <c r="K14" i="70"/>
  <c r="I14" i="70"/>
  <c r="O13" i="70"/>
  <c r="N13" i="70"/>
  <c r="M13" i="70"/>
  <c r="P13" i="70" s="1"/>
  <c r="L13" i="70"/>
  <c r="K13" i="70"/>
  <c r="I13" i="70"/>
  <c r="O12" i="70"/>
  <c r="N12" i="70"/>
  <c r="M12" i="70"/>
  <c r="P12" i="70" s="1"/>
  <c r="L12" i="70"/>
  <c r="K12" i="70"/>
  <c r="I12" i="70"/>
  <c r="O11" i="70"/>
  <c r="N11" i="70"/>
  <c r="M11" i="70"/>
  <c r="L11" i="70"/>
  <c r="K11" i="70"/>
  <c r="I11"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F7" i="1" s="1"/>
  <c r="Z3" i="70" l="1"/>
  <c r="K3" i="70"/>
  <c r="O3" i="70"/>
  <c r="R14" i="70"/>
  <c r="V14" i="70"/>
  <c r="T15" i="70"/>
  <c r="W15" i="70" s="1"/>
  <c r="R16" i="70"/>
  <c r="V16" i="70"/>
  <c r="S14" i="70"/>
  <c r="U15" i="70"/>
  <c r="S16" i="70"/>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4" i="69"/>
  <c r="G23"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Y12" i="59" s="1"/>
  <c r="Z12" i="59" s="1"/>
  <c r="N17" i="59"/>
  <c r="AH18" i="59"/>
  <c r="AG18" i="59"/>
  <c r="AE18" i="59"/>
  <c r="AF18" i="59"/>
  <c r="AD18" i="59"/>
  <c r="Q19" i="59"/>
  <c r="AB19" i="59" s="1"/>
  <c r="Q20" i="59"/>
  <c r="P19" i="59"/>
  <c r="P20" i="59"/>
  <c r="O19" i="59"/>
  <c r="O20" i="59"/>
  <c r="N19" i="59"/>
  <c r="N20" i="59"/>
  <c r="AH19" i="59"/>
  <c r="AG19" i="59"/>
  <c r="AE19" i="59"/>
  <c r="AF19" i="59"/>
  <c r="AD19" i="59"/>
  <c r="F25" i="12"/>
  <c r="AH20" i="59"/>
  <c r="AG20" i="59"/>
  <c r="AE20" i="59"/>
  <c r="AF20" i="59"/>
  <c r="AD20" i="5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AB24" i="59"/>
  <c r="P25" i="59"/>
  <c r="O25" i="59"/>
  <c r="N25" i="59"/>
  <c r="N26" i="59"/>
  <c r="Q26" i="59"/>
  <c r="P26" i="59"/>
  <c r="O26" i="59"/>
  <c r="K59" i="15"/>
  <c r="P62" i="15"/>
  <c r="P75" i="15"/>
  <c r="Q74" i="44"/>
  <c r="Q61" i="44"/>
  <c r="Q60" i="44"/>
  <c r="Q53" i="44"/>
  <c r="J51" i="44"/>
  <c r="J52" i="44"/>
  <c r="M48" i="44"/>
  <c r="A16" i="55"/>
  <c r="B67" i="63" s="1"/>
  <c r="A15" i="55"/>
  <c r="B66" i="63" s="1"/>
  <c r="A10" i="55"/>
  <c r="B61" i="63" s="1"/>
  <c r="A9" i="55"/>
  <c r="B60" i="63" s="1"/>
  <c r="A8" i="55"/>
  <c r="A6" i="54"/>
  <c r="A8" i="54"/>
  <c r="B53" i="63" s="1"/>
  <c r="A7" i="54"/>
  <c r="A27" i="51"/>
  <c r="B20" i="63" s="1"/>
  <c r="Q27" i="59"/>
  <c r="O27" i="59"/>
  <c r="N28" i="59"/>
  <c r="O28" i="59"/>
  <c r="P28" i="59"/>
  <c r="Q28" i="59"/>
  <c r="N27" i="59"/>
  <c r="P27" i="59"/>
  <c r="C29"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E25" i="59"/>
  <c r="F25" i="59"/>
  <c r="V25" i="59" s="1"/>
  <c r="S25" i="59"/>
  <c r="AD26" i="59"/>
  <c r="AE26" i="59"/>
  <c r="AF26" i="59"/>
  <c r="AG26" i="59"/>
  <c r="AH26" i="59"/>
  <c r="AD27" i="59"/>
  <c r="AE27" i="59"/>
  <c r="AF27" i="59" s="1"/>
  <c r="AG27" i="59"/>
  <c r="AH27" i="59"/>
  <c r="AD28" i="59"/>
  <c r="AE28" i="59"/>
  <c r="AF28" i="59"/>
  <c r="AG28" i="59"/>
  <c r="AH28" i="59"/>
  <c r="AD29" i="59"/>
  <c r="AE29" i="59"/>
  <c r="AF29" i="59"/>
  <c r="AG29" i="59"/>
  <c r="AH29" i="59"/>
  <c r="AD30" i="59"/>
  <c r="AE30" i="59"/>
  <c r="AF30" i="59"/>
  <c r="AG30" i="59"/>
  <c r="AH30" i="59"/>
  <c r="AD31" i="59"/>
  <c r="AE31" i="59"/>
  <c r="AF31" i="59" s="1"/>
  <c r="AG31" i="59"/>
  <c r="AH31" i="59"/>
  <c r="AD32" i="59"/>
  <c r="AE32" i="59"/>
  <c r="AF32" i="59"/>
  <c r="AG32" i="59"/>
  <c r="AH32" i="59"/>
  <c r="AD33" i="59"/>
  <c r="AE33" i="59"/>
  <c r="AF33" i="59"/>
  <c r="AG33" i="59"/>
  <c r="AH33" i="59"/>
  <c r="AD34" i="59"/>
  <c r="AE34" i="59"/>
  <c r="AF34" i="59"/>
  <c r="AG34" i="59"/>
  <c r="AH34" i="59"/>
  <c r="AD35" i="59"/>
  <c r="AE35" i="59"/>
  <c r="AF35" i="59" s="1"/>
  <c r="AG35" i="59"/>
  <c r="AH35" i="59"/>
  <c r="AD36" i="59"/>
  <c r="AE36" i="59"/>
  <c r="AF36" i="59"/>
  <c r="AG36" i="59"/>
  <c r="AH36" i="59"/>
  <c r="AD37" i="59"/>
  <c r="AE37" i="59"/>
  <c r="AF37" i="59"/>
  <c r="AG37" i="59"/>
  <c r="AH37" i="59"/>
  <c r="AD38" i="59"/>
  <c r="AE38" i="59"/>
  <c r="AF38" i="59"/>
  <c r="AG38" i="59"/>
  <c r="AH38" i="59"/>
  <c r="AD39" i="59"/>
  <c r="AE39" i="59"/>
  <c r="AF39" i="59" s="1"/>
  <c r="AG39" i="59"/>
  <c r="AH39" i="59"/>
  <c r="AH40" i="59"/>
  <c r="AG40" i="59"/>
  <c r="AE40" i="59"/>
  <c r="AF40" i="59"/>
  <c r="AD40" i="59"/>
  <c r="AD41" i="59"/>
  <c r="AE41" i="59"/>
  <c r="AF41" i="59"/>
  <c r="AG41" i="59"/>
  <c r="AH41" i="59"/>
  <c r="AA33" i="59"/>
  <c r="AA39" i="59"/>
  <c r="S2" i="31"/>
  <c r="M2" i="31"/>
  <c r="N2" i="31"/>
  <c r="O2" i="31"/>
  <c r="P2" i="31"/>
  <c r="Q2" i="31"/>
  <c r="R2" i="31"/>
  <c r="C25" i="59"/>
  <c r="C24" i="59"/>
  <c r="C3" i="65"/>
  <c r="C1" i="65"/>
  <c r="N1" i="65" s="1"/>
  <c r="T25" i="59"/>
  <c r="D25" i="59"/>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A26" i="51" s="1"/>
  <c r="B19" i="63" s="1"/>
  <c r="C55" i="10"/>
  <c r="C54" i="10"/>
  <c r="B49" i="63"/>
  <c r="B44" i="63"/>
  <c r="B40" i="63"/>
  <c r="B30" i="63"/>
  <c r="B27" i="63"/>
  <c r="B25" i="63"/>
  <c r="A11" i="51"/>
  <c r="B10" i="63" s="1"/>
  <c r="K40" i="9"/>
  <c r="B58"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s="1"/>
  <c r="Q29" i="59"/>
  <c r="F29" i="59" s="1"/>
  <c r="P29" i="59"/>
  <c r="E29" i="59" s="1"/>
  <c r="O29" i="59"/>
  <c r="Y24" i="59" s="1"/>
  <c r="Z24" i="59" s="1"/>
  <c r="N29" i="59"/>
  <c r="D90" i="59"/>
  <c r="F89" i="59"/>
  <c r="F88" i="59" s="1"/>
  <c r="F87" i="59" s="1"/>
  <c r="E89" i="59"/>
  <c r="E88" i="59"/>
  <c r="E87" i="59" s="1"/>
  <c r="C89" i="59"/>
  <c r="D89" i="59"/>
  <c r="B89" i="59"/>
  <c r="B88" i="59"/>
  <c r="B87" i="59"/>
  <c r="D86" i="59"/>
  <c r="F85" i="59"/>
  <c r="F84" i="59" s="1"/>
  <c r="F83" i="59" s="1"/>
  <c r="E85" i="59"/>
  <c r="E84" i="59"/>
  <c r="E83" i="59" s="1"/>
  <c r="C85" i="59"/>
  <c r="D85" i="59"/>
  <c r="B85" i="59"/>
  <c r="B84" i="59"/>
  <c r="B83" i="59" s="1"/>
  <c r="D82" i="59"/>
  <c r="Q81" i="59"/>
  <c r="P81" i="59"/>
  <c r="O81" i="59"/>
  <c r="N81" i="59"/>
  <c r="F81" i="59"/>
  <c r="V81" i="59"/>
  <c r="E81" i="59"/>
  <c r="U81" i="59" s="1"/>
  <c r="C81" i="59"/>
  <c r="T81" i="59"/>
  <c r="B81" i="59"/>
  <c r="S81" i="59" s="1"/>
  <c r="Q80" i="59"/>
  <c r="P80" i="59"/>
  <c r="O80" i="59"/>
  <c r="N80" i="59"/>
  <c r="F80" i="59"/>
  <c r="F79" i="59"/>
  <c r="B80" i="59"/>
  <c r="B79" i="59" s="1"/>
  <c r="Q79" i="59"/>
  <c r="P79" i="59"/>
  <c r="O79" i="59"/>
  <c r="N79" i="59"/>
  <c r="Q78" i="59"/>
  <c r="P78" i="59"/>
  <c r="O78" i="59"/>
  <c r="N78" i="59"/>
  <c r="D78" i="59"/>
  <c r="Q77" i="59"/>
  <c r="P77" i="59"/>
  <c r="O77" i="59"/>
  <c r="N77" i="59"/>
  <c r="F77" i="59"/>
  <c r="V77" i="59" s="1"/>
  <c r="E77" i="59"/>
  <c r="U77" i="59"/>
  <c r="C77" i="59"/>
  <c r="T77" i="59" s="1"/>
  <c r="B77" i="59"/>
  <c r="S77" i="59"/>
  <c r="Q76" i="59"/>
  <c r="P76" i="59"/>
  <c r="O76" i="59"/>
  <c r="N76" i="59"/>
  <c r="F76" i="59"/>
  <c r="F75" i="59" s="1"/>
  <c r="B76" i="59"/>
  <c r="B75" i="59"/>
  <c r="Q75" i="59"/>
  <c r="P75" i="59"/>
  <c r="O75" i="59"/>
  <c r="N75" i="59"/>
  <c r="Q74" i="59"/>
  <c r="P74" i="59"/>
  <c r="O74" i="59"/>
  <c r="N74" i="59"/>
  <c r="D74" i="59"/>
  <c r="Q73" i="59"/>
  <c r="P73" i="59"/>
  <c r="O73" i="59"/>
  <c r="N73" i="59"/>
  <c r="F73" i="59"/>
  <c r="V73" i="59" s="1"/>
  <c r="E73" i="59"/>
  <c r="U73" i="59"/>
  <c r="C73" i="59"/>
  <c r="T73" i="59" s="1"/>
  <c r="B73" i="59"/>
  <c r="S73" i="59"/>
  <c r="Q72" i="59"/>
  <c r="P72" i="59"/>
  <c r="O72" i="59"/>
  <c r="N72" i="59"/>
  <c r="F72" i="59"/>
  <c r="F71" i="59" s="1"/>
  <c r="B72" i="59"/>
  <c r="B71" i="59"/>
  <c r="Q71" i="59"/>
  <c r="P71" i="59"/>
  <c r="O71" i="59"/>
  <c r="N71" i="59"/>
  <c r="Q70" i="59"/>
  <c r="P70" i="59"/>
  <c r="O70" i="59"/>
  <c r="N70" i="59"/>
  <c r="D70" i="59"/>
  <c r="F69" i="59"/>
  <c r="V69" i="59"/>
  <c r="E69" i="59"/>
  <c r="E68" i="59"/>
  <c r="C69" i="59"/>
  <c r="B69" i="59"/>
  <c r="N69" i="59" s="1"/>
  <c r="F68" i="59"/>
  <c r="F67" i="59"/>
  <c r="Q66" i="59" s="1"/>
  <c r="Q67" i="59"/>
  <c r="D66" i="59"/>
  <c r="Q65" i="59"/>
  <c r="P65" i="59"/>
  <c r="O65" i="59"/>
  <c r="N65" i="59"/>
  <c r="Q64" i="59"/>
  <c r="P64" i="59"/>
  <c r="O64" i="59"/>
  <c r="N64" i="59"/>
  <c r="Q63" i="59"/>
  <c r="P63" i="59"/>
  <c r="O63" i="59"/>
  <c r="N63" i="59"/>
  <c r="Q62" i="59"/>
  <c r="F63" i="59" s="1"/>
  <c r="P62" i="59"/>
  <c r="E63" i="59"/>
  <c r="E64" i="59"/>
  <c r="E65" i="59" s="1"/>
  <c r="U65" i="59" s="1"/>
  <c r="O62" i="59"/>
  <c r="C63" i="59"/>
  <c r="C64" i="59" s="1"/>
  <c r="N62" i="59"/>
  <c r="B63" i="59" s="1"/>
  <c r="B64" i="59" s="1"/>
  <c r="B65" i="59" s="1"/>
  <c r="S65" i="59" s="1"/>
  <c r="D62" i="59"/>
  <c r="Q61" i="59"/>
  <c r="P61" i="59"/>
  <c r="O61" i="59"/>
  <c r="N61" i="59"/>
  <c r="Q60" i="59"/>
  <c r="P60" i="59"/>
  <c r="O60" i="59"/>
  <c r="N60" i="59"/>
  <c r="Q59" i="59"/>
  <c r="P59" i="59"/>
  <c r="O59" i="59"/>
  <c r="N59" i="59"/>
  <c r="Q58" i="59"/>
  <c r="F59" i="59"/>
  <c r="P58" i="59"/>
  <c r="E59" i="59" s="1"/>
  <c r="O58" i="59"/>
  <c r="C59" i="59"/>
  <c r="N58" i="59"/>
  <c r="B59" i="59"/>
  <c r="B60" i="59" s="1"/>
  <c r="B61" i="59" s="1"/>
  <c r="S61" i="59" s="1"/>
  <c r="D58" i="59"/>
  <c r="Q57" i="59"/>
  <c r="P57" i="59"/>
  <c r="O57" i="59"/>
  <c r="N57" i="59"/>
  <c r="Q56" i="59"/>
  <c r="P56" i="59"/>
  <c r="O56" i="59"/>
  <c r="N56" i="59"/>
  <c r="Q55" i="59"/>
  <c r="P55" i="59"/>
  <c r="O55" i="59"/>
  <c r="N55" i="59"/>
  <c r="Q54" i="59"/>
  <c r="F55" i="59"/>
  <c r="P54" i="59"/>
  <c r="E55" i="59" s="1"/>
  <c r="E56" i="59" s="1"/>
  <c r="E57" i="59" s="1"/>
  <c r="U57" i="59" s="1"/>
  <c r="O54" i="59"/>
  <c r="C55" i="59" s="1"/>
  <c r="C56" i="59" s="1"/>
  <c r="N54" i="59"/>
  <c r="B55" i="59"/>
  <c r="B56" i="59"/>
  <c r="B57" i="59" s="1"/>
  <c r="S57" i="59" s="1"/>
  <c r="D54" i="59"/>
  <c r="Q53" i="59"/>
  <c r="P53" i="59"/>
  <c r="O53" i="59"/>
  <c r="N53" i="59"/>
  <c r="Q52" i="59"/>
  <c r="P52" i="59"/>
  <c r="O52" i="59"/>
  <c r="N52" i="59"/>
  <c r="Q51" i="59"/>
  <c r="P51" i="59"/>
  <c r="O51" i="59"/>
  <c r="N51" i="59"/>
  <c r="B52" i="59" s="1"/>
  <c r="B53" i="59" s="1"/>
  <c r="S53" i="59" s="1"/>
  <c r="Q50" i="59"/>
  <c r="F51" i="59" s="1"/>
  <c r="F52" i="59" s="1"/>
  <c r="F53" i="59" s="1"/>
  <c r="V53" i="59"/>
  <c r="P50" i="59"/>
  <c r="E51" i="59"/>
  <c r="O50" i="59"/>
  <c r="C51" i="59"/>
  <c r="D51" i="59" s="1"/>
  <c r="N50" i="59"/>
  <c r="B51" i="59"/>
  <c r="D50" i="59"/>
  <c r="T49" i="59"/>
  <c r="Q49" i="59"/>
  <c r="P49" i="59"/>
  <c r="O49" i="59"/>
  <c r="N49" i="59"/>
  <c r="D49" i="59"/>
  <c r="Q48" i="59"/>
  <c r="P48" i="59"/>
  <c r="O48" i="59"/>
  <c r="N48" i="59"/>
  <c r="Q47" i="59"/>
  <c r="P47" i="59"/>
  <c r="O47" i="59"/>
  <c r="C48" i="59" s="1"/>
  <c r="D48" i="59" s="1"/>
  <c r="N47" i="59"/>
  <c r="Q46" i="59"/>
  <c r="F47" i="59"/>
  <c r="P46" i="59"/>
  <c r="E47" i="59" s="1"/>
  <c r="E48" i="59" s="1"/>
  <c r="E49" i="59" s="1"/>
  <c r="U49" i="59" s="1"/>
  <c r="O46" i="59"/>
  <c r="C47" i="59"/>
  <c r="N46" i="59"/>
  <c r="B47" i="59" s="1"/>
  <c r="B48" i="59" s="1"/>
  <c r="B49" i="59" s="1"/>
  <c r="S49" i="59" s="1"/>
  <c r="D46" i="59"/>
  <c r="Q45" i="59"/>
  <c r="P45" i="59"/>
  <c r="O45" i="59"/>
  <c r="N45" i="59"/>
  <c r="Q44" i="59"/>
  <c r="P44" i="59"/>
  <c r="O44" i="59"/>
  <c r="N44" i="59"/>
  <c r="Q43" i="59"/>
  <c r="P43" i="59"/>
  <c r="O43" i="59"/>
  <c r="N43" i="59"/>
  <c r="Q42" i="59"/>
  <c r="F43" i="59"/>
  <c r="P42" i="59"/>
  <c r="E43" i="59"/>
  <c r="E44" i="59" s="1"/>
  <c r="E45" i="59" s="1"/>
  <c r="U45" i="59"/>
  <c r="O42" i="59"/>
  <c r="C43" i="59" s="1"/>
  <c r="N42" i="59"/>
  <c r="B43" i="59"/>
  <c r="B44" i="59"/>
  <c r="B45" i="59" s="1"/>
  <c r="S45" i="59" s="1"/>
  <c r="D42" i="59"/>
  <c r="Q41" i="59"/>
  <c r="P41" i="59"/>
  <c r="O41" i="59"/>
  <c r="N41" i="59"/>
  <c r="Q40" i="59"/>
  <c r="P40" i="59"/>
  <c r="O40" i="59"/>
  <c r="N40" i="59"/>
  <c r="X40" i="59"/>
  <c r="Q39" i="59"/>
  <c r="AB39" i="59" s="1"/>
  <c r="P39" i="59"/>
  <c r="O39" i="59"/>
  <c r="N39" i="59"/>
  <c r="Q38" i="59"/>
  <c r="P38" i="59"/>
  <c r="AA38" i="59" s="1"/>
  <c r="E39" i="59"/>
  <c r="E40" i="59"/>
  <c r="E41" i="59" s="1"/>
  <c r="U41" i="59" s="1"/>
  <c r="O38" i="59"/>
  <c r="N38" i="59"/>
  <c r="B39" i="59"/>
  <c r="B40" i="59"/>
  <c r="B41" i="59" s="1"/>
  <c r="S41" i="59" s="1"/>
  <c r="D38" i="59"/>
  <c r="Q37" i="59"/>
  <c r="AB37" i="59" s="1"/>
  <c r="P37" i="59"/>
  <c r="AA37" i="59" s="1"/>
  <c r="O37" i="59"/>
  <c r="N37" i="59"/>
  <c r="Q36" i="59"/>
  <c r="AB36" i="59" s="1"/>
  <c r="P36" i="59"/>
  <c r="AA36" i="59" s="1"/>
  <c r="O36" i="59"/>
  <c r="N36" i="59"/>
  <c r="Q35" i="59"/>
  <c r="AB35" i="59" s="1"/>
  <c r="P35" i="59"/>
  <c r="AA35" i="59" s="1"/>
  <c r="O35" i="59"/>
  <c r="N35" i="59"/>
  <c r="Q34" i="59"/>
  <c r="F35" i="59"/>
  <c r="F36" i="59" s="1"/>
  <c r="F37" i="59" s="1"/>
  <c r="V37" i="59" s="1"/>
  <c r="P34" i="59"/>
  <c r="E35" i="59"/>
  <c r="O34" i="59"/>
  <c r="C35" i="59"/>
  <c r="N34" i="59"/>
  <c r="D34" i="59"/>
  <c r="Q33" i="59"/>
  <c r="P33" i="59"/>
  <c r="O33" i="59"/>
  <c r="N33" i="59"/>
  <c r="Q32" i="59"/>
  <c r="P32" i="59"/>
  <c r="O32" i="59"/>
  <c r="N32" i="59"/>
  <c r="Q31" i="59"/>
  <c r="P31" i="59"/>
  <c r="O31" i="59"/>
  <c r="Y26" i="59" s="1"/>
  <c r="Z26" i="59" s="1"/>
  <c r="N31" i="59"/>
  <c r="Q30" i="59"/>
  <c r="F31" i="59"/>
  <c r="F32" i="59" s="1"/>
  <c r="P30" i="59"/>
  <c r="AA3" i="59" s="1"/>
  <c r="O30" i="59"/>
  <c r="C31" i="59"/>
  <c r="N30" i="59"/>
  <c r="D30" i="59"/>
  <c r="X26" i="59"/>
  <c r="AA28" i="59"/>
  <c r="Y27" i="59"/>
  <c r="Z27" i="59" s="1"/>
  <c r="AB29" i="59"/>
  <c r="AB28" i="59"/>
  <c r="E52" i="59"/>
  <c r="E53" i="59" s="1"/>
  <c r="U53" i="59" s="1"/>
  <c r="S69" i="59"/>
  <c r="AA40" i="59"/>
  <c r="F33" i="59"/>
  <c r="V33" i="59" s="1"/>
  <c r="F44" i="59"/>
  <c r="F45" i="59" s="1"/>
  <c r="V45" i="59" s="1"/>
  <c r="F48" i="59"/>
  <c r="F49" i="59"/>
  <c r="V49" i="59" s="1"/>
  <c r="F56" i="59"/>
  <c r="F57" i="59"/>
  <c r="V57" i="59" s="1"/>
  <c r="F60" i="59"/>
  <c r="F61" i="59" s="1"/>
  <c r="V61" i="59"/>
  <c r="F64" i="59"/>
  <c r="F65" i="59" s="1"/>
  <c r="V65" i="59" s="1"/>
  <c r="C32" i="59"/>
  <c r="D31" i="59"/>
  <c r="C44" i="59"/>
  <c r="D43" i="59"/>
  <c r="D47" i="59"/>
  <c r="D55" i="59"/>
  <c r="C60" i="59"/>
  <c r="D60" i="59" s="1"/>
  <c r="D59" i="59"/>
  <c r="D63" i="59"/>
  <c r="C36" i="59"/>
  <c r="D35" i="59"/>
  <c r="Q68" i="59"/>
  <c r="T69" i="59"/>
  <c r="O69" i="59"/>
  <c r="D69" i="59"/>
  <c r="C68" i="59"/>
  <c r="D68" i="59" s="1"/>
  <c r="P69" i="59"/>
  <c r="U69" i="59"/>
  <c r="Q69" i="59"/>
  <c r="C72" i="59"/>
  <c r="C71" i="59" s="1"/>
  <c r="E72" i="59"/>
  <c r="E71" i="59"/>
  <c r="D73" i="59"/>
  <c r="C76" i="59"/>
  <c r="D76" i="59" s="1"/>
  <c r="E76" i="59"/>
  <c r="E75" i="59"/>
  <c r="D77" i="59"/>
  <c r="C80" i="59"/>
  <c r="D80" i="59" s="1"/>
  <c r="E80" i="59"/>
  <c r="E79" i="59"/>
  <c r="D81" i="59"/>
  <c r="C84" i="59"/>
  <c r="C88" i="59"/>
  <c r="U16" i="4"/>
  <c r="S16" i="4"/>
  <c r="Q16" i="4"/>
  <c r="P16" i="4" s="1"/>
  <c r="O16" i="4"/>
  <c r="M16" i="4"/>
  <c r="K16" i="4"/>
  <c r="D88" i="59"/>
  <c r="C87" i="59"/>
  <c r="D87" i="59" s="1"/>
  <c r="C79" i="59"/>
  <c r="D79" i="59"/>
  <c r="D72" i="59"/>
  <c r="D71" i="59"/>
  <c r="C67" i="59"/>
  <c r="O66" i="59" s="1"/>
  <c r="O68" i="59"/>
  <c r="D84" i="59"/>
  <c r="C83" i="59"/>
  <c r="D83" i="59" s="1"/>
  <c r="C75" i="59"/>
  <c r="D75" i="59"/>
  <c r="C37" i="59"/>
  <c r="D36" i="59"/>
  <c r="O67" i="59"/>
  <c r="D67"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s="1"/>
  <c r="F21" i="37"/>
  <c r="C21" i="37"/>
  <c r="E77" i="37"/>
  <c r="F77" i="37"/>
  <c r="G77" i="37" s="1"/>
  <c r="D77" i="37"/>
  <c r="Z21" i="34"/>
  <c r="Q21" i="34"/>
  <c r="C21" i="34"/>
  <c r="D84" i="34"/>
  <c r="F21" i="34"/>
  <c r="S21" i="34" s="1"/>
  <c r="Z21" i="33"/>
  <c r="Q21" i="33"/>
  <c r="C21" i="33"/>
  <c r="D83" i="33"/>
  <c r="E83" i="33" s="1"/>
  <c r="F83" i="33" s="1"/>
  <c r="G83" i="33"/>
  <c r="Z21" i="21"/>
  <c r="Q21" i="21"/>
  <c r="D83" i="21"/>
  <c r="E83" i="21"/>
  <c r="F83" i="21" s="1"/>
  <c r="F21" i="21"/>
  <c r="AA21" i="21" s="1"/>
  <c r="C21" i="21"/>
  <c r="Q27" i="40"/>
  <c r="Z27" i="40" s="1"/>
  <c r="D95" i="40"/>
  <c r="E95" i="40" s="1"/>
  <c r="F95" i="40" s="1"/>
  <c r="F27" i="40"/>
  <c r="AA27" i="40" s="1"/>
  <c r="Q31" i="39"/>
  <c r="Z31" i="39" s="1"/>
  <c r="D104" i="39"/>
  <c r="E104" i="39" s="1"/>
  <c r="F31" i="39"/>
  <c r="AA31" i="39" s="1"/>
  <c r="G20" i="20"/>
  <c r="C27" i="40" s="1"/>
  <c r="C22" i="20"/>
  <c r="B100" i="46" s="1"/>
  <c r="B68" i="46"/>
  <c r="S18" i="36"/>
  <c r="S18" i="35"/>
  <c r="S31" i="39"/>
  <c r="C31" i="39"/>
  <c r="B57" i="46"/>
  <c r="B77" i="46"/>
  <c r="E66" i="36"/>
  <c r="H18" i="35"/>
  <c r="J18" i="35"/>
  <c r="H21" i="37"/>
  <c r="J21" i="37"/>
  <c r="E84" i="34"/>
  <c r="F84" i="34"/>
  <c r="G84" i="34"/>
  <c r="J21" i="34"/>
  <c r="H21" i="34"/>
  <c r="F21" i="33"/>
  <c r="H21" i="33"/>
  <c r="J21" i="33"/>
  <c r="H21" i="21"/>
  <c r="G83" i="21"/>
  <c r="J21" i="21"/>
  <c r="H27" i="40"/>
  <c r="F104" i="39"/>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A7" i="1"/>
  <c r="A8" i="1"/>
  <c r="A9" i="1"/>
  <c r="A10" i="1"/>
  <c r="A11" i="1"/>
  <c r="A6"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Z75" i="3" s="1"/>
  <c r="AX75" i="3"/>
  <c r="AW75" i="3"/>
  <c r="AV75" i="3"/>
  <c r="AC75" i="3"/>
  <c r="G75" i="3" s="1"/>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A73" i="3" s="1"/>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G54" i="3" s="1"/>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A52" i="3" s="1"/>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G46" i="3" s="1"/>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G38" i="3" s="1"/>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A36" i="3" s="1"/>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G32" i="3" s="1"/>
  <c r="H32" i="3"/>
  <c r="BT31" i="3"/>
  <c r="BS31" i="3"/>
  <c r="BR31" i="3"/>
  <c r="BQ31" i="3"/>
  <c r="BP31" i="3"/>
  <c r="BO31" i="3"/>
  <c r="BL31" i="3" s="1"/>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A29" i="3" s="1"/>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A22" i="3" s="1"/>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A383" i="3" s="1"/>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c r="F23" i="4"/>
  <c r="I19" i="4"/>
  <c r="F10" i="1" s="1"/>
  <c r="H19" i="4"/>
  <c r="G19" i="4"/>
  <c r="F12" i="1" s="1"/>
  <c r="AP12" i="1" s="1"/>
  <c r="F19" i="4"/>
  <c r="F11" i="1" s="1"/>
  <c r="AP11" i="1" s="1"/>
  <c r="E19" i="4"/>
  <c r="F8" i="1" s="1"/>
  <c r="AP8" i="1" s="1"/>
  <c r="G7" i="1"/>
  <c r="B2" i="52"/>
  <c r="B15" i="52" s="1"/>
  <c r="F41" i="4"/>
  <c r="J57" i="39"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s="1"/>
  <c r="I54" i="33"/>
  <c r="J54" i="33" s="1"/>
  <c r="G54" i="33"/>
  <c r="H54" i="33" s="1"/>
  <c r="E54" i="33"/>
  <c r="F54" i="33" s="1"/>
  <c r="H14" i="3"/>
  <c r="AC14" i="3"/>
  <c r="G14" i="3" s="1"/>
  <c r="H15" i="3"/>
  <c r="AC15" i="3"/>
  <c r="G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A482" i="3" s="1"/>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A498" i="3" s="1"/>
  <c r="AZ498" i="3" s="1"/>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A514" i="3" s="1"/>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A518" i="3" s="1"/>
  <c r="AZ518" i="3" s="1"/>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A528" i="3" s="1"/>
  <c r="AZ528" i="3" s="1"/>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L530" i="3" s="1"/>
  <c r="AZ530" i="3" s="1"/>
  <c r="BP530" i="3"/>
  <c r="BR530" i="3"/>
  <c r="BS530" i="3"/>
  <c r="BT530" i="3"/>
  <c r="H531" i="3"/>
  <c r="AC531" i="3"/>
  <c r="G531" i="3"/>
  <c r="BB531" i="3"/>
  <c r="BA531" i="3" s="1"/>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A532" i="3" s="1"/>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L533" i="3" s="1"/>
  <c r="BO533" i="3"/>
  <c r="BP533" i="3"/>
  <c r="BQ533" i="3"/>
  <c r="BR533" i="3"/>
  <c r="BS533" i="3"/>
  <c r="BT533" i="3"/>
  <c r="H534" i="3"/>
  <c r="AC534" i="3"/>
  <c r="BB534" i="3"/>
  <c r="BC534" i="3"/>
  <c r="BD534" i="3"/>
  <c r="BE534" i="3"/>
  <c r="BA534" i="3" s="1"/>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N542" i="3"/>
  <c r="BO542" i="3"/>
  <c r="BL542" i="3" s="1"/>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A546" i="3" s="1"/>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A549" i="3" s="1"/>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L550" i="3" s="1"/>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A559" i="3" s="1"/>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L563" i="3" s="1"/>
  <c r="BQ563" i="3"/>
  <c r="BR563" i="3"/>
  <c r="BS563" i="3"/>
  <c r="BT563" i="3"/>
  <c r="H564" i="3"/>
  <c r="G564" i="3"/>
  <c r="AC564" i="3"/>
  <c r="BB564" i="3"/>
  <c r="BA564" i="3" s="1"/>
  <c r="BC564" i="3"/>
  <c r="BD564" i="3"/>
  <c r="BE564" i="3"/>
  <c r="BF564" i="3"/>
  <c r="BG564" i="3"/>
  <c r="BH564" i="3"/>
  <c r="BI564" i="3"/>
  <c r="BJ564" i="3"/>
  <c r="BK564" i="3"/>
  <c r="BM564" i="3"/>
  <c r="BN564" i="3"/>
  <c r="BO564" i="3"/>
  <c r="BP564" i="3"/>
  <c r="BR564" i="3"/>
  <c r="BS564" i="3"/>
  <c r="BT564" i="3"/>
  <c r="H565" i="3"/>
  <c r="AC565" i="3"/>
  <c r="BB565" i="3"/>
  <c r="BC565" i="3"/>
  <c r="BA565" i="3" s="1"/>
  <c r="BD565" i="3"/>
  <c r="BE565" i="3"/>
  <c r="BF565" i="3"/>
  <c r="BG565" i="3"/>
  <c r="BH565" i="3"/>
  <c r="BI565" i="3"/>
  <c r="BJ565" i="3"/>
  <c r="BK565" i="3"/>
  <c r="BM565" i="3"/>
  <c r="BN565" i="3"/>
  <c r="BO565" i="3"/>
  <c r="BP565" i="3"/>
  <c r="BQ565" i="3"/>
  <c r="BR565" i="3"/>
  <c r="BS565" i="3"/>
  <c r="BT565" i="3"/>
  <c r="H566" i="3"/>
  <c r="AC566" i="3"/>
  <c r="G566" i="3" s="1"/>
  <c r="BB566" i="3"/>
  <c r="BC566" i="3"/>
  <c r="BA566" i="3" s="1"/>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L568" i="3" s="1"/>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H31" i="35"/>
  <c r="F31" i="35"/>
  <c r="D87" i="35"/>
  <c r="E87" i="35"/>
  <c r="F87" i="35" s="1"/>
  <c r="G87" i="35" s="1"/>
  <c r="H87" i="35"/>
  <c r="I87" i="35" s="1"/>
  <c r="J87" i="35" s="1"/>
  <c r="K87" i="35" s="1"/>
  <c r="L87" i="35" s="1"/>
  <c r="M87" i="35" s="1"/>
  <c r="H34" i="37"/>
  <c r="AB34" i="37"/>
  <c r="D101" i="37"/>
  <c r="F34" i="37"/>
  <c r="AA34" i="37" s="1"/>
  <c r="D99" i="37"/>
  <c r="E99" i="37"/>
  <c r="H42" i="34"/>
  <c r="J42" i="34"/>
  <c r="F42" i="34"/>
  <c r="J38" i="34"/>
  <c r="W38" i="34" s="1"/>
  <c r="D114" i="34"/>
  <c r="E114" i="34" s="1"/>
  <c r="F38" i="34"/>
  <c r="AA38" i="34" s="1"/>
  <c r="D112" i="34"/>
  <c r="E112" i="34"/>
  <c r="F112" i="34" s="1"/>
  <c r="G112" i="34" s="1"/>
  <c r="H112" i="34" s="1"/>
  <c r="I112" i="34" s="1"/>
  <c r="J112" i="34" s="1"/>
  <c r="K112" i="34" s="1"/>
  <c r="L112" i="34" s="1"/>
  <c r="M112" i="34" s="1"/>
  <c r="F40" i="33"/>
  <c r="J41" i="33"/>
  <c r="AC41" i="33" s="1"/>
  <c r="D113" i="33"/>
  <c r="E113" i="33" s="1"/>
  <c r="F37" i="33"/>
  <c r="D111" i="33"/>
  <c r="E111" i="33"/>
  <c r="F111" i="33"/>
  <c r="G111" i="33" s="1"/>
  <c r="H111" i="33" s="1"/>
  <c r="I111" i="33" s="1"/>
  <c r="J111" i="33" s="1"/>
  <c r="K111" i="33" s="1"/>
  <c r="L111" i="33" s="1"/>
  <c r="M111" i="33" s="1"/>
  <c r="S515" i="31"/>
  <c r="S517" i="31"/>
  <c r="S519" i="31"/>
  <c r="S521" i="31"/>
  <c r="S523" i="31"/>
  <c r="F41" i="21"/>
  <c r="J41" i="21"/>
  <c r="AC41" i="21"/>
  <c r="H41" i="21"/>
  <c r="D82" i="39"/>
  <c r="E82" i="39" s="1"/>
  <c r="F82" i="39"/>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c r="F99" i="40" s="1"/>
  <c r="D97" i="40"/>
  <c r="E97" i="40" s="1"/>
  <c r="B96" i="40"/>
  <c r="D93" i="40"/>
  <c r="E93" i="40" s="1"/>
  <c r="D91" i="40"/>
  <c r="D89" i="40"/>
  <c r="H21" i="40"/>
  <c r="AB21" i="40" s="1"/>
  <c r="D87" i="40"/>
  <c r="E87" i="40" s="1"/>
  <c r="D85" i="40"/>
  <c r="E85"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F102" i="39" s="1"/>
  <c r="G102" i="39" s="1"/>
  <c r="D100" i="39"/>
  <c r="E100" i="39" s="1"/>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F46" i="39" s="1"/>
  <c r="S46" i="39" s="1"/>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W25" i="37" s="1"/>
  <c r="H25" i="37"/>
  <c r="U25" i="37" s="1"/>
  <c r="B110" i="37"/>
  <c r="J39" i="37"/>
  <c r="AC39" i="37" s="1"/>
  <c r="B108" i="37"/>
  <c r="C23" i="37"/>
  <c r="C19" i="37"/>
  <c r="C17" i="37"/>
  <c r="C15" i="37"/>
  <c r="B112" i="37"/>
  <c r="D107" i="37"/>
  <c r="E107" i="37" s="1"/>
  <c r="D105" i="37"/>
  <c r="E105" i="37"/>
  <c r="F105" i="37" s="1"/>
  <c r="H36" i="37"/>
  <c r="D103" i="37"/>
  <c r="J35" i="37"/>
  <c r="AC35" i="37"/>
  <c r="F97" i="37"/>
  <c r="E97" i="37"/>
  <c r="D97" i="37"/>
  <c r="C97" i="37"/>
  <c r="D96" i="37"/>
  <c r="E96" i="37" s="1"/>
  <c r="F96" i="37" s="1"/>
  <c r="G96" i="37" s="1"/>
  <c r="D94" i="37"/>
  <c r="M90" i="37"/>
  <c r="L90" i="37"/>
  <c r="K90" i="37"/>
  <c r="J90" i="37"/>
  <c r="I90" i="37"/>
  <c r="H90" i="37"/>
  <c r="G90" i="37"/>
  <c r="F90" i="37"/>
  <c r="E90" i="37"/>
  <c r="D90" i="37"/>
  <c r="C90" i="37"/>
  <c r="D89" i="37"/>
  <c r="B86" i="37"/>
  <c r="B84" i="37"/>
  <c r="B82" i="37"/>
  <c r="D79" i="37"/>
  <c r="E79" i="37"/>
  <c r="D75" i="37"/>
  <c r="E75" i="37"/>
  <c r="F75" i="37" s="1"/>
  <c r="D73" i="37"/>
  <c r="E73" i="37" s="1"/>
  <c r="F73" i="37" s="1"/>
  <c r="G73" i="37"/>
  <c r="D71" i="37"/>
  <c r="E71" i="37" s="1"/>
  <c r="F71" i="37"/>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c r="J30" i="37"/>
  <c r="W30" i="37"/>
  <c r="H30" i="37"/>
  <c r="AB30" i="37"/>
  <c r="F30" i="37"/>
  <c r="Q29" i="37"/>
  <c r="Z29" i="37" s="1"/>
  <c r="H29" i="37"/>
  <c r="U29" i="37"/>
  <c r="Q28" i="37"/>
  <c r="Z28" i="37" s="1"/>
  <c r="Q27" i="37"/>
  <c r="Z27" i="37" s="1"/>
  <c r="Q26" i="37"/>
  <c r="Z26" i="37" s="1"/>
  <c r="Q25" i="37"/>
  <c r="Z25" i="37"/>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c r="D81" i="36"/>
  <c r="E81" i="36" s="1"/>
  <c r="F81" i="36"/>
  <c r="G81" i="36" s="1"/>
  <c r="H81" i="36" s="1"/>
  <c r="I81" i="36" s="1"/>
  <c r="J81" i="36" s="1"/>
  <c r="K81" i="36" s="1"/>
  <c r="L81" i="36" s="1"/>
  <c r="M81" i="36" s="1"/>
  <c r="F79" i="36"/>
  <c r="E79" i="36"/>
  <c r="D79" i="36"/>
  <c r="C79" i="36"/>
  <c r="B93" i="36"/>
  <c r="J33" i="36" s="1"/>
  <c r="AC33" i="36" s="1"/>
  <c r="B91" i="36"/>
  <c r="H32" i="36" s="1"/>
  <c r="F32" i="36"/>
  <c r="S32" i="36" s="1"/>
  <c r="B95" i="36"/>
  <c r="F34" i="36" s="1"/>
  <c r="H34" i="36"/>
  <c r="D83" i="36"/>
  <c r="E83" i="36" s="1"/>
  <c r="F83" i="36"/>
  <c r="G83" i="36" s="1"/>
  <c r="H83" i="36"/>
  <c r="I83" i="36" s="1"/>
  <c r="J83" i="36" s="1"/>
  <c r="K83" i="36" s="1"/>
  <c r="L83" i="36" s="1"/>
  <c r="M83" i="36" s="1"/>
  <c r="D78" i="36"/>
  <c r="E78" i="36" s="1"/>
  <c r="F78" i="36" s="1"/>
  <c r="G78" i="36" s="1"/>
  <c r="H78" i="36" s="1"/>
  <c r="I78" i="36" s="1"/>
  <c r="J78" i="36" s="1"/>
  <c r="K78" i="36" s="1"/>
  <c r="L78" i="36" s="1"/>
  <c r="M78" i="36" s="1"/>
  <c r="J26" i="36"/>
  <c r="W26" i="36"/>
  <c r="B75" i="36"/>
  <c r="B73" i="36"/>
  <c r="J24" i="36" s="1"/>
  <c r="AC24" i="36" s="1"/>
  <c r="B71" i="36"/>
  <c r="D70" i="36"/>
  <c r="H22" i="36"/>
  <c r="AB22" i="36"/>
  <c r="D68" i="36"/>
  <c r="E68" i="36"/>
  <c r="D64" i="36"/>
  <c r="E64" i="36"/>
  <c r="F64" i="36" s="1"/>
  <c r="G64" i="36" s="1"/>
  <c r="J16" i="36"/>
  <c r="W16" i="36" s="1"/>
  <c r="D62" i="36"/>
  <c r="E62" i="36" s="1"/>
  <c r="B59" i="36"/>
  <c r="B57" i="36"/>
  <c r="F12" i="36" s="1"/>
  <c r="J12" i="36"/>
  <c r="AC12" i="36" s="1"/>
  <c r="B55" i="36"/>
  <c r="J10" i="36"/>
  <c r="W10" i="36" s="1"/>
  <c r="C51" i="36"/>
  <c r="P37" i="36"/>
  <c r="P36" i="36"/>
  <c r="V35" i="36"/>
  <c r="T35" i="36"/>
  <c r="R35" i="36"/>
  <c r="P35" i="36"/>
  <c r="Q34" i="36"/>
  <c r="Z34" i="36" s="1"/>
  <c r="Q33" i="36"/>
  <c r="Z33" i="36" s="1"/>
  <c r="Q32" i="36"/>
  <c r="Z32" i="36"/>
  <c r="Q31" i="36"/>
  <c r="Z31" i="36" s="1"/>
  <c r="Q30" i="36"/>
  <c r="Z30" i="36" s="1"/>
  <c r="Q29" i="36"/>
  <c r="Z29" i="36" s="1"/>
  <c r="Q28" i="36"/>
  <c r="Z28" i="36"/>
  <c r="J28" i="36"/>
  <c r="AC28" i="36" s="1"/>
  <c r="Q27" i="36"/>
  <c r="Z27" i="36" s="1"/>
  <c r="Q26" i="36"/>
  <c r="Z26" i="36" s="1"/>
  <c r="H26" i="36"/>
  <c r="AB26" i="36"/>
  <c r="Q25" i="36"/>
  <c r="Z25" i="36" s="1"/>
  <c r="Q24" i="36"/>
  <c r="Z24" i="36" s="1"/>
  <c r="H24" i="36"/>
  <c r="Q23" i="36"/>
  <c r="Z23" i="36"/>
  <c r="J23" i="36"/>
  <c r="H23" i="36"/>
  <c r="AB23" i="36" s="1"/>
  <c r="F23" i="36"/>
  <c r="AA23" i="36" s="1"/>
  <c r="Q22" i="36"/>
  <c r="Z22" i="36"/>
  <c r="J22" i="36"/>
  <c r="AC22" i="36" s="1"/>
  <c r="Q20" i="36"/>
  <c r="Z20" i="36" s="1"/>
  <c r="Q16" i="36"/>
  <c r="Z16" i="36" s="1"/>
  <c r="Q14" i="36"/>
  <c r="Z14" i="36"/>
  <c r="Q13" i="36"/>
  <c r="Z13" i="36" s="1"/>
  <c r="Q12" i="36"/>
  <c r="Z12" i="36" s="1"/>
  <c r="H12" i="36"/>
  <c r="U12" i="36" s="1"/>
  <c r="Q11" i="36"/>
  <c r="Z11" i="36"/>
  <c r="Q10" i="36"/>
  <c r="Z10" i="36" s="1"/>
  <c r="F10" i="36"/>
  <c r="AA10" i="36" s="1"/>
  <c r="Q9" i="36"/>
  <c r="Z9" i="36"/>
  <c r="H9" i="36"/>
  <c r="AB9" i="36" s="1"/>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J23" i="35" s="1"/>
  <c r="AC23" i="35" s="1"/>
  <c r="B57" i="35"/>
  <c r="F11" i="35" s="1"/>
  <c r="B61" i="35"/>
  <c r="B59" i="35"/>
  <c r="J12" i="35" s="1"/>
  <c r="W12" i="35" s="1"/>
  <c r="H12" i="35"/>
  <c r="B131" i="34"/>
  <c r="B129" i="34"/>
  <c r="B127" i="34"/>
  <c r="B99" i="34"/>
  <c r="B97" i="34"/>
  <c r="B95" i="34"/>
  <c r="B93" i="34"/>
  <c r="F29" i="34" s="1"/>
  <c r="S29" i="34" s="1"/>
  <c r="B75" i="34"/>
  <c r="B73" i="34"/>
  <c r="B71" i="34"/>
  <c r="B130" i="33"/>
  <c r="H46" i="33" s="1"/>
  <c r="B128" i="33"/>
  <c r="B126" i="33"/>
  <c r="B98" i="33"/>
  <c r="H31" i="33" s="1"/>
  <c r="F31" i="33"/>
  <c r="B96" i="33"/>
  <c r="F30" i="33" s="1"/>
  <c r="B94" i="33"/>
  <c r="J29" i="33" s="1"/>
  <c r="B74" i="33"/>
  <c r="B72" i="33"/>
  <c r="B70" i="33"/>
  <c r="H12" i="33" s="1"/>
  <c r="D96" i="35"/>
  <c r="E96" i="35" s="1"/>
  <c r="F96" i="35" s="1"/>
  <c r="G96" i="35" s="1"/>
  <c r="D94" i="35"/>
  <c r="D84" i="35"/>
  <c r="E84" i="35" s="1"/>
  <c r="F84" i="35" s="1"/>
  <c r="G84" i="35"/>
  <c r="H84" i="35" s="1"/>
  <c r="I84" i="35" s="1"/>
  <c r="J84" i="35" s="1"/>
  <c r="K84" i="35" s="1"/>
  <c r="L84" i="35" s="1"/>
  <c r="M84" i="35" s="1"/>
  <c r="D80" i="35"/>
  <c r="D72" i="35"/>
  <c r="D70" i="35"/>
  <c r="E70" i="35" s="1"/>
  <c r="F70" i="35"/>
  <c r="G70" i="35" s="1"/>
  <c r="D66" i="35"/>
  <c r="E66" i="35" s="1"/>
  <c r="F66" i="35" s="1"/>
  <c r="G66" i="35"/>
  <c r="D64" i="35"/>
  <c r="E64" i="35" s="1"/>
  <c r="F64" i="35"/>
  <c r="G64" i="35" s="1"/>
  <c r="C53" i="35"/>
  <c r="P39" i="35"/>
  <c r="P38" i="35"/>
  <c r="V37" i="35"/>
  <c r="T37" i="35"/>
  <c r="R37" i="35"/>
  <c r="P37" i="35"/>
  <c r="Q36" i="35"/>
  <c r="Z36" i="35"/>
  <c r="J36" i="35"/>
  <c r="Q35" i="35"/>
  <c r="Z35" i="35"/>
  <c r="Q34" i="35"/>
  <c r="Z34" i="35" s="1"/>
  <c r="Q33" i="35"/>
  <c r="Z33" i="35" s="1"/>
  <c r="Q32" i="35"/>
  <c r="Z32" i="35"/>
  <c r="H32" i="35"/>
  <c r="AB32" i="35" s="1"/>
  <c r="F32" i="35"/>
  <c r="AA32" i="35"/>
  <c r="Q31" i="35"/>
  <c r="Z31" i="35" s="1"/>
  <c r="AB31" i="35"/>
  <c r="Q30" i="35"/>
  <c r="Z30" i="35" s="1"/>
  <c r="Q29" i="35"/>
  <c r="Z29" i="35"/>
  <c r="Q28" i="35"/>
  <c r="Z28" i="35" s="1"/>
  <c r="J28" i="35"/>
  <c r="H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F12" i="35"/>
  <c r="AA12" i="35" s="1"/>
  <c r="Q11" i="35"/>
  <c r="Z11" i="35" s="1"/>
  <c r="Q10" i="35"/>
  <c r="Z10" i="35" s="1"/>
  <c r="Q9" i="35"/>
  <c r="Z9" i="35"/>
  <c r="F9" i="35"/>
  <c r="AA9" i="35" s="1"/>
  <c r="J8" i="35"/>
  <c r="H8" i="35"/>
  <c r="F8" i="35"/>
  <c r="AA8" i="35" s="1"/>
  <c r="D120" i="34"/>
  <c r="E120" i="34" s="1"/>
  <c r="F120" i="34" s="1"/>
  <c r="G120" i="34"/>
  <c r="H120" i="34" s="1"/>
  <c r="I120" i="34" s="1"/>
  <c r="J120" i="34" s="1"/>
  <c r="K120" i="34" s="1"/>
  <c r="L120" i="34" s="1"/>
  <c r="M120" i="34" s="1"/>
  <c r="D90" i="34"/>
  <c r="C15" i="34"/>
  <c r="H10" i="34"/>
  <c r="AB10" i="34" s="1"/>
  <c r="D126" i="34"/>
  <c r="E126" i="34"/>
  <c r="F126" i="34"/>
  <c r="G126" i="34" s="1"/>
  <c r="D124" i="34"/>
  <c r="E124" i="34"/>
  <c r="F124" i="34"/>
  <c r="G124" i="34" s="1"/>
  <c r="H124" i="34" s="1"/>
  <c r="I124" i="34"/>
  <c r="J124" i="34" s="1"/>
  <c r="K124" i="34" s="1"/>
  <c r="L124" i="34" s="1"/>
  <c r="M124" i="34" s="1"/>
  <c r="J43" i="34"/>
  <c r="AC43" i="34" s="1"/>
  <c r="D118" i="34"/>
  <c r="E118" i="34" s="1"/>
  <c r="F118" i="34"/>
  <c r="G118" i="34" s="1"/>
  <c r="H40" i="34"/>
  <c r="D116" i="34"/>
  <c r="E116" i="34"/>
  <c r="F116" i="34" s="1"/>
  <c r="G116" i="34" s="1"/>
  <c r="H116" i="34"/>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s="1"/>
  <c r="H92" i="34" s="1"/>
  <c r="I92" i="34" s="1"/>
  <c r="J92" i="34" s="1"/>
  <c r="K92" i="34" s="1"/>
  <c r="L92" i="34" s="1"/>
  <c r="M92" i="34" s="1"/>
  <c r="B91" i="34"/>
  <c r="F28" i="34"/>
  <c r="B89" i="34"/>
  <c r="J27" i="34"/>
  <c r="D88" i="34"/>
  <c r="E88" i="34" s="1"/>
  <c r="F88" i="34"/>
  <c r="G88" i="34" s="1"/>
  <c r="H88" i="34"/>
  <c r="I88" i="34" s="1"/>
  <c r="J88" i="34" s="1"/>
  <c r="K88" i="34" s="1"/>
  <c r="L88" i="34" s="1"/>
  <c r="M88" i="34" s="1"/>
  <c r="D86" i="34"/>
  <c r="E86" i="34" s="1"/>
  <c r="D82" i="34"/>
  <c r="E82" i="34" s="1"/>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H44" i="34"/>
  <c r="AB44" i="34"/>
  <c r="Q43" i="34"/>
  <c r="Z43" i="34" s="1"/>
  <c r="F43" i="34"/>
  <c r="AA43" i="34" s="1"/>
  <c r="Q42" i="34"/>
  <c r="Z42" i="34" s="1"/>
  <c r="Q41" i="34"/>
  <c r="Z41" i="34"/>
  <c r="Q40" i="34"/>
  <c r="Z40" i="34" s="1"/>
  <c r="F40" i="34"/>
  <c r="S40" i="34" s="1"/>
  <c r="Q39" i="34"/>
  <c r="Z39" i="34" s="1"/>
  <c r="J39" i="34"/>
  <c r="AC39" i="34"/>
  <c r="H39" i="34"/>
  <c r="U39" i="34" s="1"/>
  <c r="F39" i="34"/>
  <c r="Q38" i="34"/>
  <c r="Z38" i="34"/>
  <c r="Q37" i="34"/>
  <c r="Z37" i="34"/>
  <c r="Q36" i="34"/>
  <c r="Z36" i="34"/>
  <c r="Q35" i="34"/>
  <c r="Z35" i="34"/>
  <c r="Q34" i="34"/>
  <c r="Z34" i="34"/>
  <c r="J34" i="34"/>
  <c r="H34" i="34"/>
  <c r="AB34" i="34" s="1"/>
  <c r="F34" i="34"/>
  <c r="Q33" i="34"/>
  <c r="Z33" i="34"/>
  <c r="Q32" i="34"/>
  <c r="Z32" i="34" s="1"/>
  <c r="Q31" i="34"/>
  <c r="Z31" i="34" s="1"/>
  <c r="Q30" i="34"/>
  <c r="Z30" i="34" s="1"/>
  <c r="Q29" i="34"/>
  <c r="Z29" i="34"/>
  <c r="Q28" i="34"/>
  <c r="Z28" i="34" s="1"/>
  <c r="Q27" i="34"/>
  <c r="Z27" i="34" s="1"/>
  <c r="Q25" i="34"/>
  <c r="Z25" i="34" s="1"/>
  <c r="Q23" i="34"/>
  <c r="Z23" i="34"/>
  <c r="C23" i="34"/>
  <c r="Q19" i="34"/>
  <c r="Z19" i="34"/>
  <c r="C19" i="34"/>
  <c r="Q17" i="34"/>
  <c r="Z17" i="34" s="1"/>
  <c r="C17" i="34"/>
  <c r="Q15" i="34"/>
  <c r="Z15" i="34"/>
  <c r="Q14" i="34"/>
  <c r="Z14" i="34"/>
  <c r="Q13" i="34"/>
  <c r="Z13" i="34"/>
  <c r="Q12" i="34"/>
  <c r="Z12" i="34"/>
  <c r="Q11" i="34"/>
  <c r="Z11" i="34"/>
  <c r="Q10" i="34"/>
  <c r="Z10" i="34"/>
  <c r="F10" i="34"/>
  <c r="S10" i="34" s="1"/>
  <c r="Q9" i="34"/>
  <c r="Z9" i="34" s="1"/>
  <c r="F9" i="34"/>
  <c r="AA9" i="34" s="1"/>
  <c r="J8" i="34"/>
  <c r="H8" i="34"/>
  <c r="U8" i="34"/>
  <c r="F8" i="34"/>
  <c r="AA8" i="34" s="1"/>
  <c r="D121" i="33"/>
  <c r="E121" i="33" s="1"/>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s="1"/>
  <c r="F115" i="33" s="1"/>
  <c r="G115" i="33"/>
  <c r="H115" i="33" s="1"/>
  <c r="I115" i="33" s="1"/>
  <c r="J115" i="33" s="1"/>
  <c r="K115" i="33" s="1"/>
  <c r="L115" i="33" s="1"/>
  <c r="M115" i="33" s="1"/>
  <c r="D108" i="33"/>
  <c r="E108" i="33"/>
  <c r="F108" i="33"/>
  <c r="G108" i="33" s="1"/>
  <c r="H108" i="33" s="1"/>
  <c r="I108" i="33"/>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D87" i="33"/>
  <c r="E87" i="33"/>
  <c r="D85" i="33"/>
  <c r="E85" i="33" s="1"/>
  <c r="D81" i="33"/>
  <c r="E81" i="33"/>
  <c r="F81" i="33"/>
  <c r="G81" i="33" s="1"/>
  <c r="D79" i="33"/>
  <c r="E79" i="33"/>
  <c r="D77" i="33"/>
  <c r="E77" i="33" s="1"/>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J9" i="33" s="1"/>
  <c r="P49" i="33"/>
  <c r="P48" i="33"/>
  <c r="V47" i="33"/>
  <c r="T47" i="33"/>
  <c r="R47" i="33"/>
  <c r="P47" i="33"/>
  <c r="Q46" i="33"/>
  <c r="Z46" i="33" s="1"/>
  <c r="Q45" i="33"/>
  <c r="Z45" i="33" s="1"/>
  <c r="Q44" i="33"/>
  <c r="Z44" i="33" s="1"/>
  <c r="Q43" i="33"/>
  <c r="Z43" i="33"/>
  <c r="Q42" i="33"/>
  <c r="Z42" i="33" s="1"/>
  <c r="J42" i="33"/>
  <c r="AC42" i="33" s="1"/>
  <c r="W41" i="33"/>
  <c r="Q41" i="33"/>
  <c r="Z41" i="33"/>
  <c r="Q40" i="33"/>
  <c r="Z40" i="33"/>
  <c r="J40" i="33"/>
  <c r="AC40" i="33"/>
  <c r="H40" i="33"/>
  <c r="AA40" i="33"/>
  <c r="Q39" i="33"/>
  <c r="Z39" i="33"/>
  <c r="J39" i="33"/>
  <c r="AC39" i="33"/>
  <c r="Q38" i="33"/>
  <c r="Z38" i="33"/>
  <c r="J38" i="33"/>
  <c r="W38" i="33" s="1"/>
  <c r="AC38" i="33"/>
  <c r="H38" i="33"/>
  <c r="AB38" i="33"/>
  <c r="F38" i="33"/>
  <c r="AA38" i="33"/>
  <c r="Q37" i="33"/>
  <c r="Z37" i="33"/>
  <c r="Q36" i="33"/>
  <c r="Z36" i="33"/>
  <c r="Q35" i="33"/>
  <c r="Z35" i="33"/>
  <c r="H35" i="33"/>
  <c r="AB35" i="33"/>
  <c r="Q34" i="33"/>
  <c r="Z34" i="33"/>
  <c r="Q33" i="33"/>
  <c r="Z33" i="33"/>
  <c r="J33" i="33"/>
  <c r="AC33" i="33"/>
  <c r="H33" i="33"/>
  <c r="U33" i="33" s="1"/>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U12" i="33"/>
  <c r="F12" i="33"/>
  <c r="S12" i="33" s="1"/>
  <c r="Q11" i="33"/>
  <c r="Z11" i="33"/>
  <c r="Q10" i="33"/>
  <c r="Z10" i="33" s="1"/>
  <c r="Q9" i="33"/>
  <c r="Z9" i="33"/>
  <c r="J8" i="33"/>
  <c r="W8" i="33"/>
  <c r="H8" i="33"/>
  <c r="F8" i="33"/>
  <c r="S8" i="33" s="1"/>
  <c r="M102" i="21"/>
  <c r="D102" i="21"/>
  <c r="E102" i="21"/>
  <c r="F102" i="21"/>
  <c r="G102" i="21"/>
  <c r="H102" i="21"/>
  <c r="I102" i="21"/>
  <c r="J102" i="21"/>
  <c r="K102" i="21"/>
  <c r="L102" i="21"/>
  <c r="C102" i="21"/>
  <c r="C63" i="21"/>
  <c r="G18" i="20"/>
  <c r="B90" i="46" s="1"/>
  <c r="C25" i="40"/>
  <c r="G16" i="20"/>
  <c r="G15" i="20"/>
  <c r="B83" i="46" s="1"/>
  <c r="C24" i="20"/>
  <c r="B75" i="46"/>
  <c r="C21" i="20"/>
  <c r="C20" i="20"/>
  <c r="C18" i="20"/>
  <c r="B73" i="46"/>
  <c r="C17" i="20"/>
  <c r="B61" i="46" s="1"/>
  <c r="C16" i="20"/>
  <c r="B50" i="46" s="1"/>
  <c r="C15" i="20"/>
  <c r="B72" i="46" s="1"/>
  <c r="E54" i="21"/>
  <c r="F54" i="21"/>
  <c r="I54" i="21"/>
  <c r="J54" i="21" s="1"/>
  <c r="G54" i="21"/>
  <c r="H54" i="21" s="1"/>
  <c r="D125" i="21"/>
  <c r="E125" i="21" s="1"/>
  <c r="F125" i="21" s="1"/>
  <c r="G125" i="21" s="1"/>
  <c r="D123" i="21"/>
  <c r="E123" i="21"/>
  <c r="F123" i="21" s="1"/>
  <c r="G123" i="21" s="1"/>
  <c r="H123" i="21"/>
  <c r="I123" i="21" s="1"/>
  <c r="J123" i="21" s="1"/>
  <c r="K123" i="21" s="1"/>
  <c r="L123" i="21" s="1"/>
  <c r="M123" i="21" s="1"/>
  <c r="H42" i="21"/>
  <c r="AB42" i="21" s="1"/>
  <c r="D119" i="21"/>
  <c r="D117" i="21"/>
  <c r="E117" i="21"/>
  <c r="F117" i="21" s="1"/>
  <c r="G117" i="21" s="1"/>
  <c r="D115" i="21"/>
  <c r="E115" i="21" s="1"/>
  <c r="F115" i="21" s="1"/>
  <c r="G115" i="2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E106" i="21" s="1"/>
  <c r="F106" i="21"/>
  <c r="G106" i="21" s="1"/>
  <c r="H106" i="2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c r="J69" i="21" s="1"/>
  <c r="K69" i="21" s="1"/>
  <c r="L69" i="21" s="1"/>
  <c r="M69" i="21" s="1"/>
  <c r="D111" i="21"/>
  <c r="E111" i="21"/>
  <c r="F111" i="21"/>
  <c r="C111" i="21"/>
  <c r="D79" i="21"/>
  <c r="E79" i="21" s="1"/>
  <c r="F79" i="21" s="1"/>
  <c r="G79" i="21" s="1"/>
  <c r="D85" i="21"/>
  <c r="E85" i="21"/>
  <c r="D81" i="21"/>
  <c r="E81" i="21"/>
  <c r="F81" i="21" s="1"/>
  <c r="G81" i="21"/>
  <c r="D77" i="21"/>
  <c r="E77" i="21"/>
  <c r="B130" i="21"/>
  <c r="B128" i="21"/>
  <c r="B126" i="21"/>
  <c r="B98" i="21"/>
  <c r="J31" i="21" s="1"/>
  <c r="AC31" i="21" s="1"/>
  <c r="B96" i="21"/>
  <c r="B94" i="21"/>
  <c r="F29" i="21" s="1"/>
  <c r="S29" i="21" s="1"/>
  <c r="B92" i="21"/>
  <c r="B90" i="21"/>
  <c r="B74" i="21"/>
  <c r="F14" i="21" s="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s="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B5" i="3" s="1"/>
  <c r="BC570" i="3"/>
  <c r="BD570" i="3"/>
  <c r="BE570" i="3"/>
  <c r="BF570" i="3"/>
  <c r="BG570" i="3"/>
  <c r="BH570" i="3"/>
  <c r="BI570" i="3"/>
  <c r="BJ570" i="3"/>
  <c r="BK570" i="3"/>
  <c r="BM570" i="3"/>
  <c r="BN570" i="3"/>
  <c r="BO570" i="3"/>
  <c r="BP570" i="3"/>
  <c r="BQ570" i="3"/>
  <c r="BR570" i="3"/>
  <c r="BS570" i="3"/>
  <c r="BT570" i="3"/>
  <c r="BB571" i="3"/>
  <c r="BA571" i="3" s="1"/>
  <c r="BC571" i="3"/>
  <c r="BD571" i="3"/>
  <c r="BD5" i="3" s="1"/>
  <c r="BE571" i="3"/>
  <c r="BF571" i="3"/>
  <c r="BG571" i="3"/>
  <c r="BH571" i="3"/>
  <c r="BH5" i="3" s="1"/>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L572" i="3" s="1"/>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c r="J40" i="21"/>
  <c r="W40" i="21" s="1"/>
  <c r="H35" i="21"/>
  <c r="AB35" i="21" s="1"/>
  <c r="J8" i="21"/>
  <c r="H8" i="21"/>
  <c r="H10" i="21"/>
  <c r="U10" i="21" s="1"/>
  <c r="H39" i="21"/>
  <c r="AB39" i="21" s="1"/>
  <c r="J34" i="21"/>
  <c r="W34" i="21"/>
  <c r="H36" i="21"/>
  <c r="U36" i="21" s="1"/>
  <c r="F35" i="21"/>
  <c r="AA35" i="21" s="1"/>
  <c r="J33" i="21"/>
  <c r="W33" i="21" s="1"/>
  <c r="H33" i="21"/>
  <c r="U33" i="21"/>
  <c r="F33" i="21"/>
  <c r="J10" i="21"/>
  <c r="AC10" i="21"/>
  <c r="H26" i="21"/>
  <c r="U26" i="21" s="1"/>
  <c r="F19" i="21"/>
  <c r="AA19" i="21" s="1"/>
  <c r="H19" i="21"/>
  <c r="AB19" i="21" s="1"/>
  <c r="J19" i="21"/>
  <c r="W19" i="21" s="1"/>
  <c r="J12" i="21"/>
  <c r="H12" i="21"/>
  <c r="U12" i="21" s="1"/>
  <c r="J26" i="21"/>
  <c r="W26" i="21"/>
  <c r="F26" i="21"/>
  <c r="AA26" i="21" s="1"/>
  <c r="S41" i="21"/>
  <c r="AA41" i="21"/>
  <c r="W41" i="21"/>
  <c r="S10" i="39"/>
  <c r="U30" i="37"/>
  <c r="E103" i="37"/>
  <c r="F103" i="37"/>
  <c r="G103" i="37" s="1"/>
  <c r="W39" i="37"/>
  <c r="F29" i="36"/>
  <c r="AA29" i="36" s="1"/>
  <c r="F16" i="36"/>
  <c r="AA16" i="36" s="1"/>
  <c r="U22" i="36"/>
  <c r="W22" i="36"/>
  <c r="U26" i="36"/>
  <c r="AC31" i="36"/>
  <c r="AC27" i="35"/>
  <c r="U31" i="35"/>
  <c r="W24" i="35"/>
  <c r="F36" i="34"/>
  <c r="S36" i="34"/>
  <c r="W39" i="34"/>
  <c r="H39" i="33"/>
  <c r="AB39" i="33" s="1"/>
  <c r="F26" i="33"/>
  <c r="AA26" i="33" s="1"/>
  <c r="S40" i="33"/>
  <c r="S33" i="33"/>
  <c r="W33" i="33"/>
  <c r="U38" i="33"/>
  <c r="S8" i="21"/>
  <c r="AB27" i="35"/>
  <c r="W10" i="40"/>
  <c r="U11" i="40"/>
  <c r="S40" i="39"/>
  <c r="F11" i="21"/>
  <c r="S11" i="21" s="1"/>
  <c r="AC40" i="21"/>
  <c r="AB36" i="21"/>
  <c r="C23" i="39"/>
  <c r="U36" i="39"/>
  <c r="H32" i="33"/>
  <c r="AB32" i="33"/>
  <c r="H11" i="21"/>
  <c r="U11" i="21"/>
  <c r="J11" i="21"/>
  <c r="W11" i="21"/>
  <c r="AA12" i="33"/>
  <c r="J27" i="36"/>
  <c r="W27" i="36"/>
  <c r="J34" i="36"/>
  <c r="W34" i="36" s="1"/>
  <c r="J30" i="35"/>
  <c r="W30" i="35" s="1"/>
  <c r="F22" i="35"/>
  <c r="H10" i="35"/>
  <c r="U10" i="35" s="1"/>
  <c r="U29" i="36"/>
  <c r="E85" i="36"/>
  <c r="F85" i="36" s="1"/>
  <c r="G85" i="36"/>
  <c r="H85" i="36" s="1"/>
  <c r="I85" i="36" s="1"/>
  <c r="J85" i="36" s="1"/>
  <c r="K85" i="36" s="1"/>
  <c r="L85" i="36" s="1"/>
  <c r="M85" i="36" s="1"/>
  <c r="J29" i="36"/>
  <c r="AC29" i="36"/>
  <c r="S12" i="36"/>
  <c r="F24" i="36"/>
  <c r="AA24" i="36" s="1"/>
  <c r="S34" i="36"/>
  <c r="AB8" i="36"/>
  <c r="H16" i="35"/>
  <c r="H33" i="35"/>
  <c r="AB33" i="35"/>
  <c r="F35" i="37"/>
  <c r="S35" i="37" s="1"/>
  <c r="E101" i="37"/>
  <c r="F101" i="37"/>
  <c r="G101" i="37" s="1"/>
  <c r="H101" i="37" s="1"/>
  <c r="I101" i="37" s="1"/>
  <c r="J101" i="37" s="1"/>
  <c r="K101" i="37" s="1"/>
  <c r="L101" i="37" s="1"/>
  <c r="M101" i="37" s="1"/>
  <c r="J34" i="37"/>
  <c r="W34" i="37" s="1"/>
  <c r="H43" i="34"/>
  <c r="AB43" i="34" s="1"/>
  <c r="U42" i="34"/>
  <c r="H36" i="34"/>
  <c r="F37" i="34"/>
  <c r="AA37" i="34" s="1"/>
  <c r="F33" i="34"/>
  <c r="S33" i="34"/>
  <c r="F19" i="34"/>
  <c r="AA19" i="34"/>
  <c r="J10" i="34"/>
  <c r="AC10" i="34" s="1"/>
  <c r="J28" i="34"/>
  <c r="S38" i="33"/>
  <c r="F36" i="33"/>
  <c r="S36" i="33"/>
  <c r="F19" i="33"/>
  <c r="S19" i="33" s="1"/>
  <c r="J19" i="33"/>
  <c r="AC19" i="33" s="1"/>
  <c r="S10" i="21"/>
  <c r="W40" i="33"/>
  <c r="AB30" i="36"/>
  <c r="H29" i="35"/>
  <c r="U29" i="35" s="1"/>
  <c r="U34" i="37"/>
  <c r="AB42" i="34"/>
  <c r="J19" i="34"/>
  <c r="AC19" i="34" s="1"/>
  <c r="F113" i="33"/>
  <c r="G113" i="33" s="1"/>
  <c r="H113" i="33" s="1"/>
  <c r="I113" i="33"/>
  <c r="J113" i="33" s="1"/>
  <c r="K113" i="33" s="1"/>
  <c r="L113" i="33" s="1"/>
  <c r="M113" i="33" s="1"/>
  <c r="H37" i="33"/>
  <c r="AB37" i="33" s="1"/>
  <c r="AA42" i="34"/>
  <c r="S42" i="34"/>
  <c r="AC38" i="34"/>
  <c r="J37" i="33"/>
  <c r="W37" i="33" s="1"/>
  <c r="J42" i="21"/>
  <c r="J44" i="34"/>
  <c r="AC44" i="34" s="1"/>
  <c r="F44" i="34"/>
  <c r="S44" i="34"/>
  <c r="J10" i="35"/>
  <c r="W10" i="35" s="1"/>
  <c r="AL5" i="3"/>
  <c r="BQ13" i="3"/>
  <c r="J14" i="21"/>
  <c r="AC14" i="21" s="1"/>
  <c r="AA14" i="21"/>
  <c r="H14" i="21"/>
  <c r="U14" i="21"/>
  <c r="H28" i="21"/>
  <c r="AB28" i="21"/>
  <c r="F28" i="21"/>
  <c r="S28" i="21" s="1"/>
  <c r="J28" i="21"/>
  <c r="AC28" i="21" s="1"/>
  <c r="H30" i="21"/>
  <c r="U30" i="21"/>
  <c r="F30" i="21"/>
  <c r="S30" i="21" s="1"/>
  <c r="J30" i="21"/>
  <c r="AC30" i="21" s="1"/>
  <c r="J44" i="21"/>
  <c r="AC44" i="21"/>
  <c r="H44" i="21"/>
  <c r="U44" i="21"/>
  <c r="F44" i="21"/>
  <c r="AA44" i="21"/>
  <c r="J46" i="21"/>
  <c r="W46" i="21" s="1"/>
  <c r="H26" i="33"/>
  <c r="U26" i="33"/>
  <c r="H28" i="33"/>
  <c r="F28" i="33"/>
  <c r="J28" i="33"/>
  <c r="F33" i="35"/>
  <c r="S33" i="35"/>
  <c r="J33" i="35"/>
  <c r="W33" i="35" s="1"/>
  <c r="F30" i="35"/>
  <c r="AA30" i="35" s="1"/>
  <c r="E89" i="35"/>
  <c r="F89" i="35" s="1"/>
  <c r="G89" i="35" s="1"/>
  <c r="H89" i="35" s="1"/>
  <c r="I89" i="35" s="1"/>
  <c r="J89" i="35" s="1"/>
  <c r="K89" i="35" s="1"/>
  <c r="L89" i="35" s="1"/>
  <c r="M89" i="35" s="1"/>
  <c r="H10" i="36"/>
  <c r="AB10" i="36" s="1"/>
  <c r="F28" i="36"/>
  <c r="S28" i="36" s="1"/>
  <c r="F27" i="36"/>
  <c r="S27" i="36" s="1"/>
  <c r="F13" i="21"/>
  <c r="AA13" i="21" s="1"/>
  <c r="H29" i="21"/>
  <c r="U29" i="21" s="1"/>
  <c r="H31" i="21"/>
  <c r="U31" i="21" s="1"/>
  <c r="J27" i="33"/>
  <c r="AC27" i="33" s="1"/>
  <c r="F27" i="33"/>
  <c r="AA27" i="33" s="1"/>
  <c r="S27" i="33"/>
  <c r="F13" i="33"/>
  <c r="S13" i="33" s="1"/>
  <c r="J31" i="33"/>
  <c r="AC31" i="33" s="1"/>
  <c r="U31" i="33"/>
  <c r="S11" i="35"/>
  <c r="H28" i="36"/>
  <c r="AB32" i="36"/>
  <c r="J32" i="36"/>
  <c r="J11" i="36"/>
  <c r="W11" i="36" s="1"/>
  <c r="E89" i="37"/>
  <c r="F89" i="37" s="1"/>
  <c r="G89" i="37" s="1"/>
  <c r="H89" i="37" s="1"/>
  <c r="I89" i="37" s="1"/>
  <c r="J89" i="37" s="1"/>
  <c r="K89" i="37" s="1"/>
  <c r="L89" i="37" s="1"/>
  <c r="M89" i="37" s="1"/>
  <c r="J29" i="37"/>
  <c r="W29" i="37"/>
  <c r="F29" i="37"/>
  <c r="AA29" i="37"/>
  <c r="F107" i="37"/>
  <c r="G107" i="37" s="1"/>
  <c r="H107" i="37" s="1"/>
  <c r="I107" i="37" s="1"/>
  <c r="J107" i="37" s="1"/>
  <c r="K107" i="37" s="1"/>
  <c r="L107" i="37" s="1"/>
  <c r="M107" i="37" s="1"/>
  <c r="J37" i="37"/>
  <c r="AC37" i="37" s="1"/>
  <c r="H37" i="37"/>
  <c r="U37" i="37" s="1"/>
  <c r="H40" i="37"/>
  <c r="J40" i="37"/>
  <c r="AC40" i="37" s="1"/>
  <c r="F40" i="37"/>
  <c r="AA40" i="37" s="1"/>
  <c r="F14" i="33"/>
  <c r="AA14" i="33"/>
  <c r="H30" i="33"/>
  <c r="AB30" i="33" s="1"/>
  <c r="S30" i="33"/>
  <c r="J30" i="33"/>
  <c r="J46" i="33"/>
  <c r="F46" i="33"/>
  <c r="AB46" i="33"/>
  <c r="H13" i="34"/>
  <c r="U13" i="34" s="1"/>
  <c r="J13" i="34"/>
  <c r="W13" i="34" s="1"/>
  <c r="F13" i="34"/>
  <c r="AA13" i="34" s="1"/>
  <c r="J29" i="34"/>
  <c r="AC29" i="34"/>
  <c r="H29" i="34"/>
  <c r="U29" i="34" s="1"/>
  <c r="J31" i="34"/>
  <c r="AC31" i="34" s="1"/>
  <c r="H31" i="34"/>
  <c r="AB31" i="34"/>
  <c r="F31" i="34"/>
  <c r="S31" i="34" s="1"/>
  <c r="H45" i="34"/>
  <c r="U45" i="34" s="1"/>
  <c r="J45" i="34"/>
  <c r="W45" i="34" s="1"/>
  <c r="F45" i="34"/>
  <c r="AA45" i="34"/>
  <c r="H47" i="34"/>
  <c r="U47" i="34" s="1"/>
  <c r="F47" i="34"/>
  <c r="AA47" i="34" s="1"/>
  <c r="J47" i="34"/>
  <c r="AC47" i="34" s="1"/>
  <c r="F13" i="35"/>
  <c r="S13" i="35"/>
  <c r="J13" i="35"/>
  <c r="AC13" i="35" s="1"/>
  <c r="H13" i="35"/>
  <c r="U13" i="35" s="1"/>
  <c r="J25" i="35"/>
  <c r="F25" i="35"/>
  <c r="AA25" i="35"/>
  <c r="H25" i="35"/>
  <c r="AB25" i="35" s="1"/>
  <c r="J35" i="35"/>
  <c r="F35" i="35"/>
  <c r="S35" i="35" s="1"/>
  <c r="H35" i="35"/>
  <c r="U35" i="35"/>
  <c r="J25" i="36"/>
  <c r="W25" i="36" s="1"/>
  <c r="F25" i="36"/>
  <c r="AA25" i="36" s="1"/>
  <c r="H25" i="36"/>
  <c r="AB25" i="36" s="1"/>
  <c r="H13" i="37"/>
  <c r="AB13" i="37"/>
  <c r="F13" i="37"/>
  <c r="S13" i="37" s="1"/>
  <c r="J13" i="37"/>
  <c r="AC13" i="37" s="1"/>
  <c r="F28" i="37"/>
  <c r="AA28" i="37" s="1"/>
  <c r="J28" i="37"/>
  <c r="AC28" i="37"/>
  <c r="H28" i="37"/>
  <c r="U28" i="37" s="1"/>
  <c r="H38" i="37"/>
  <c r="AB38" i="37" s="1"/>
  <c r="J38" i="37"/>
  <c r="AC38" i="37" s="1"/>
  <c r="F38" i="37"/>
  <c r="S38" i="37"/>
  <c r="F14" i="37"/>
  <c r="AA14" i="37" s="1"/>
  <c r="F27" i="37"/>
  <c r="J14" i="37"/>
  <c r="W14" i="37" s="1"/>
  <c r="AA38" i="37"/>
  <c r="AB13" i="35"/>
  <c r="U30" i="33"/>
  <c r="J36" i="37"/>
  <c r="AC36" i="37"/>
  <c r="G105" i="37"/>
  <c r="AB30" i="21"/>
  <c r="AA28" i="21"/>
  <c r="AB14" i="21"/>
  <c r="W14" i="21"/>
  <c r="W31" i="34"/>
  <c r="AB31" i="33"/>
  <c r="U28" i="21"/>
  <c r="AB44" i="21"/>
  <c r="S19" i="21"/>
  <c r="G529" i="3"/>
  <c r="G517" i="3"/>
  <c r="G508" i="3"/>
  <c r="G557" i="3"/>
  <c r="G549" i="3"/>
  <c r="G539" i="3"/>
  <c r="BL569" i="3"/>
  <c r="BL553" i="3"/>
  <c r="BL535" i="3"/>
  <c r="BL511" i="3"/>
  <c r="G16" i="3"/>
  <c r="BL555" i="3"/>
  <c r="G518" i="3"/>
  <c r="G510" i="3"/>
  <c r="BL503" i="3"/>
  <c r="G18" i="3"/>
  <c r="BA569" i="3"/>
  <c r="AZ569" i="3" s="1"/>
  <c r="BA551" i="3"/>
  <c r="BA543" i="3"/>
  <c r="BA521" i="3"/>
  <c r="BA501" i="3"/>
  <c r="BA493" i="3"/>
  <c r="BA562" i="3"/>
  <c r="BA558" i="3"/>
  <c r="BA554" i="3"/>
  <c r="BA544" i="3"/>
  <c r="BA524" i="3"/>
  <c r="BA512" i="3"/>
  <c r="BA508" i="3"/>
  <c r="AZ508" i="3" s="1"/>
  <c r="BA488" i="3"/>
  <c r="BA20" i="3"/>
  <c r="G558" i="3"/>
  <c r="G556" i="3"/>
  <c r="G554" i="3"/>
  <c r="G546" i="3"/>
  <c r="BL543" i="3"/>
  <c r="AZ543" i="3" s="1"/>
  <c r="AC542" i="3"/>
  <c r="G542" i="3"/>
  <c r="BQ542" i="3"/>
  <c r="BQ568" i="3"/>
  <c r="BQ566" i="3"/>
  <c r="BQ564" i="3"/>
  <c r="BQ562" i="3"/>
  <c r="BQ560" i="3"/>
  <c r="BQ558" i="3"/>
  <c r="BL558" i="3"/>
  <c r="BQ556" i="3"/>
  <c r="BQ554" i="3"/>
  <c r="BQ552" i="3"/>
  <c r="BQ550" i="3"/>
  <c r="BQ548" i="3"/>
  <c r="BQ546" i="3"/>
  <c r="BQ544" i="3"/>
  <c r="BL544" i="3" s="1"/>
  <c r="G544" i="3"/>
  <c r="G538" i="3"/>
  <c r="G530" i="3"/>
  <c r="G526" i="3"/>
  <c r="G522" i="3"/>
  <c r="BQ540" i="3"/>
  <c r="BL540" i="3"/>
  <c r="BQ538" i="3"/>
  <c r="BQ536" i="3"/>
  <c r="BQ534" i="3"/>
  <c r="BQ532" i="3"/>
  <c r="BL532" i="3" s="1"/>
  <c r="BQ530" i="3"/>
  <c r="BQ528" i="3"/>
  <c r="BQ526" i="3"/>
  <c r="BL526" i="3" s="1"/>
  <c r="BQ524" i="3"/>
  <c r="BL524" i="3" s="1"/>
  <c r="AZ524" i="3" s="1"/>
  <c r="BQ522" i="3"/>
  <c r="BQ520" i="3"/>
  <c r="BL520" i="3"/>
  <c r="BQ518" i="3"/>
  <c r="BL518" i="3" s="1"/>
  <c r="BQ516" i="3"/>
  <c r="BQ514" i="3"/>
  <c r="BQ512" i="3"/>
  <c r="BQ510" i="3"/>
  <c r="BQ508" i="3"/>
  <c r="BL508" i="3"/>
  <c r="AC506" i="3"/>
  <c r="G506" i="3" s="1"/>
  <c r="BQ506" i="3"/>
  <c r="G502" i="3"/>
  <c r="BQ504" i="3"/>
  <c r="BQ502" i="3"/>
  <c r="BL502" i="3"/>
  <c r="BQ500" i="3"/>
  <c r="BQ498" i="3"/>
  <c r="BQ496" i="3"/>
  <c r="BL496" i="3" s="1"/>
  <c r="AC494" i="3"/>
  <c r="BQ494" i="3"/>
  <c r="G492" i="3"/>
  <c r="G488" i="3"/>
  <c r="G484"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c r="F25" i="21"/>
  <c r="S25" i="21"/>
  <c r="J25" i="21"/>
  <c r="AC25" i="21"/>
  <c r="E125" i="33"/>
  <c r="F125" i="33"/>
  <c r="G125" i="33" s="1"/>
  <c r="H43" i="33"/>
  <c r="U43" i="33"/>
  <c r="H17" i="37"/>
  <c r="F23" i="37"/>
  <c r="S23" i="37" s="1"/>
  <c r="F79" i="37"/>
  <c r="G79" i="37" s="1"/>
  <c r="F39" i="33"/>
  <c r="S39" i="33" s="1"/>
  <c r="AA39" i="33"/>
  <c r="F42" i="33"/>
  <c r="AA42" i="33"/>
  <c r="H28" i="34"/>
  <c r="AB28" i="34" s="1"/>
  <c r="F22" i="36"/>
  <c r="S22" i="36"/>
  <c r="H35" i="34"/>
  <c r="U35" i="34" s="1"/>
  <c r="F41" i="34"/>
  <c r="S41" i="34"/>
  <c r="H41" i="34"/>
  <c r="U41" i="34" s="1"/>
  <c r="J41" i="34"/>
  <c r="W41" i="34"/>
  <c r="F10" i="35"/>
  <c r="AA10" i="35" s="1"/>
  <c r="H24" i="35"/>
  <c r="AB24" i="35" s="1"/>
  <c r="H23" i="37"/>
  <c r="AB23" i="37" s="1"/>
  <c r="J32" i="37"/>
  <c r="AC32" i="37"/>
  <c r="F36" i="37"/>
  <c r="S36" i="37" s="1"/>
  <c r="F37" i="37"/>
  <c r="AA37" i="37" s="1"/>
  <c r="AC41" i="34"/>
  <c r="H42" i="33"/>
  <c r="U42" i="33" s="1"/>
  <c r="J43" i="33"/>
  <c r="AC43" i="33" s="1"/>
  <c r="J23" i="37"/>
  <c r="W23" i="37" s="1"/>
  <c r="F17" i="37"/>
  <c r="AA17" i="37"/>
  <c r="AB43" i="33"/>
  <c r="D3" i="21"/>
  <c r="AC12" i="35"/>
  <c r="W23" i="35"/>
  <c r="AC23" i="37"/>
  <c r="AC8" i="37"/>
  <c r="S25" i="37"/>
  <c r="AB8" i="34"/>
  <c r="AC37" i="33"/>
  <c r="AA13" i="33"/>
  <c r="AC33" i="21"/>
  <c r="AA36" i="21"/>
  <c r="F43" i="33"/>
  <c r="AA43" i="33" s="1"/>
  <c r="F37" i="21"/>
  <c r="S37" i="21"/>
  <c r="J37" i="21"/>
  <c r="W37" i="21" s="1"/>
  <c r="H19" i="34"/>
  <c r="AB19" i="34" s="1"/>
  <c r="J10" i="37"/>
  <c r="AC10" i="37" s="1"/>
  <c r="F36" i="35"/>
  <c r="S36" i="35"/>
  <c r="J9" i="37"/>
  <c r="W9" i="37"/>
  <c r="H9" i="37"/>
  <c r="U9" i="37"/>
  <c r="F9" i="37"/>
  <c r="S9" i="37"/>
  <c r="F11" i="37"/>
  <c r="S11" i="37"/>
  <c r="J12" i="37"/>
  <c r="AC12" i="37"/>
  <c r="H12" i="37"/>
  <c r="AB12" i="37"/>
  <c r="F12" i="37"/>
  <c r="AA12" i="37"/>
  <c r="H15" i="37"/>
  <c r="U15" i="37"/>
  <c r="E94" i="37"/>
  <c r="F94" i="37" s="1"/>
  <c r="G94" i="37" s="1"/>
  <c r="H94" i="37" s="1"/>
  <c r="I94" i="37" s="1"/>
  <c r="J94" i="37" s="1"/>
  <c r="K94" i="37" s="1"/>
  <c r="L94" i="37" s="1"/>
  <c r="M94" i="37" s="1"/>
  <c r="F31" i="37"/>
  <c r="S31" i="37" s="1"/>
  <c r="H31" i="37"/>
  <c r="U31" i="37" s="1"/>
  <c r="AB31" i="37"/>
  <c r="J15" i="37"/>
  <c r="W15" i="37" s="1"/>
  <c r="U12" i="37"/>
  <c r="J11" i="37"/>
  <c r="W11" i="37"/>
  <c r="E89" i="40"/>
  <c r="F89" i="40" s="1"/>
  <c r="G89" i="40" s="1"/>
  <c r="F21" i="40"/>
  <c r="S21" i="40" s="1"/>
  <c r="J21" i="40"/>
  <c r="AC21" i="40" s="1"/>
  <c r="S27" i="31"/>
  <c r="G483" i="3"/>
  <c r="G507" i="3"/>
  <c r="G501" i="3"/>
  <c r="BA15" i="3"/>
  <c r="BL17" i="3"/>
  <c r="BL15" i="3"/>
  <c r="BA14" i="3"/>
  <c r="AZ14" i="3" s="1"/>
  <c r="H13" i="40"/>
  <c r="U13" i="40" s="1"/>
  <c r="I4" i="4"/>
  <c r="K141" i="21"/>
  <c r="K143" i="21"/>
  <c r="K144" i="21"/>
  <c r="I58" i="40"/>
  <c r="C58" i="40" s="1"/>
  <c r="I59" i="40"/>
  <c r="C59" i="40" s="1"/>
  <c r="G297" i="3"/>
  <c r="BL298" i="3"/>
  <c r="AZ298" i="3" s="1"/>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AZ361" i="3" s="1"/>
  <c r="G362" i="3"/>
  <c r="BA363" i="3"/>
  <c r="G371" i="3"/>
  <c r="BL372" i="3"/>
  <c r="G373" i="3"/>
  <c r="BL374" i="3"/>
  <c r="BA376" i="3"/>
  <c r="BA377" i="3"/>
  <c r="AZ377" i="3" s="1"/>
  <c r="BL377" i="3"/>
  <c r="G378" i="3"/>
  <c r="BA379" i="3"/>
  <c r="AZ379" i="3" s="1"/>
  <c r="BA114" i="3"/>
  <c r="AZ114" i="3" s="1"/>
  <c r="BL115" i="3"/>
  <c r="G116" i="3"/>
  <c r="BA118" i="3"/>
  <c r="BL119" i="3"/>
  <c r="AZ119" i="3"/>
  <c r="G120" i="3"/>
  <c r="BA122" i="3"/>
  <c r="AZ122" i="3" s="1"/>
  <c r="BL123" i="3"/>
  <c r="AZ123" i="3" s="1"/>
  <c r="G124" i="3"/>
  <c r="BA126" i="3"/>
  <c r="BL127" i="3"/>
  <c r="G128" i="3"/>
  <c r="BA130" i="3"/>
  <c r="AZ130" i="3" s="1"/>
  <c r="BL131" i="3"/>
  <c r="G132" i="3"/>
  <c r="BA134" i="3"/>
  <c r="BL135" i="3"/>
  <c r="AZ135" i="3" s="1"/>
  <c r="G136" i="3"/>
  <c r="BA138" i="3"/>
  <c r="AZ138" i="3" s="1"/>
  <c r="BL139" i="3"/>
  <c r="AZ139" i="3"/>
  <c r="G140" i="3"/>
  <c r="BA142" i="3"/>
  <c r="BL143" i="3"/>
  <c r="G144" i="3"/>
  <c r="BA146" i="3"/>
  <c r="AZ146" i="3" s="1"/>
  <c r="BL147" i="3"/>
  <c r="G148" i="3"/>
  <c r="BA150" i="3"/>
  <c r="BL151" i="3"/>
  <c r="AZ151" i="3" s="1"/>
  <c r="BA153" i="3"/>
  <c r="BL154" i="3"/>
  <c r="AZ154" i="3" s="1"/>
  <c r="G155" i="3"/>
  <c r="BA157" i="3"/>
  <c r="AZ157" i="3" s="1"/>
  <c r="BL158" i="3"/>
  <c r="G159" i="3"/>
  <c r="BA161" i="3"/>
  <c r="BL162" i="3"/>
  <c r="AZ162" i="3" s="1"/>
  <c r="G163" i="3"/>
  <c r="BA165" i="3"/>
  <c r="BL166" i="3"/>
  <c r="G167" i="3"/>
  <c r="BA169" i="3"/>
  <c r="AZ169" i="3" s="1"/>
  <c r="BL170" i="3"/>
  <c r="G171" i="3"/>
  <c r="BA173" i="3"/>
  <c r="AZ173" i="3" s="1"/>
  <c r="BL174" i="3"/>
  <c r="AZ174" i="3" s="1"/>
  <c r="G175" i="3"/>
  <c r="BA178" i="3"/>
  <c r="AZ178" i="3" s="1"/>
  <c r="BL179" i="3"/>
  <c r="AZ179" i="3" s="1"/>
  <c r="G180" i="3"/>
  <c r="AZ43" i="3"/>
  <c r="G537" i="3"/>
  <c r="BL181" i="3"/>
  <c r="AZ181" i="3" s="1"/>
  <c r="G182" i="3"/>
  <c r="BA184" i="3"/>
  <c r="BL185" i="3"/>
  <c r="G186" i="3"/>
  <c r="BA188" i="3"/>
  <c r="AZ188" i="3"/>
  <c r="BL189" i="3"/>
  <c r="G190" i="3"/>
  <c r="BA192" i="3"/>
  <c r="BL193" i="3"/>
  <c r="AZ193" i="3" s="1"/>
  <c r="G194" i="3"/>
  <c r="BA196" i="3"/>
  <c r="AZ196" i="3"/>
  <c r="BL197" i="3"/>
  <c r="G198" i="3"/>
  <c r="BA200" i="3"/>
  <c r="BL201" i="3"/>
  <c r="AZ185" i="3"/>
  <c r="AZ84" i="3"/>
  <c r="G491" i="3"/>
  <c r="BA298" i="3"/>
  <c r="BA299" i="3"/>
  <c r="AZ299" i="3" s="1"/>
  <c r="BL299" i="3"/>
  <c r="G300" i="3"/>
  <c r="G303" i="3"/>
  <c r="BL304" i="3"/>
  <c r="BA306" i="3"/>
  <c r="AZ306" i="3"/>
  <c r="BA307" i="3"/>
  <c r="BL307" i="3"/>
  <c r="G308" i="3"/>
  <c r="G319" i="3"/>
  <c r="BL320" i="3"/>
  <c r="BA322" i="3"/>
  <c r="BA323" i="3"/>
  <c r="BL323" i="3"/>
  <c r="G324" i="3"/>
  <c r="G327" i="3"/>
  <c r="BL328" i="3"/>
  <c r="BA330" i="3"/>
  <c r="AZ330" i="3" s="1"/>
  <c r="BA331" i="3"/>
  <c r="BL331" i="3"/>
  <c r="G332" i="3"/>
  <c r="G335" i="3"/>
  <c r="BL336" i="3"/>
  <c r="BA338" i="3"/>
  <c r="AZ338" i="3" s="1"/>
  <c r="BA339" i="3"/>
  <c r="AZ339" i="3" s="1"/>
  <c r="BL339" i="3"/>
  <c r="G340" i="3"/>
  <c r="G343" i="3"/>
  <c r="BL344" i="3"/>
  <c r="BA346" i="3"/>
  <c r="AZ346" i="3" s="1"/>
  <c r="BA347" i="3"/>
  <c r="AZ347" i="3" s="1"/>
  <c r="BL347" i="3"/>
  <c r="G348" i="3"/>
  <c r="G351" i="3"/>
  <c r="BL352" i="3"/>
  <c r="BA354" i="3"/>
  <c r="BA355" i="3"/>
  <c r="AZ355" i="3" s="1"/>
  <c r="BL355" i="3"/>
  <c r="G356" i="3"/>
  <c r="AZ127" i="3"/>
  <c r="AZ143" i="3"/>
  <c r="BA358" i="3"/>
  <c r="BA359" i="3"/>
  <c r="BL359" i="3"/>
  <c r="G360" i="3"/>
  <c r="G361" i="3"/>
  <c r="BL362" i="3"/>
  <c r="BA364" i="3"/>
  <c r="BA365" i="3"/>
  <c r="AZ365" i="3" s="1"/>
  <c r="BL365" i="3"/>
  <c r="G366" i="3"/>
  <c r="G369" i="3"/>
  <c r="BL370" i="3"/>
  <c r="BA372" i="3"/>
  <c r="BA373" i="3"/>
  <c r="BL373" i="3"/>
  <c r="AZ373" i="3" s="1"/>
  <c r="G374" i="3"/>
  <c r="G377" i="3"/>
  <c r="BL378" i="3"/>
  <c r="BA380" i="3"/>
  <c r="BA381" i="3"/>
  <c r="AZ381" i="3" s="1"/>
  <c r="BL381" i="3"/>
  <c r="G382" i="3"/>
  <c r="G385" i="3"/>
  <c r="AZ166" i="3"/>
  <c r="G523" i="3"/>
  <c r="BL297" i="3"/>
  <c r="AZ297" i="3"/>
  <c r="G298" i="3"/>
  <c r="BA300" i="3"/>
  <c r="BL301" i="3"/>
  <c r="AZ301" i="3"/>
  <c r="G302" i="3"/>
  <c r="BA304" i="3"/>
  <c r="BL305" i="3"/>
  <c r="AZ305" i="3" s="1"/>
  <c r="G306" i="3"/>
  <c r="BA308" i="3"/>
  <c r="AZ308" i="3" s="1"/>
  <c r="BL309" i="3"/>
  <c r="G310" i="3"/>
  <c r="BA310" i="3"/>
  <c r="BL311" i="3"/>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209" i="3"/>
  <c r="AZ213" i="3"/>
  <c r="AZ217" i="3"/>
  <c r="AZ221" i="3"/>
  <c r="AZ225" i="3"/>
  <c r="AZ229" i="3"/>
  <c r="AZ233" i="3"/>
  <c r="AZ237" i="3"/>
  <c r="AZ241" i="3"/>
  <c r="AZ245" i="3"/>
  <c r="AZ321" i="3"/>
  <c r="AZ353" i="3"/>
  <c r="AZ363" i="3"/>
  <c r="G368" i="3"/>
  <c r="BA370" i="3"/>
  <c r="BL371" i="3"/>
  <c r="G372" i="3"/>
  <c r="BA374" i="3"/>
  <c r="AZ374" i="3" s="1"/>
  <c r="BL375" i="3"/>
  <c r="G376" i="3"/>
  <c r="BA378" i="3"/>
  <c r="BL379" i="3"/>
  <c r="G380" i="3"/>
  <c r="BA382" i="3"/>
  <c r="BL383" i="3"/>
  <c r="AZ383" i="3" s="1"/>
  <c r="G384" i="3"/>
  <c r="AZ249" i="3"/>
  <c r="AZ265" i="3"/>
  <c r="AZ311" i="3"/>
  <c r="AZ331" i="3"/>
  <c r="F37" i="46"/>
  <c r="AB15" i="37"/>
  <c r="AA43" i="21"/>
  <c r="U43" i="21"/>
  <c r="AA13" i="40"/>
  <c r="F77" i="40"/>
  <c r="G77" i="40" s="1"/>
  <c r="H77" i="40" s="1"/>
  <c r="I77" i="40" s="1"/>
  <c r="J77" i="40" s="1"/>
  <c r="K77" i="40" s="1"/>
  <c r="L77" i="40" s="1"/>
  <c r="M77" i="40" s="1"/>
  <c r="R16" i="4"/>
  <c r="D3" i="35"/>
  <c r="G4" i="4"/>
  <c r="S37" i="34"/>
  <c r="J16" i="35"/>
  <c r="W16" i="35"/>
  <c r="U42" i="21"/>
  <c r="AC26" i="36"/>
  <c r="AZ354" i="3"/>
  <c r="AZ322" i="3"/>
  <c r="H13" i="39"/>
  <c r="AB13" i="39" s="1"/>
  <c r="F13" i="39"/>
  <c r="J13" i="39"/>
  <c r="AC13" i="39" s="1"/>
  <c r="AA36" i="35"/>
  <c r="H11" i="37"/>
  <c r="AB11" i="37"/>
  <c r="W37" i="37"/>
  <c r="AA30" i="33"/>
  <c r="AA36" i="37"/>
  <c r="S42" i="33"/>
  <c r="U32" i="33"/>
  <c r="AC11" i="36"/>
  <c r="AB45" i="34"/>
  <c r="AB35" i="35"/>
  <c r="S25" i="35"/>
  <c r="AC30" i="33"/>
  <c r="W30" i="33"/>
  <c r="AC29" i="37"/>
  <c r="W32" i="36"/>
  <c r="AC32" i="36"/>
  <c r="U28" i="33"/>
  <c r="AB28" i="33"/>
  <c r="J33" i="34"/>
  <c r="AC33" i="34" s="1"/>
  <c r="J40" i="34"/>
  <c r="W40" i="34" s="1"/>
  <c r="F16" i="35"/>
  <c r="AA16" i="35" s="1"/>
  <c r="W42" i="33"/>
  <c r="J35" i="34"/>
  <c r="W35" i="34" s="1"/>
  <c r="F107" i="34"/>
  <c r="G107" i="34" s="1"/>
  <c r="H107" i="34" s="1"/>
  <c r="I107" i="34" s="1"/>
  <c r="J107" i="34" s="1"/>
  <c r="K107" i="34" s="1"/>
  <c r="L107" i="34" s="1"/>
  <c r="M107" i="34" s="1"/>
  <c r="S30" i="36"/>
  <c r="H16" i="36"/>
  <c r="AB16" i="36"/>
  <c r="H103" i="37"/>
  <c r="I103" i="37"/>
  <c r="J103" i="37" s="1"/>
  <c r="K103" i="37" s="1"/>
  <c r="L103" i="37" s="1"/>
  <c r="M103" i="37" s="1"/>
  <c r="H35" i="37"/>
  <c r="AB35" i="37" s="1"/>
  <c r="AB12" i="21"/>
  <c r="H32" i="21"/>
  <c r="U32" i="21" s="1"/>
  <c r="AB26" i="21"/>
  <c r="AA33" i="21"/>
  <c r="S33" i="21"/>
  <c r="U39" i="21"/>
  <c r="J32" i="21"/>
  <c r="AC32" i="21" s="1"/>
  <c r="F17" i="21"/>
  <c r="S17" i="21" s="1"/>
  <c r="H17" i="21"/>
  <c r="AB17" i="21"/>
  <c r="J17" i="21"/>
  <c r="AC17" i="21" s="1"/>
  <c r="H37" i="21"/>
  <c r="U37" i="21"/>
  <c r="F40" i="21"/>
  <c r="S40" i="21" s="1"/>
  <c r="H40" i="21"/>
  <c r="AB40" i="21"/>
  <c r="E119" i="21"/>
  <c r="F119" i="21" s="1"/>
  <c r="G119" i="21" s="1"/>
  <c r="H119" i="21" s="1"/>
  <c r="I119" i="21" s="1"/>
  <c r="J119" i="21" s="1"/>
  <c r="K119" i="21" s="1"/>
  <c r="L119" i="21" s="1"/>
  <c r="M119" i="21" s="1"/>
  <c r="AA8" i="33"/>
  <c r="AC8" i="33"/>
  <c r="F10" i="33"/>
  <c r="AA10" i="33" s="1"/>
  <c r="F11" i="33"/>
  <c r="S11" i="33" s="1"/>
  <c r="J15" i="33"/>
  <c r="W15" i="33"/>
  <c r="H19" i="33"/>
  <c r="AB19" i="33" s="1"/>
  <c r="F32" i="33"/>
  <c r="AA32" i="33" s="1"/>
  <c r="J32" i="33"/>
  <c r="AC32" i="33" s="1"/>
  <c r="F35" i="33"/>
  <c r="AA35" i="33"/>
  <c r="AB39" i="34"/>
  <c r="F11" i="34"/>
  <c r="S11" i="34"/>
  <c r="E80" i="34"/>
  <c r="F80" i="34" s="1"/>
  <c r="G80" i="34" s="1"/>
  <c r="H17" i="34"/>
  <c r="AB17" i="34"/>
  <c r="AC27" i="34"/>
  <c r="W27" i="34"/>
  <c r="S12" i="35"/>
  <c r="AB28" i="35"/>
  <c r="U28" i="35"/>
  <c r="J13" i="33"/>
  <c r="W13" i="33" s="1"/>
  <c r="H13" i="33"/>
  <c r="U13" i="33" s="1"/>
  <c r="J12" i="34"/>
  <c r="AC12" i="34" s="1"/>
  <c r="H12" i="34"/>
  <c r="AB12" i="34" s="1"/>
  <c r="F12" i="34"/>
  <c r="S12" i="34" s="1"/>
  <c r="J14" i="34"/>
  <c r="W14" i="34"/>
  <c r="F14" i="34"/>
  <c r="S14" i="34" s="1"/>
  <c r="H14" i="34"/>
  <c r="AB14" i="34" s="1"/>
  <c r="H30" i="34"/>
  <c r="AB30" i="34" s="1"/>
  <c r="F30" i="34"/>
  <c r="S30" i="34"/>
  <c r="J30" i="34"/>
  <c r="W30" i="34" s="1"/>
  <c r="H32" i="34"/>
  <c r="AB32" i="34" s="1"/>
  <c r="F32" i="34"/>
  <c r="AA32" i="34" s="1"/>
  <c r="J32" i="34"/>
  <c r="W32" i="34"/>
  <c r="H46" i="34"/>
  <c r="AB46" i="34" s="1"/>
  <c r="F46" i="34"/>
  <c r="AA46" i="34" s="1"/>
  <c r="J46" i="34"/>
  <c r="AC46" i="34" s="1"/>
  <c r="H11" i="35"/>
  <c r="J11" i="35"/>
  <c r="AC11" i="35" s="1"/>
  <c r="H32" i="37"/>
  <c r="AB32" i="37" s="1"/>
  <c r="F19" i="39"/>
  <c r="S19" i="39" s="1"/>
  <c r="H19" i="39"/>
  <c r="J19" i="39"/>
  <c r="W19" i="39" s="1"/>
  <c r="F43" i="39"/>
  <c r="H43" i="39"/>
  <c r="U43" i="39"/>
  <c r="J43" i="39"/>
  <c r="W43" i="39" s="1"/>
  <c r="F99" i="37"/>
  <c r="U25" i="35"/>
  <c r="S45" i="34"/>
  <c r="U31" i="34"/>
  <c r="W40" i="37"/>
  <c r="W27" i="33"/>
  <c r="S14" i="21"/>
  <c r="AA44" i="34"/>
  <c r="AB29" i="35"/>
  <c r="AC34" i="37"/>
  <c r="AA32" i="21"/>
  <c r="S32" i="21"/>
  <c r="U38" i="21"/>
  <c r="AB34" i="21"/>
  <c r="BL570" i="3"/>
  <c r="F42" i="21"/>
  <c r="AA42" i="21" s="1"/>
  <c r="AB40" i="33"/>
  <c r="U40" i="33"/>
  <c r="AA35" i="34"/>
  <c r="S35" i="34"/>
  <c r="E90" i="34"/>
  <c r="H27" i="34"/>
  <c r="AB27" i="34"/>
  <c r="AB8" i="35"/>
  <c r="U8" i="35"/>
  <c r="S9" i="35"/>
  <c r="J14" i="35"/>
  <c r="AC14" i="35" s="1"/>
  <c r="F14" i="35"/>
  <c r="H14" i="35"/>
  <c r="U14" i="35" s="1"/>
  <c r="E80" i="35"/>
  <c r="E94" i="35"/>
  <c r="F94" i="35"/>
  <c r="G94" i="35" s="1"/>
  <c r="H94" i="35" s="1"/>
  <c r="I94" i="35" s="1"/>
  <c r="J94" i="35" s="1"/>
  <c r="K94" i="35" s="1"/>
  <c r="L94" i="35" s="1"/>
  <c r="M94" i="35" s="1"/>
  <c r="J32" i="35"/>
  <c r="AC32" i="35" s="1"/>
  <c r="H11" i="36"/>
  <c r="AB11" i="36"/>
  <c r="F11" i="36"/>
  <c r="S11" i="36" s="1"/>
  <c r="F26" i="36"/>
  <c r="S26" i="36" s="1"/>
  <c r="U34" i="36"/>
  <c r="AB34" i="36"/>
  <c r="H33" i="36"/>
  <c r="U33" i="36" s="1"/>
  <c r="F33" i="36"/>
  <c r="AA33" i="36" s="1"/>
  <c r="H27" i="36"/>
  <c r="AB27" i="36" s="1"/>
  <c r="AA31" i="36"/>
  <c r="AC25" i="37"/>
  <c r="AB29" i="37"/>
  <c r="AA30" i="37"/>
  <c r="S30" i="37"/>
  <c r="AC30" i="37"/>
  <c r="AC31" i="37"/>
  <c r="W31" i="37"/>
  <c r="AB14" i="37"/>
  <c r="F17" i="39"/>
  <c r="AA17" i="39"/>
  <c r="H17" i="39"/>
  <c r="U17" i="39"/>
  <c r="J17" i="39"/>
  <c r="W17" i="39" s="1"/>
  <c r="F21" i="39"/>
  <c r="S21" i="39" s="1"/>
  <c r="H21" i="39"/>
  <c r="AB21" i="39" s="1"/>
  <c r="J21" i="39"/>
  <c r="W21" i="39" s="1"/>
  <c r="F33" i="39"/>
  <c r="H33" i="39"/>
  <c r="U33" i="39" s="1"/>
  <c r="J33" i="39"/>
  <c r="F44" i="39"/>
  <c r="S44" i="39"/>
  <c r="H44" i="39"/>
  <c r="U44" i="39" s="1"/>
  <c r="J44" i="39"/>
  <c r="W44" i="39"/>
  <c r="E127" i="39"/>
  <c r="F127" i="39" s="1"/>
  <c r="G127" i="39" s="1"/>
  <c r="H127" i="39" s="1"/>
  <c r="I127" i="39" s="1"/>
  <c r="J127" i="39" s="1"/>
  <c r="K127" i="39" s="1"/>
  <c r="L127" i="39" s="1"/>
  <c r="M127" i="39" s="1"/>
  <c r="H46" i="39"/>
  <c r="U46" i="39" s="1"/>
  <c r="J46" i="39"/>
  <c r="W46" i="39" s="1"/>
  <c r="F29" i="39"/>
  <c r="AA29" i="39" s="1"/>
  <c r="H29" i="39"/>
  <c r="U29" i="39"/>
  <c r="F34" i="39"/>
  <c r="AA34" i="39" s="1"/>
  <c r="H34" i="39"/>
  <c r="AB34" i="39" s="1"/>
  <c r="J34" i="39"/>
  <c r="AC34" i="39" s="1"/>
  <c r="F39" i="39"/>
  <c r="H39" i="39"/>
  <c r="J39" i="39"/>
  <c r="J29" i="35"/>
  <c r="AC29" i="35"/>
  <c r="F29" i="35"/>
  <c r="S29" i="35" s="1"/>
  <c r="W30" i="36"/>
  <c r="AC30" i="36"/>
  <c r="F37" i="39"/>
  <c r="H37" i="39"/>
  <c r="U37" i="39"/>
  <c r="J37" i="39"/>
  <c r="BA568" i="3"/>
  <c r="AZ568" i="3" s="1"/>
  <c r="BL567" i="3"/>
  <c r="BL566" i="3"/>
  <c r="BL565" i="3"/>
  <c r="BL554" i="3"/>
  <c r="AZ554" i="3" s="1"/>
  <c r="BA553" i="3"/>
  <c r="BA552" i="3"/>
  <c r="BL548" i="3"/>
  <c r="AZ548" i="3" s="1"/>
  <c r="BA548" i="3"/>
  <c r="BA547" i="3"/>
  <c r="BL539" i="3"/>
  <c r="BA539" i="3"/>
  <c r="AZ539" i="3" s="1"/>
  <c r="BA538" i="3"/>
  <c r="BL537" i="3"/>
  <c r="BL536" i="3"/>
  <c r="BA535" i="3"/>
  <c r="AZ535" i="3" s="1"/>
  <c r="BA533" i="3"/>
  <c r="BA530" i="3"/>
  <c r="BA529" i="3"/>
  <c r="BL528" i="3"/>
  <c r="BA526" i="3"/>
  <c r="BA525" i="3"/>
  <c r="BL523" i="3"/>
  <c r="BA523" i="3"/>
  <c r="AZ523" i="3" s="1"/>
  <c r="BL522" i="3"/>
  <c r="BL521" i="3"/>
  <c r="AZ521" i="3"/>
  <c r="BA517" i="3"/>
  <c r="BL515" i="3"/>
  <c r="BL513" i="3"/>
  <c r="BA513" i="3"/>
  <c r="BA511" i="3"/>
  <c r="AZ511" i="3" s="1"/>
  <c r="BA510" i="3"/>
  <c r="BL509" i="3"/>
  <c r="BA507" i="3"/>
  <c r="BL506" i="3"/>
  <c r="BL505" i="3"/>
  <c r="BL504" i="3"/>
  <c r="BA504" i="3"/>
  <c r="BA500" i="3"/>
  <c r="BL499" i="3"/>
  <c r="BA499" i="3"/>
  <c r="BL498" i="3"/>
  <c r="BL497" i="3"/>
  <c r="BA496" i="3"/>
  <c r="BA495" i="3"/>
  <c r="BA494" i="3"/>
  <c r="G494" i="3"/>
  <c r="BL490" i="3"/>
  <c r="BA490" i="3"/>
  <c r="AZ490" i="3" s="1"/>
  <c r="BA489" i="3"/>
  <c r="BL487" i="3"/>
  <c r="BL486" i="3"/>
  <c r="BA485" i="3"/>
  <c r="BA483" i="3"/>
  <c r="BJ5" i="3"/>
  <c r="BA481" i="3"/>
  <c r="BA18" i="3"/>
  <c r="F114" i="34"/>
  <c r="G114" i="34" s="1"/>
  <c r="H114" i="34"/>
  <c r="I114" i="34" s="1"/>
  <c r="J114" i="34" s="1"/>
  <c r="K114" i="34" s="1"/>
  <c r="L114" i="34" s="1"/>
  <c r="M114" i="34" s="1"/>
  <c r="H38" i="34"/>
  <c r="U38" i="34" s="1"/>
  <c r="H30" i="40"/>
  <c r="G99" i="40"/>
  <c r="J30" i="40"/>
  <c r="AC30" i="40" s="1"/>
  <c r="F38" i="40"/>
  <c r="AA38" i="40" s="1"/>
  <c r="AA36" i="34"/>
  <c r="AC12" i="21"/>
  <c r="W12" i="21"/>
  <c r="AB33" i="21"/>
  <c r="S35" i="21"/>
  <c r="AB10" i="21"/>
  <c r="U8" i="21"/>
  <c r="AB8" i="21"/>
  <c r="S34" i="21"/>
  <c r="AB8" i="33"/>
  <c r="U8" i="33"/>
  <c r="E106" i="33"/>
  <c r="H34" i="33"/>
  <c r="U34" i="33"/>
  <c r="F34" i="33"/>
  <c r="S34" i="33"/>
  <c r="F41" i="33"/>
  <c r="S41" i="33"/>
  <c r="AC34" i="34"/>
  <c r="W34" i="34"/>
  <c r="AA39" i="34"/>
  <c r="S39" i="34"/>
  <c r="E78" i="34"/>
  <c r="F15" i="34"/>
  <c r="AC28" i="35"/>
  <c r="W28" i="35"/>
  <c r="J20" i="35"/>
  <c r="AC20" i="35"/>
  <c r="E72" i="35"/>
  <c r="F72" i="35" s="1"/>
  <c r="G72" i="35" s="1"/>
  <c r="H22" i="35"/>
  <c r="AB22" i="35"/>
  <c r="H23" i="35"/>
  <c r="F23" i="35"/>
  <c r="AB36" i="35"/>
  <c r="U36" i="35"/>
  <c r="W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E91" i="40"/>
  <c r="F91" i="40" s="1"/>
  <c r="G91" i="40" s="1"/>
  <c r="H23" i="40"/>
  <c r="H41" i="40"/>
  <c r="AB41" i="40" s="1"/>
  <c r="F41" i="40"/>
  <c r="J41" i="40"/>
  <c r="W41" i="40" s="1"/>
  <c r="H36" i="33"/>
  <c r="AB36" i="33"/>
  <c r="H37" i="34"/>
  <c r="F15" i="39"/>
  <c r="AA15" i="39" s="1"/>
  <c r="H15" i="39"/>
  <c r="J15" i="39"/>
  <c r="AC15" i="39" s="1"/>
  <c r="H25" i="39"/>
  <c r="J25" i="39"/>
  <c r="AC25" i="39" s="1"/>
  <c r="F25" i="39"/>
  <c r="AA25" i="39" s="1"/>
  <c r="F45" i="39"/>
  <c r="AA45" i="39" s="1"/>
  <c r="H45" i="39"/>
  <c r="U45" i="39" s="1"/>
  <c r="J45" i="39"/>
  <c r="AC45" i="39" s="1"/>
  <c r="F47" i="39"/>
  <c r="H47" i="39"/>
  <c r="AB47" i="39" s="1"/>
  <c r="J47" i="39"/>
  <c r="W47" i="39" s="1"/>
  <c r="F41" i="39"/>
  <c r="AA41" i="39" s="1"/>
  <c r="H41" i="39"/>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J40" i="40"/>
  <c r="AC40" i="40"/>
  <c r="J34" i="40"/>
  <c r="AC34" i="40"/>
  <c r="H16" i="40"/>
  <c r="AB16" i="40"/>
  <c r="F32" i="40"/>
  <c r="AA32" i="40"/>
  <c r="F61" i="46"/>
  <c r="F72" i="46"/>
  <c r="H74" i="46" s="1"/>
  <c r="AZ32" i="3"/>
  <c r="AZ79" i="3"/>
  <c r="AZ99" i="3"/>
  <c r="J13" i="40"/>
  <c r="W13" i="40" s="1"/>
  <c r="W40" i="40"/>
  <c r="AC14" i="40"/>
  <c r="U37" i="34"/>
  <c r="AB37" i="34"/>
  <c r="AC41" i="40"/>
  <c r="U41" i="40"/>
  <c r="J23" i="40"/>
  <c r="AC23" i="40"/>
  <c r="F23" i="40"/>
  <c r="AC15" i="40"/>
  <c r="W15" i="40"/>
  <c r="S23" i="39"/>
  <c r="AB16" i="39"/>
  <c r="W14" i="39"/>
  <c r="U23" i="35"/>
  <c r="AB23" i="35"/>
  <c r="H20" i="35"/>
  <c r="U20" i="35" s="1"/>
  <c r="F20" i="35"/>
  <c r="S20" i="35" s="1"/>
  <c r="H15" i="34"/>
  <c r="F78" i="34"/>
  <c r="G78" i="34" s="1"/>
  <c r="J15" i="34"/>
  <c r="H41" i="33"/>
  <c r="U41" i="33"/>
  <c r="F121" i="33"/>
  <c r="G121" i="33"/>
  <c r="H121" i="33" s="1"/>
  <c r="I121" i="33" s="1"/>
  <c r="J121" i="33" s="1"/>
  <c r="K121" i="33"/>
  <c r="L121" i="33" s="1"/>
  <c r="M121" i="33" s="1"/>
  <c r="F30" i="40"/>
  <c r="AA30" i="40" s="1"/>
  <c r="H99" i="40"/>
  <c r="I99" i="40" s="1"/>
  <c r="J99" i="40" s="1"/>
  <c r="K99" i="40" s="1"/>
  <c r="L99" i="40" s="1"/>
  <c r="M99" i="40" s="1"/>
  <c r="AB38" i="34"/>
  <c r="AB37" i="39"/>
  <c r="AA29" i="35"/>
  <c r="J29" i="39"/>
  <c r="AC29" i="39" s="1"/>
  <c r="U21" i="39"/>
  <c r="AB17" i="39"/>
  <c r="AB33" i="36"/>
  <c r="AA14" i="35"/>
  <c r="S14" i="35"/>
  <c r="G99" i="37"/>
  <c r="F33" i="37"/>
  <c r="AB19" i="39"/>
  <c r="U19" i="39"/>
  <c r="U46" i="34"/>
  <c r="AA14" i="34"/>
  <c r="W12" i="34"/>
  <c r="AC13" i="33"/>
  <c r="U17" i="34"/>
  <c r="AA11" i="34"/>
  <c r="H15" i="33"/>
  <c r="U15" i="33"/>
  <c r="AA11" i="33"/>
  <c r="U17" i="21"/>
  <c r="S13" i="39"/>
  <c r="AA13" i="39"/>
  <c r="U16" i="40"/>
  <c r="W34" i="40"/>
  <c r="AB34" i="40"/>
  <c r="U42" i="40"/>
  <c r="AC16" i="40"/>
  <c r="W32" i="40"/>
  <c r="H25" i="40"/>
  <c r="F93" i="40"/>
  <c r="G93" i="40" s="1"/>
  <c r="U47" i="39"/>
  <c r="W15" i="39"/>
  <c r="J37" i="34"/>
  <c r="AC37" i="34" s="1"/>
  <c r="J36" i="33"/>
  <c r="U27" i="39"/>
  <c r="H23" i="39"/>
  <c r="AB23" i="39"/>
  <c r="J23" i="39"/>
  <c r="AC23" i="39"/>
  <c r="F96" i="39"/>
  <c r="G96" i="39"/>
  <c r="S16" i="39"/>
  <c r="S15" i="34"/>
  <c r="AA15" i="34"/>
  <c r="AA41" i="33"/>
  <c r="AA34" i="33"/>
  <c r="F106" i="33"/>
  <c r="G106" i="33" s="1"/>
  <c r="H106" i="33" s="1"/>
  <c r="I106" i="33" s="1"/>
  <c r="J106" i="33" s="1"/>
  <c r="K106" i="33" s="1"/>
  <c r="L106" i="33" s="1"/>
  <c r="M106" i="33" s="1"/>
  <c r="J34" i="33"/>
  <c r="W29" i="35"/>
  <c r="AC39" i="39"/>
  <c r="W39" i="39"/>
  <c r="AA39" i="39"/>
  <c r="S39" i="39"/>
  <c r="AB29" i="39"/>
  <c r="AB44" i="39"/>
  <c r="AC33" i="39"/>
  <c r="W33" i="39"/>
  <c r="AA33" i="39"/>
  <c r="S33" i="39"/>
  <c r="S17" i="39"/>
  <c r="U11" i="36"/>
  <c r="F80" i="35"/>
  <c r="G80" i="35"/>
  <c r="H80" i="35" s="1"/>
  <c r="I80" i="35" s="1"/>
  <c r="J80" i="35" s="1"/>
  <c r="K80" i="35"/>
  <c r="L80" i="35" s="1"/>
  <c r="M80" i="35" s="1"/>
  <c r="F90" i="34"/>
  <c r="G90" i="34" s="1"/>
  <c r="H90" i="34" s="1"/>
  <c r="I90" i="34" s="1"/>
  <c r="J90" i="34"/>
  <c r="K90" i="34" s="1"/>
  <c r="L90" i="34" s="1"/>
  <c r="M90" i="34" s="1"/>
  <c r="F27" i="34"/>
  <c r="S27" i="34" s="1"/>
  <c r="AC43" i="39"/>
  <c r="AA43" i="39"/>
  <c r="S43" i="39"/>
  <c r="H96" i="37"/>
  <c r="I96" i="37" s="1"/>
  <c r="J96" i="37" s="1"/>
  <c r="K96" i="37" s="1"/>
  <c r="L96" i="37"/>
  <c r="M96" i="37" s="1"/>
  <c r="F32" i="37"/>
  <c r="S32" i="37" s="1"/>
  <c r="U11" i="35"/>
  <c r="AB11" i="35"/>
  <c r="U14" i="34"/>
  <c r="AC14" i="34"/>
  <c r="U12" i="34"/>
  <c r="F17" i="34"/>
  <c r="AA17" i="34" s="1"/>
  <c r="J17" i="34"/>
  <c r="AC17" i="34"/>
  <c r="H11" i="34"/>
  <c r="AB11" i="34" s="1"/>
  <c r="J35" i="33"/>
  <c r="W35" i="33"/>
  <c r="S32" i="33"/>
  <c r="AC15" i="33"/>
  <c r="H11" i="33"/>
  <c r="U11" i="33"/>
  <c r="H10" i="33"/>
  <c r="U10" i="33" s="1"/>
  <c r="J10" i="33"/>
  <c r="W10" i="33" s="1"/>
  <c r="U40" i="21"/>
  <c r="U11" i="37"/>
  <c r="U13" i="39"/>
  <c r="AC16" i="35"/>
  <c r="J11" i="34"/>
  <c r="S17" i="34"/>
  <c r="F25" i="40"/>
  <c r="AA25" i="40" s="1"/>
  <c r="J11" i="33"/>
  <c r="W11" i="33" s="1"/>
  <c r="H33" i="37"/>
  <c r="AB33" i="37"/>
  <c r="AB20" i="35"/>
  <c r="W23" i="40"/>
  <c r="B11" i="1"/>
  <c r="E11" i="1" s="1"/>
  <c r="K11" i="1"/>
  <c r="M11" i="1" s="1"/>
  <c r="B9" i="1"/>
  <c r="E9" i="1" s="1"/>
  <c r="K9" i="1"/>
  <c r="M9" i="1" s="1"/>
  <c r="B7" i="1"/>
  <c r="E7" i="1" s="1"/>
  <c r="K7" i="1"/>
  <c r="M7" i="1" s="1"/>
  <c r="AC25" i="36"/>
  <c r="S23" i="36"/>
  <c r="S8" i="36"/>
  <c r="AA26" i="36"/>
  <c r="AA28" i="36"/>
  <c r="U25" i="36"/>
  <c r="H20" i="36"/>
  <c r="F68" i="36"/>
  <c r="G68" i="36" s="1"/>
  <c r="J20" i="36"/>
  <c r="F20" i="36"/>
  <c r="S20" i="36" s="1"/>
  <c r="F62" i="36"/>
  <c r="G62" i="36" s="1"/>
  <c r="J14" i="36"/>
  <c r="H14" i="36"/>
  <c r="F14" i="36"/>
  <c r="U32" i="36"/>
  <c r="AB12" i="36"/>
  <c r="U9" i="36"/>
  <c r="AA27" i="36"/>
  <c r="S16" i="36"/>
  <c r="S29" i="36"/>
  <c r="AC33" i="35"/>
  <c r="U22" i="35"/>
  <c r="AA13" i="35"/>
  <c r="U33" i="35"/>
  <c r="AA20" i="35"/>
  <c r="W20" i="35"/>
  <c r="S16" i="35"/>
  <c r="AB14" i="35"/>
  <c r="W13" i="35"/>
  <c r="AC18" i="35"/>
  <c r="W18" i="35"/>
  <c r="U18" i="35"/>
  <c r="AB18" i="35"/>
  <c r="S30" i="35"/>
  <c r="AA35" i="35"/>
  <c r="AB30" i="35"/>
  <c r="S27" i="35"/>
  <c r="S28" i="35"/>
  <c r="J26" i="35"/>
  <c r="W26" i="35" s="1"/>
  <c r="F26" i="35"/>
  <c r="AA26" i="35" s="1"/>
  <c r="AB9" i="37"/>
  <c r="W12" i="37"/>
  <c r="AA9" i="37"/>
  <c r="S17" i="37"/>
  <c r="W28" i="37"/>
  <c r="AB37" i="37"/>
  <c r="AA31" i="37"/>
  <c r="S33" i="37"/>
  <c r="AA33" i="37"/>
  <c r="U32" i="37"/>
  <c r="AA32" i="37"/>
  <c r="J33" i="37"/>
  <c r="W33" i="37"/>
  <c r="H99" i="37"/>
  <c r="I99" i="37"/>
  <c r="J99" i="37" s="1"/>
  <c r="K99" i="37" s="1"/>
  <c r="L99" i="37" s="1"/>
  <c r="M99" i="37" s="1"/>
  <c r="S29" i="37"/>
  <c r="J19" i="37"/>
  <c r="G75" i="37"/>
  <c r="F19" i="37"/>
  <c r="AA19" i="37"/>
  <c r="H19" i="37"/>
  <c r="AB19" i="37" s="1"/>
  <c r="J17" i="37"/>
  <c r="S15" i="37"/>
  <c r="AC21" i="37"/>
  <c r="W21" i="37"/>
  <c r="AC11" i="37"/>
  <c r="AC9" i="37"/>
  <c r="W32" i="37"/>
  <c r="U8" i="37"/>
  <c r="AB21" i="37"/>
  <c r="U21" i="37"/>
  <c r="S37" i="37"/>
  <c r="S40" i="37"/>
  <c r="AA11" i="37"/>
  <c r="W46" i="34"/>
  <c r="AC45" i="34"/>
  <c r="AA40" i="34"/>
  <c r="W33" i="34"/>
  <c r="U30" i="34"/>
  <c r="AB33" i="34"/>
  <c r="AA12" i="34"/>
  <c r="AC35" i="34"/>
  <c r="AA30" i="34"/>
  <c r="AC32" i="34"/>
  <c r="AA33" i="34"/>
  <c r="U44" i="34"/>
  <c r="U34" i="34"/>
  <c r="AA27" i="34"/>
  <c r="J25" i="34"/>
  <c r="W25" i="34" s="1"/>
  <c r="H25" i="34"/>
  <c r="U25" i="34" s="1"/>
  <c r="F25" i="34"/>
  <c r="J23" i="34"/>
  <c r="W23" i="34" s="1"/>
  <c r="F86" i="34"/>
  <c r="G86" i="34"/>
  <c r="F23" i="34"/>
  <c r="H23" i="34"/>
  <c r="AB23" i="34" s="1"/>
  <c r="W17" i="34"/>
  <c r="W37" i="34"/>
  <c r="W44" i="34"/>
  <c r="W29" i="34"/>
  <c r="AC21" i="34"/>
  <c r="W21" i="34"/>
  <c r="AB21" i="34"/>
  <c r="U21" i="34"/>
  <c r="U27" i="34"/>
  <c r="AB41" i="34"/>
  <c r="S13" i="34"/>
  <c r="AA41" i="34"/>
  <c r="S9" i="34"/>
  <c r="U39" i="33"/>
  <c r="U37" i="33"/>
  <c r="S35" i="33"/>
  <c r="AC12" i="33"/>
  <c r="AB11" i="33"/>
  <c r="AB41" i="33"/>
  <c r="U36" i="33"/>
  <c r="AC35" i="33"/>
  <c r="W31" i="33"/>
  <c r="U46" i="33"/>
  <c r="W39" i="33"/>
  <c r="U35" i="33"/>
  <c r="AB34" i="33"/>
  <c r="W26" i="33"/>
  <c r="AB26" i="33"/>
  <c r="H25" i="33"/>
  <c r="AB25" i="33" s="1"/>
  <c r="J25" i="33"/>
  <c r="F87" i="33"/>
  <c r="G87" i="33" s="1"/>
  <c r="H87" i="33"/>
  <c r="I87" i="33" s="1"/>
  <c r="J87" i="33" s="1"/>
  <c r="K87" i="33" s="1"/>
  <c r="L87" i="33"/>
  <c r="M87" i="33" s="1"/>
  <c r="F25" i="33"/>
  <c r="AA25" i="33" s="1"/>
  <c r="F85" i="33"/>
  <c r="G85" i="33"/>
  <c r="J23" i="33"/>
  <c r="W23" i="33" s="1"/>
  <c r="F23" i="33"/>
  <c r="H23" i="33"/>
  <c r="U19" i="33"/>
  <c r="F79" i="33"/>
  <c r="G79" i="33"/>
  <c r="F17" i="33"/>
  <c r="H17" i="33"/>
  <c r="U17" i="33" s="1"/>
  <c r="J17" i="33"/>
  <c r="W17" i="33" s="1"/>
  <c r="AB15" i="33"/>
  <c r="S14" i="33"/>
  <c r="AC21" i="33"/>
  <c r="W21" i="33"/>
  <c r="U25" i="33"/>
  <c r="AB21" i="33"/>
  <c r="U21" i="33"/>
  <c r="AA21" i="33"/>
  <c r="S21" i="33"/>
  <c r="AA36" i="33"/>
  <c r="S44" i="21"/>
  <c r="W39" i="21"/>
  <c r="AC34" i="21"/>
  <c r="W32" i="21"/>
  <c r="U35" i="21"/>
  <c r="W43" i="21"/>
  <c r="AA37" i="21"/>
  <c r="S42" i="21"/>
  <c r="AB37" i="21"/>
  <c r="AB32" i="21"/>
  <c r="W28" i="21"/>
  <c r="AC46" i="21"/>
  <c r="AC26" i="21"/>
  <c r="F85" i="21"/>
  <c r="G85" i="21" s="1"/>
  <c r="J23" i="21"/>
  <c r="W23" i="21" s="1"/>
  <c r="F23" i="21"/>
  <c r="AA23" i="21" s="1"/>
  <c r="H23" i="21"/>
  <c r="F15" i="21"/>
  <c r="S15" i="21" s="1"/>
  <c r="F77" i="21"/>
  <c r="G77" i="21" s="1"/>
  <c r="J15" i="21"/>
  <c r="W15" i="21" s="1"/>
  <c r="H15" i="21"/>
  <c r="AC11" i="21"/>
  <c r="AB11" i="21"/>
  <c r="AA11" i="21"/>
  <c r="AC23" i="21"/>
  <c r="AC21" i="21"/>
  <c r="W21" i="21"/>
  <c r="W44" i="21"/>
  <c r="AC19" i="21"/>
  <c r="W10" i="21"/>
  <c r="AC38" i="21"/>
  <c r="AB21" i="21"/>
  <c r="U21" i="21"/>
  <c r="AA30" i="21"/>
  <c r="W33" i="40"/>
  <c r="S35" i="40"/>
  <c r="S14" i="40"/>
  <c r="AB13" i="40"/>
  <c r="S16" i="40"/>
  <c r="W11" i="40"/>
  <c r="U21" i="40"/>
  <c r="W25" i="40"/>
  <c r="U35" i="40"/>
  <c r="F37" i="40"/>
  <c r="S37" i="40" s="1"/>
  <c r="J37" i="40"/>
  <c r="AC37" i="40" s="1"/>
  <c r="H37" i="40"/>
  <c r="U37" i="40" s="1"/>
  <c r="G112" i="40"/>
  <c r="H112" i="40" s="1"/>
  <c r="I112" i="40" s="1"/>
  <c r="J112" i="40" s="1"/>
  <c r="K112" i="40" s="1"/>
  <c r="L112" i="40" s="1"/>
  <c r="M112" i="40" s="1"/>
  <c r="F39" i="40"/>
  <c r="H39" i="40"/>
  <c r="U39" i="40" s="1"/>
  <c r="J39" i="40"/>
  <c r="AC39" i="40" s="1"/>
  <c r="W38" i="40"/>
  <c r="F29" i="40"/>
  <c r="H29" i="40"/>
  <c r="U29" i="40" s="1"/>
  <c r="J29" i="40"/>
  <c r="F97" i="40"/>
  <c r="G97" i="40" s="1"/>
  <c r="H97" i="40" s="1"/>
  <c r="I97" i="40" s="1"/>
  <c r="J97" i="40" s="1"/>
  <c r="K97" i="40" s="1"/>
  <c r="L97" i="40" s="1"/>
  <c r="M97" i="40" s="1"/>
  <c r="S30" i="40"/>
  <c r="S25" i="40"/>
  <c r="F87" i="40"/>
  <c r="G87" i="40" s="1"/>
  <c r="F19" i="40"/>
  <c r="AA19" i="40" s="1"/>
  <c r="H19" i="40"/>
  <c r="J19" i="40"/>
  <c r="W21" i="40"/>
  <c r="AB40" i="40"/>
  <c r="U10" i="40"/>
  <c r="U27" i="40"/>
  <c r="AB27" i="40"/>
  <c r="AC44" i="39"/>
  <c r="W13" i="39"/>
  <c r="S11" i="39"/>
  <c r="S27" i="39"/>
  <c r="AC19" i="39"/>
  <c r="AC38" i="39"/>
  <c r="W29" i="39"/>
  <c r="AC21" i="39"/>
  <c r="AC17" i="39"/>
  <c r="S14" i="39"/>
  <c r="U11" i="39"/>
  <c r="U23" i="39"/>
  <c r="AB38" i="39"/>
  <c r="U31" i="39"/>
  <c r="AB31" i="39"/>
  <c r="S25" i="39"/>
  <c r="S38" i="39"/>
  <c r="S22" i="31"/>
  <c r="D18" i="9"/>
  <c r="M44" i="9" s="1"/>
  <c r="M43" i="9"/>
  <c r="A18" i="64"/>
  <c r="B74" i="63" s="1"/>
  <c r="C53" i="10"/>
  <c r="A25" i="64" s="1"/>
  <c r="A18" i="51"/>
  <c r="B14" i="63" s="1"/>
  <c r="BA16" i="3"/>
  <c r="AZ16" i="3" s="1"/>
  <c r="BA17" i="3"/>
  <c r="AZ17" i="3" s="1"/>
  <c r="F3" i="35"/>
  <c r="K1" i="43"/>
  <c r="K1" i="12"/>
  <c r="G1" i="44"/>
  <c r="I4" i="6"/>
  <c r="G3" i="46" s="1"/>
  <c r="Z7" i="46" s="1"/>
  <c r="AZ15" i="3"/>
  <c r="BK5" i="3"/>
  <c r="BO5" i="3"/>
  <c r="BP5" i="3"/>
  <c r="BN5" i="3"/>
  <c r="BL18" i="3"/>
  <c r="BC5" i="3"/>
  <c r="BR5" i="3"/>
  <c r="BS5" i="3"/>
  <c r="BQ5" i="3"/>
  <c r="BL16" i="3"/>
  <c r="BM5" i="3"/>
  <c r="G28" i="12"/>
  <c r="D24" i="44"/>
  <c r="D26" i="44"/>
  <c r="F50" i="46"/>
  <c r="H52" i="46" s="1"/>
  <c r="C6" i="46"/>
  <c r="I5" i="48"/>
  <c r="K21" i="46"/>
  <c r="F42" i="46"/>
  <c r="D74" i="46"/>
  <c r="D87" i="46"/>
  <c r="D72" i="46"/>
  <c r="A4" i="64"/>
  <c r="A4" i="51"/>
  <c r="B6" i="63" s="1"/>
  <c r="C51" i="10"/>
  <c r="A9" i="64" s="1"/>
  <c r="AA12" i="36"/>
  <c r="U12" i="35"/>
  <c r="AB12" i="35"/>
  <c r="W11" i="35"/>
  <c r="AA11" i="35"/>
  <c r="S14" i="37"/>
  <c r="U13" i="37"/>
  <c r="S13" i="21"/>
  <c r="C24" i="9"/>
  <c r="C25" i="9"/>
  <c r="L5" i="54"/>
  <c r="B39" i="63" s="1"/>
  <c r="K5" i="54"/>
  <c r="B38" i="63" s="1"/>
  <c r="T41" i="4"/>
  <c r="A17" i="64" s="1"/>
  <c r="B46" i="50"/>
  <c r="B4" i="63" s="1"/>
  <c r="K10" i="1"/>
  <c r="M10" i="1" s="1"/>
  <c r="S13" i="1"/>
  <c r="R13" i="1"/>
  <c r="B6" i="1"/>
  <c r="E6" i="1" s="1"/>
  <c r="B10" i="1"/>
  <c r="E10" i="1" s="1"/>
  <c r="B8" i="1"/>
  <c r="E8" i="1" s="1"/>
  <c r="B12" i="1"/>
  <c r="E12" i="1" s="1"/>
  <c r="K6" i="1"/>
  <c r="M6" i="1" s="1"/>
  <c r="G1" i="15"/>
  <c r="F66" i="36"/>
  <c r="H18" i="36"/>
  <c r="AB18" i="36" s="1"/>
  <c r="U16" i="36"/>
  <c r="S25" i="36"/>
  <c r="AA34" i="36"/>
  <c r="U23" i="36"/>
  <c r="AC27" i="36"/>
  <c r="W28" i="36"/>
  <c r="AA32" i="36"/>
  <c r="AA22" i="36"/>
  <c r="W29" i="36"/>
  <c r="W8" i="36"/>
  <c r="AC30" i="35"/>
  <c r="U24" i="35"/>
  <c r="W32" i="35"/>
  <c r="AA33" i="35"/>
  <c r="U32" i="35"/>
  <c r="W22" i="35"/>
  <c r="S32" i="35"/>
  <c r="W35" i="37"/>
  <c r="AC33" i="37"/>
  <c r="U33" i="37"/>
  <c r="AC15" i="37"/>
  <c r="AA13" i="37"/>
  <c r="S12" i="37"/>
  <c r="W38" i="37"/>
  <c r="W36" i="37"/>
  <c r="AB28" i="37"/>
  <c r="S28" i="37"/>
  <c r="W13" i="37"/>
  <c r="U38" i="37"/>
  <c r="AA31" i="34"/>
  <c r="W47" i="34"/>
  <c r="AB29" i="34"/>
  <c r="AB47" i="34"/>
  <c r="AB13" i="34"/>
  <c r="AC13" i="34"/>
  <c r="S47" i="34"/>
  <c r="AA29" i="34"/>
  <c r="S19" i="34"/>
  <c r="S8" i="34"/>
  <c r="AA19" i="33"/>
  <c r="AB42" i="33"/>
  <c r="S26" i="33"/>
  <c r="AB12" i="33"/>
  <c r="S15" i="33"/>
  <c r="S39" i="21"/>
  <c r="AB25" i="21"/>
  <c r="W25" i="21"/>
  <c r="AA25" i="21"/>
  <c r="AC37" i="21"/>
  <c r="AA29" i="21"/>
  <c r="W31" i="21"/>
  <c r="G95" i="40"/>
  <c r="J27" i="40"/>
  <c r="AC27" i="40" s="1"/>
  <c r="W30" i="40"/>
  <c r="S34" i="40"/>
  <c r="U38" i="40"/>
  <c r="S40" i="40"/>
  <c r="S42" i="40"/>
  <c r="G104" i="39"/>
  <c r="J31" i="39"/>
  <c r="W31" i="39" s="1"/>
  <c r="S45" i="39"/>
  <c r="W41" i="39"/>
  <c r="AB43" i="39"/>
  <c r="AB33" i="39"/>
  <c r="AC46" i="39"/>
  <c r="S34" i="39"/>
  <c r="W42" i="39"/>
  <c r="W36" i="39"/>
  <c r="W23" i="39"/>
  <c r="U14" i="39"/>
  <c r="W16" i="39"/>
  <c r="S15" i="39"/>
  <c r="W25" i="39"/>
  <c r="W45" i="39"/>
  <c r="S41" i="39"/>
  <c r="AA44" i="39"/>
  <c r="AA46" i="39"/>
  <c r="W10" i="39"/>
  <c r="W11" i="39"/>
  <c r="U42" i="39"/>
  <c r="W40" i="39"/>
  <c r="S32" i="40"/>
  <c r="C27" i="39"/>
  <c r="C17" i="40"/>
  <c r="C19" i="40"/>
  <c r="C17" i="39"/>
  <c r="C19" i="39"/>
  <c r="C21" i="39"/>
  <c r="C23" i="40"/>
  <c r="B51" i="46"/>
  <c r="B54" i="46"/>
  <c r="B58" i="46"/>
  <c r="B62" i="46"/>
  <c r="B65" i="46"/>
  <c r="B69" i="46"/>
  <c r="B56" i="46"/>
  <c r="D24" i="15"/>
  <c r="F28" i="6"/>
  <c r="AA20" i="36"/>
  <c r="AC14" i="36"/>
  <c r="W14" i="36"/>
  <c r="U14" i="36"/>
  <c r="AB14" i="36"/>
  <c r="S26" i="35"/>
  <c r="AC26" i="35"/>
  <c r="S19" i="37"/>
  <c r="U19" i="37"/>
  <c r="AC17" i="37"/>
  <c r="W17" i="37"/>
  <c r="AB25" i="34"/>
  <c r="AA25" i="34"/>
  <c r="S25" i="34"/>
  <c r="AC25" i="34"/>
  <c r="U23" i="34"/>
  <c r="AA23" i="34"/>
  <c r="S23" i="34"/>
  <c r="AC23" i="34"/>
  <c r="S25" i="33"/>
  <c r="U23" i="33"/>
  <c r="AB23" i="33"/>
  <c r="AC23" i="33"/>
  <c r="S23" i="33"/>
  <c r="AA23" i="33"/>
  <c r="AC17" i="33"/>
  <c r="AA17" i="33"/>
  <c r="S17" i="33"/>
  <c r="AB17" i="33"/>
  <c r="U23" i="21"/>
  <c r="AB23" i="21"/>
  <c r="S23" i="21"/>
  <c r="U15" i="21"/>
  <c r="AB15" i="21"/>
  <c r="AC15" i="21"/>
  <c r="AB39" i="40"/>
  <c r="W39" i="40"/>
  <c r="AA39" i="40"/>
  <c r="S39" i="40"/>
  <c r="AB29" i="40"/>
  <c r="AC29" i="40"/>
  <c r="W29" i="40"/>
  <c r="AA29" i="40"/>
  <c r="S29" i="40"/>
  <c r="W19" i="40"/>
  <c r="AC19" i="40"/>
  <c r="S19" i="40"/>
  <c r="AB19" i="40"/>
  <c r="U19" i="40"/>
  <c r="B20" i="31"/>
  <c r="R22" i="31"/>
  <c r="B21" i="31" s="1"/>
  <c r="A17" i="51"/>
  <c r="B13" i="63"/>
  <c r="AT6" i="3"/>
  <c r="E4" i="4"/>
  <c r="B21" i="55" s="1"/>
  <c r="B72" i="63" s="1"/>
  <c r="C4" i="4"/>
  <c r="G66" i="36"/>
  <c r="J18" i="36"/>
  <c r="W18" i="36"/>
  <c r="AC18" i="36"/>
  <c r="L20" i="6"/>
  <c r="B20" i="55"/>
  <c r="B70" i="63" s="1"/>
  <c r="C45" i="9"/>
  <c r="C44" i="9"/>
  <c r="B6" i="66" s="1"/>
  <c r="K29" i="9"/>
  <c r="K30" i="9"/>
  <c r="N76" i="9"/>
  <c r="C46" i="9"/>
  <c r="K33" i="9"/>
  <c r="O41" i="9"/>
  <c r="R8" i="54" s="1"/>
  <c r="B54" i="63" s="1"/>
  <c r="B8" i="66"/>
  <c r="H61" i="46"/>
  <c r="J21" i="46"/>
  <c r="F38" i="46"/>
  <c r="F41" i="46"/>
  <c r="F40" i="46"/>
  <c r="H117" i="46"/>
  <c r="D24" i="59"/>
  <c r="C23" i="59"/>
  <c r="D23" i="59"/>
  <c r="F24" i="59"/>
  <c r="F23" i="59" s="1"/>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C22" i="59"/>
  <c r="D22" i="59" s="1"/>
  <c r="C21" i="59"/>
  <c r="M24" i="44"/>
  <c r="F13" i="67"/>
  <c r="F16" i="15"/>
  <c r="M28" i="44"/>
  <c r="F6" i="15"/>
  <c r="F8" i="44"/>
  <c r="J36" i="15"/>
  <c r="I4" i="65"/>
  <c r="E11" i="67"/>
  <c r="J4" i="65"/>
  <c r="M25" i="44"/>
  <c r="J15" i="15"/>
  <c r="B11" i="67"/>
  <c r="N5" i="65"/>
  <c r="F15" i="44"/>
  <c r="F12" i="67"/>
  <c r="F11" i="44"/>
  <c r="L48" i="15"/>
  <c r="M8" i="44"/>
  <c r="E12" i="67"/>
  <c r="M26" i="44"/>
  <c r="B9" i="67"/>
  <c r="M30" i="44"/>
  <c r="F10" i="44"/>
  <c r="M6" i="15"/>
  <c r="F7" i="15"/>
  <c r="J5" i="65"/>
  <c r="N3" i="65"/>
  <c r="B8" i="67"/>
  <c r="F45" i="44"/>
  <c r="N6" i="65"/>
  <c r="M22" i="15"/>
  <c r="F38" i="15"/>
  <c r="M23" i="15"/>
  <c r="F40" i="44"/>
  <c r="J7" i="65"/>
  <c r="E14" i="67"/>
  <c r="M8" i="15"/>
  <c r="F28" i="44"/>
  <c r="F8" i="15"/>
  <c r="E8" i="67"/>
  <c r="F26" i="15"/>
  <c r="F38" i="44"/>
  <c r="F10" i="67"/>
  <c r="E10" i="67"/>
  <c r="F43" i="44"/>
  <c r="L49" i="44"/>
  <c r="F40" i="15"/>
  <c r="N7" i="65"/>
  <c r="I6" i="65"/>
  <c r="B14" i="67"/>
  <c r="F9" i="67"/>
  <c r="N4" i="65"/>
  <c r="J17" i="44"/>
  <c r="F8" i="67"/>
  <c r="F42" i="15"/>
  <c r="M26" i="15"/>
  <c r="J6" i="65"/>
  <c r="F14" i="67"/>
  <c r="J3" i="65"/>
  <c r="L47" i="15"/>
  <c r="M31" i="44"/>
  <c r="E9" i="67"/>
  <c r="M9" i="15"/>
  <c r="M28" i="15"/>
  <c r="I7" i="65"/>
  <c r="B13" i="67"/>
  <c r="F18" i="44"/>
  <c r="B10" i="67"/>
  <c r="F11" i="67"/>
  <c r="F9" i="44"/>
  <c r="I3" i="65"/>
  <c r="E13" i="67"/>
  <c r="I5" i="65"/>
  <c r="B12" i="67"/>
  <c r="J52" i="40" l="1"/>
  <c r="F85" i="40"/>
  <c r="G85" i="40" s="1"/>
  <c r="F17" i="40"/>
  <c r="AA17" i="40" s="1"/>
  <c r="J17" i="40"/>
  <c r="W17" i="40" s="1"/>
  <c r="H17" i="40"/>
  <c r="U17" i="40" s="1"/>
  <c r="F9" i="1"/>
  <c r="AP9" i="1" s="1"/>
  <c r="F6" i="1"/>
  <c r="AP6" i="1" s="1"/>
  <c r="AC13" i="40"/>
  <c r="S38" i="40"/>
  <c r="AA37" i="40"/>
  <c r="AB37" i="40"/>
  <c r="W37" i="40"/>
  <c r="U36" i="40"/>
  <c r="D96" i="9"/>
  <c r="B41" i="1"/>
  <c r="H90" i="46"/>
  <c r="H87" i="46"/>
  <c r="H85" i="46"/>
  <c r="H86" i="46"/>
  <c r="H89" i="46"/>
  <c r="H83" i="46"/>
  <c r="H88" i="46"/>
  <c r="F29" i="6"/>
  <c r="G29" i="6"/>
  <c r="A26" i="64"/>
  <c r="G12" i="1"/>
  <c r="F20" i="59"/>
  <c r="F19" i="59" s="1"/>
  <c r="F18" i="59" s="1"/>
  <c r="F17" i="59" s="1"/>
  <c r="V21" i="59"/>
  <c r="U18" i="36"/>
  <c r="AC19" i="37"/>
  <c r="W19" i="37"/>
  <c r="AA14" i="36"/>
  <c r="S14" i="36"/>
  <c r="AB15" i="34"/>
  <c r="U15" i="34"/>
  <c r="W29" i="33"/>
  <c r="AC29" i="33"/>
  <c r="W25" i="33"/>
  <c r="AC25" i="33"/>
  <c r="C20" i="59"/>
  <c r="T21" i="59"/>
  <c r="AC20" i="36"/>
  <c r="W20" i="36"/>
  <c r="W11" i="34"/>
  <c r="AC11" i="34"/>
  <c r="W36" i="33"/>
  <c r="AC36" i="33"/>
  <c r="AB41" i="39"/>
  <c r="U41" i="39"/>
  <c r="AA47" i="39"/>
  <c r="S47" i="39"/>
  <c r="U15" i="39"/>
  <c r="AB15" i="39"/>
  <c r="U23" i="40"/>
  <c r="AB23" i="40"/>
  <c r="AA23" i="35"/>
  <c r="S23" i="35"/>
  <c r="AB39" i="39"/>
  <c r="U39" i="39"/>
  <c r="K34" i="9"/>
  <c r="W27" i="40"/>
  <c r="D21" i="59"/>
  <c r="AA15" i="21"/>
  <c r="AC34" i="33"/>
  <c r="W34" i="33"/>
  <c r="AB25" i="40"/>
  <c r="U25" i="40"/>
  <c r="W15" i="34"/>
  <c r="AC15" i="34"/>
  <c r="S23" i="40"/>
  <c r="AA23" i="40"/>
  <c r="AZ533" i="3"/>
  <c r="S37" i="39"/>
  <c r="AA37" i="39"/>
  <c r="AC9" i="33"/>
  <c r="W9" i="33"/>
  <c r="AZ542" i="3"/>
  <c r="B7" i="66"/>
  <c r="O40" i="9"/>
  <c r="K31" i="9" s="1"/>
  <c r="K32" i="9" s="1"/>
  <c r="U20" i="36"/>
  <c r="AB20" i="36"/>
  <c r="U25" i="39"/>
  <c r="AB25" i="39"/>
  <c r="AA41" i="40"/>
  <c r="S41" i="40"/>
  <c r="AB15" i="40"/>
  <c r="U15" i="40"/>
  <c r="AB30" i="40"/>
  <c r="U30" i="40"/>
  <c r="W37" i="39"/>
  <c r="AC37" i="39"/>
  <c r="AB28" i="36"/>
  <c r="U28" i="36"/>
  <c r="U36" i="34"/>
  <c r="AB36" i="34"/>
  <c r="J13" i="21"/>
  <c r="H13" i="21"/>
  <c r="J45" i="21"/>
  <c r="F45" i="21"/>
  <c r="W36" i="21"/>
  <c r="AC36" i="21"/>
  <c r="B99" i="46"/>
  <c r="B76" i="46"/>
  <c r="W36" i="35"/>
  <c r="AC36" i="35"/>
  <c r="F44" i="33"/>
  <c r="J44" i="33"/>
  <c r="J34" i="35"/>
  <c r="F34" i="35"/>
  <c r="H34" i="35"/>
  <c r="F26" i="37"/>
  <c r="J26" i="37"/>
  <c r="U36" i="37"/>
  <c r="AB36" i="37"/>
  <c r="W42" i="34"/>
  <c r="AC42" i="34"/>
  <c r="BA567" i="3"/>
  <c r="AZ567" i="3" s="1"/>
  <c r="BA563" i="3"/>
  <c r="AZ563" i="3" s="1"/>
  <c r="BA561" i="3"/>
  <c r="BA560" i="3"/>
  <c r="BL551" i="3"/>
  <c r="BL549" i="3"/>
  <c r="AZ549" i="3" s="1"/>
  <c r="BL531" i="3"/>
  <c r="AZ531" i="3" s="1"/>
  <c r="BL529" i="3"/>
  <c r="BL519" i="3"/>
  <c r="BA519" i="3"/>
  <c r="AZ519" i="3" s="1"/>
  <c r="BL517" i="3"/>
  <c r="AZ517" i="3" s="1"/>
  <c r="BA497" i="3"/>
  <c r="AZ497" i="3" s="1"/>
  <c r="BL485" i="3"/>
  <c r="BA484" i="3"/>
  <c r="AZ532" i="3"/>
  <c r="AZ551" i="3"/>
  <c r="S27" i="37"/>
  <c r="AA27" i="37"/>
  <c r="W35" i="35"/>
  <c r="AC35" i="35"/>
  <c r="AC25" i="35"/>
  <c r="W25" i="35"/>
  <c r="W46" i="33"/>
  <c r="AC46" i="33"/>
  <c r="AC8" i="21"/>
  <c r="W8" i="21"/>
  <c r="BL571" i="3"/>
  <c r="AZ571" i="3" s="1"/>
  <c r="H72" i="46"/>
  <c r="B67" i="46"/>
  <c r="W34" i="39"/>
  <c r="S43" i="33"/>
  <c r="AB35" i="34"/>
  <c r="AB45" i="39"/>
  <c r="AA21" i="40"/>
  <c r="S15" i="40"/>
  <c r="U33" i="40"/>
  <c r="AB29" i="21"/>
  <c r="W17" i="21"/>
  <c r="AC11" i="33"/>
  <c r="W43" i="33"/>
  <c r="U19" i="34"/>
  <c r="W19" i="34"/>
  <c r="U11" i="34"/>
  <c r="U28" i="34"/>
  <c r="AB25" i="37"/>
  <c r="H26" i="35"/>
  <c r="S8" i="35"/>
  <c r="S33" i="36"/>
  <c r="U27" i="36"/>
  <c r="AB13" i="33"/>
  <c r="U32" i="34"/>
  <c r="W14" i="35"/>
  <c r="AB46" i="39"/>
  <c r="AC30" i="34"/>
  <c r="AA11" i="36"/>
  <c r="W27" i="39"/>
  <c r="H14" i="40"/>
  <c r="J42" i="40"/>
  <c r="S43" i="34"/>
  <c r="U43" i="34"/>
  <c r="F29" i="33"/>
  <c r="S24" i="36"/>
  <c r="AC14" i="37"/>
  <c r="AZ307" i="3"/>
  <c r="U17" i="37"/>
  <c r="AB17" i="37"/>
  <c r="BL482" i="3"/>
  <c r="AZ482" i="3" s="1"/>
  <c r="AZ526" i="3"/>
  <c r="BL534" i="3"/>
  <c r="AZ534" i="3" s="1"/>
  <c r="BL562" i="3"/>
  <c r="AZ562" i="3" s="1"/>
  <c r="W30" i="21"/>
  <c r="F31" i="21"/>
  <c r="J29" i="21"/>
  <c r="W28" i="33"/>
  <c r="AC28" i="33"/>
  <c r="AC42" i="21"/>
  <c r="W42" i="21"/>
  <c r="AC28" i="34"/>
  <c r="W28" i="34"/>
  <c r="AA22" i="35"/>
  <c r="S22" i="35"/>
  <c r="AA38" i="21"/>
  <c r="W33" i="36"/>
  <c r="AA34" i="34"/>
  <c r="S34" i="34"/>
  <c r="U40" i="34"/>
  <c r="AB40" i="34"/>
  <c r="H9" i="35"/>
  <c r="J9" i="35"/>
  <c r="J45" i="33"/>
  <c r="H45" i="33"/>
  <c r="F45" i="33"/>
  <c r="W24" i="36"/>
  <c r="H26" i="37"/>
  <c r="J27" i="37"/>
  <c r="H27" i="37"/>
  <c r="AB41" i="21"/>
  <c r="U41" i="21"/>
  <c r="AA31" i="35"/>
  <c r="S31" i="35"/>
  <c r="BL538" i="3"/>
  <c r="AZ538" i="3" s="1"/>
  <c r="BA537" i="3"/>
  <c r="AZ537" i="3" s="1"/>
  <c r="BA522" i="3"/>
  <c r="AZ522" i="3" s="1"/>
  <c r="BA509" i="3"/>
  <c r="AZ509" i="3" s="1"/>
  <c r="BA503" i="3"/>
  <c r="AZ503" i="3" s="1"/>
  <c r="BA502" i="3"/>
  <c r="AZ502" i="3" s="1"/>
  <c r="BL501" i="3"/>
  <c r="AZ501" i="3" s="1"/>
  <c r="BL500" i="3"/>
  <c r="AZ500" i="3" s="1"/>
  <c r="BL489" i="3"/>
  <c r="AZ489" i="3" s="1"/>
  <c r="BL488" i="3"/>
  <c r="AZ488" i="3" s="1"/>
  <c r="BA486" i="3"/>
  <c r="AZ486" i="3" s="1"/>
  <c r="AA17" i="21"/>
  <c r="S32" i="34"/>
  <c r="S46" i="34"/>
  <c r="AA19" i="39"/>
  <c r="AA40" i="21"/>
  <c r="W32" i="33"/>
  <c r="AZ483" i="3"/>
  <c r="AZ496" i="3"/>
  <c r="AZ565" i="3"/>
  <c r="AC16" i="36"/>
  <c r="AA35" i="37"/>
  <c r="W19" i="33"/>
  <c r="H29" i="33"/>
  <c r="AZ372" i="3"/>
  <c r="AA23" i="37"/>
  <c r="U23" i="37"/>
  <c r="BL564" i="3"/>
  <c r="AZ564" i="3" s="1"/>
  <c r="H44" i="33"/>
  <c r="AA28" i="33"/>
  <c r="S28" i="33"/>
  <c r="S34" i="37"/>
  <c r="E5" i="6"/>
  <c r="D12" i="11" s="1"/>
  <c r="C12" i="11" s="1"/>
  <c r="J27" i="21"/>
  <c r="F27" i="21"/>
  <c r="AB27" i="33"/>
  <c r="U27" i="33"/>
  <c r="AC8" i="34"/>
  <c r="W8" i="34"/>
  <c r="AC8" i="35"/>
  <c r="W8" i="35"/>
  <c r="AA31" i="33"/>
  <c r="S31" i="33"/>
  <c r="AB24" i="36"/>
  <c r="U24" i="36"/>
  <c r="H13" i="36"/>
  <c r="J13" i="36"/>
  <c r="BL561" i="3"/>
  <c r="BL560" i="3"/>
  <c r="BL559" i="3"/>
  <c r="AZ559" i="3" s="1"/>
  <c r="BL556" i="3"/>
  <c r="BA556" i="3"/>
  <c r="BA555" i="3"/>
  <c r="AZ555" i="3" s="1"/>
  <c r="BL552" i="3"/>
  <c r="AZ552" i="3" s="1"/>
  <c r="BL547" i="3"/>
  <c r="AZ547" i="3" s="1"/>
  <c r="BL545" i="3"/>
  <c r="BA545" i="3"/>
  <c r="AZ545" i="3" s="1"/>
  <c r="BA540" i="3"/>
  <c r="AZ540" i="3" s="1"/>
  <c r="BA516" i="3"/>
  <c r="BA515" i="3"/>
  <c r="AZ515" i="3" s="1"/>
  <c r="BL512" i="3"/>
  <c r="AZ512" i="3" s="1"/>
  <c r="BL481" i="3"/>
  <c r="AZ481" i="3" s="1"/>
  <c r="BL19" i="3"/>
  <c r="BA19" i="3"/>
  <c r="AZ18" i="3"/>
  <c r="S29" i="39"/>
  <c r="AA21" i="39"/>
  <c r="AC40" i="34"/>
  <c r="U35" i="37"/>
  <c r="U34" i="39"/>
  <c r="S33" i="40"/>
  <c r="AZ485" i="3"/>
  <c r="AZ499" i="3"/>
  <c r="AZ504" i="3"/>
  <c r="AZ513" i="3"/>
  <c r="AZ529" i="3"/>
  <c r="AZ553" i="3"/>
  <c r="AZ566" i="3"/>
  <c r="S26" i="21"/>
  <c r="AZ378" i="3"/>
  <c r="AZ358" i="3"/>
  <c r="U19" i="21"/>
  <c r="F24" i="35"/>
  <c r="AZ544" i="3"/>
  <c r="AZ558" i="3"/>
  <c r="AB31" i="21"/>
  <c r="AA46" i="33"/>
  <c r="S46" i="33"/>
  <c r="U40" i="37"/>
  <c r="AB40" i="37"/>
  <c r="F13" i="36"/>
  <c r="H45" i="21"/>
  <c r="H27" i="21"/>
  <c r="S38" i="34"/>
  <c r="W43" i="34"/>
  <c r="U16" i="35"/>
  <c r="AB16" i="35"/>
  <c r="C29" i="39"/>
  <c r="F9" i="21"/>
  <c r="H9" i="21"/>
  <c r="J9" i="21"/>
  <c r="H9" i="33"/>
  <c r="F9" i="33"/>
  <c r="J9" i="34"/>
  <c r="H9" i="34"/>
  <c r="S28" i="34"/>
  <c r="AA28" i="34"/>
  <c r="W36" i="34"/>
  <c r="AC36" i="34"/>
  <c r="AA37" i="33"/>
  <c r="S37" i="33"/>
  <c r="AC31" i="35"/>
  <c r="W31" i="35"/>
  <c r="BA527" i="3"/>
  <c r="BL525" i="3"/>
  <c r="AZ525" i="3" s="1"/>
  <c r="G512" i="3"/>
  <c r="BL510" i="3"/>
  <c r="AZ510" i="3" s="1"/>
  <c r="BL507" i="3"/>
  <c r="AZ507" i="3" s="1"/>
  <c r="BA506" i="3"/>
  <c r="AZ506" i="3" s="1"/>
  <c r="BL495" i="3"/>
  <c r="AZ495" i="3" s="1"/>
  <c r="BL494" i="3"/>
  <c r="AZ494" i="3" s="1"/>
  <c r="BL493" i="3"/>
  <c r="AZ493" i="3" s="1"/>
  <c r="BA492" i="3"/>
  <c r="BA491" i="3"/>
  <c r="B94" i="46"/>
  <c r="B84" i="46"/>
  <c r="H14" i="33"/>
  <c r="J14" i="33"/>
  <c r="AC23" i="36"/>
  <c r="W23" i="36"/>
  <c r="G568" i="3"/>
  <c r="G565" i="3"/>
  <c r="BL541" i="3"/>
  <c r="BA536" i="3"/>
  <c r="AZ536" i="3" s="1"/>
  <c r="G534" i="3"/>
  <c r="BL527" i="3"/>
  <c r="G524" i="3"/>
  <c r="BA520" i="3"/>
  <c r="AZ520" i="3" s="1"/>
  <c r="BA505" i="3"/>
  <c r="AZ505" i="3" s="1"/>
  <c r="AZ370" i="3"/>
  <c r="AZ362" i="3"/>
  <c r="AZ344" i="3"/>
  <c r="AZ304" i="3"/>
  <c r="AZ359" i="3"/>
  <c r="AZ323" i="3"/>
  <c r="AZ115" i="3"/>
  <c r="AZ327" i="3"/>
  <c r="BL484" i="3"/>
  <c r="BL492" i="3"/>
  <c r="AZ492" i="3" s="1"/>
  <c r="BL516" i="3"/>
  <c r="AZ516" i="3" s="1"/>
  <c r="AC34" i="36"/>
  <c r="H5" i="3"/>
  <c r="BA570" i="3"/>
  <c r="AZ570" i="3" s="1"/>
  <c r="BE5" i="3"/>
  <c r="H46" i="21"/>
  <c r="F46" i="21"/>
  <c r="J9" i="36"/>
  <c r="F9" i="36"/>
  <c r="F39" i="37"/>
  <c r="H39" i="37"/>
  <c r="BL557" i="3"/>
  <c r="AZ557" i="3" s="1"/>
  <c r="BA550" i="3"/>
  <c r="AZ550" i="3" s="1"/>
  <c r="BA541" i="3"/>
  <c r="BL491" i="3"/>
  <c r="BA487" i="3"/>
  <c r="AZ487" i="3" s="1"/>
  <c r="AZ402" i="3"/>
  <c r="BL20" i="3"/>
  <c r="BL514" i="3"/>
  <c r="AZ514" i="3" s="1"/>
  <c r="BL546" i="3"/>
  <c r="AZ546" i="3" s="1"/>
  <c r="BA572" i="3"/>
  <c r="AZ572" i="3" s="1"/>
  <c r="B101" i="46"/>
  <c r="B79" i="46"/>
  <c r="G495" i="3"/>
  <c r="BA389" i="3"/>
  <c r="AZ389" i="3" s="1"/>
  <c r="BA393" i="3"/>
  <c r="AZ393" i="3" s="1"/>
  <c r="BL398" i="3"/>
  <c r="AZ398" i="3" s="1"/>
  <c r="BA401" i="3"/>
  <c r="AZ401" i="3" s="1"/>
  <c r="BL402" i="3"/>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0" i="3"/>
  <c r="AZ380" i="3" s="1"/>
  <c r="AZ385" i="3"/>
  <c r="AZ205" i="3"/>
  <c r="AZ232" i="3"/>
  <c r="G259" i="3"/>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61" i="3"/>
  <c r="AZ261" i="3" s="1"/>
  <c r="A30" i="51"/>
  <c r="B22" i="63" s="1"/>
  <c r="A30" i="64"/>
  <c r="AZ391" i="3"/>
  <c r="AZ407" i="3"/>
  <c r="AZ419" i="3"/>
  <c r="AZ423" i="3"/>
  <c r="AZ428" i="3"/>
  <c r="AZ431" i="3"/>
  <c r="AZ435" i="3"/>
  <c r="AZ444" i="3"/>
  <c r="AZ452" i="3"/>
  <c r="AZ455" i="3"/>
  <c r="BL318" i="3"/>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BA230" i="3"/>
  <c r="AZ230" i="3" s="1"/>
  <c r="BA234" i="3"/>
  <c r="AZ234" i="3" s="1"/>
  <c r="BL235" i="3"/>
  <c r="BA238" i="3"/>
  <c r="AZ238" i="3" s="1"/>
  <c r="BA242" i="3"/>
  <c r="AZ242" i="3" s="1"/>
  <c r="BL243" i="3"/>
  <c r="BA246" i="3"/>
  <c r="AZ246" i="3" s="1"/>
  <c r="BA250" i="3"/>
  <c r="AZ250" i="3" s="1"/>
  <c r="BL251" i="3"/>
  <c r="AZ148" i="3"/>
  <c r="A11" i="55"/>
  <c r="B62" i="63" s="1"/>
  <c r="BA396" i="3"/>
  <c r="AZ396" i="3" s="1"/>
  <c r="BL397" i="3"/>
  <c r="BA400" i="3"/>
  <c r="AZ400" i="3" s="1"/>
  <c r="BA404" i="3"/>
  <c r="AZ404" i="3" s="1"/>
  <c r="BL405" i="3"/>
  <c r="BA412" i="3"/>
  <c r="AZ412" i="3" s="1"/>
  <c r="BL413" i="3"/>
  <c r="BA416" i="3"/>
  <c r="AZ416" i="3" s="1"/>
  <c r="BL417" i="3"/>
  <c r="BL433" i="3"/>
  <c r="AZ433" i="3" s="1"/>
  <c r="BA436" i="3"/>
  <c r="AZ436" i="3" s="1"/>
  <c r="BL437" i="3"/>
  <c r="BA440" i="3"/>
  <c r="AZ440" i="3" s="1"/>
  <c r="BA448" i="3"/>
  <c r="AZ448" i="3" s="1"/>
  <c r="BA456" i="3"/>
  <c r="AZ456" i="3" s="1"/>
  <c r="BL457" i="3"/>
  <c r="BA460" i="3"/>
  <c r="AZ460" i="3" s="1"/>
  <c r="BA464" i="3"/>
  <c r="AZ464" i="3" s="1"/>
  <c r="BL465" i="3"/>
  <c r="BA468" i="3"/>
  <c r="AZ468" i="3" s="1"/>
  <c r="AZ472" i="3"/>
  <c r="AZ476" i="3"/>
  <c r="AZ480" i="3"/>
  <c r="AZ318" i="3"/>
  <c r="AZ319" i="3"/>
  <c r="AZ334" i="3"/>
  <c r="BA335" i="3"/>
  <c r="AZ335" i="3" s="1"/>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AZ224" i="3" s="1"/>
  <c r="BL228" i="3"/>
  <c r="AZ228" i="3" s="1"/>
  <c r="BA231" i="3"/>
  <c r="AZ231" i="3" s="1"/>
  <c r="BL232" i="3"/>
  <c r="BL236" i="3"/>
  <c r="AZ236" i="3" s="1"/>
  <c r="BA239" i="3"/>
  <c r="AZ239" i="3" s="1"/>
  <c r="BL240" i="3"/>
  <c r="AZ240" i="3" s="1"/>
  <c r="BL244" i="3"/>
  <c r="AZ244" i="3" s="1"/>
  <c r="BA247" i="3"/>
  <c r="AZ247" i="3" s="1"/>
  <c r="BL248" i="3"/>
  <c r="AZ248" i="3" s="1"/>
  <c r="BL252" i="3"/>
  <c r="AZ252" i="3" s="1"/>
  <c r="BL253" i="3"/>
  <c r="AZ253" i="3" s="1"/>
  <c r="BL255" i="3"/>
  <c r="AZ255" i="3" s="1"/>
  <c r="G256" i="3"/>
  <c r="BL256" i="3"/>
  <c r="AZ256" i="3" s="1"/>
  <c r="BL257" i="3"/>
  <c r="AZ257" i="3" s="1"/>
  <c r="AZ204" i="3"/>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BA156" i="3"/>
  <c r="AZ156" i="3" s="1"/>
  <c r="BA158" i="3"/>
  <c r="AZ158" i="3" s="1"/>
  <c r="G168" i="3"/>
  <c r="BL168" i="3"/>
  <c r="BA175" i="3"/>
  <c r="AZ175" i="3" s="1"/>
  <c r="BL177" i="3"/>
  <c r="AZ177" i="3" s="1"/>
  <c r="BL182" i="3"/>
  <c r="BL184" i="3"/>
  <c r="AZ184" i="3" s="1"/>
  <c r="BL186" i="3"/>
  <c r="BA189" i="3"/>
  <c r="AZ189" i="3" s="1"/>
  <c r="BA201" i="3"/>
  <c r="AZ201" i="3" s="1"/>
  <c r="BA202" i="3"/>
  <c r="AZ202" i="3" s="1"/>
  <c r="BL21" i="3"/>
  <c r="AZ28" i="3"/>
  <c r="AZ50" i="3"/>
  <c r="AZ52" i="3"/>
  <c r="AZ57" i="3"/>
  <c r="BL78" i="3"/>
  <c r="BA80"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L152" i="3"/>
  <c r="AZ152" i="3" s="1"/>
  <c r="BL153" i="3"/>
  <c r="AZ153" i="3" s="1"/>
  <c r="BL160" i="3"/>
  <c r="AZ160" i="3" s="1"/>
  <c r="BL161" i="3"/>
  <c r="AZ161" i="3" s="1"/>
  <c r="BA167" i="3"/>
  <c r="AZ167" i="3" s="1"/>
  <c r="BL171" i="3"/>
  <c r="AZ171" i="3" s="1"/>
  <c r="G184" i="3"/>
  <c r="BL187" i="3"/>
  <c r="AZ187" i="3" s="1"/>
  <c r="BL190" i="3"/>
  <c r="BL192" i="3"/>
  <c r="AZ192" i="3" s="1"/>
  <c r="BL194" i="3"/>
  <c r="BA197" i="3"/>
  <c r="AZ197" i="3" s="1"/>
  <c r="G21" i="3"/>
  <c r="BL22" i="3"/>
  <c r="AZ22" i="3" s="1"/>
  <c r="BL23" i="3"/>
  <c r="AZ23" i="3" s="1"/>
  <c r="BL25" i="3"/>
  <c r="BA30" i="3"/>
  <c r="AZ30" i="3" s="1"/>
  <c r="BL33" i="3"/>
  <c r="BL35" i="3"/>
  <c r="BA39" i="3"/>
  <c r="AZ39" i="3" s="1"/>
  <c r="BA55" i="3"/>
  <c r="AZ55" i="3" s="1"/>
  <c r="BA61" i="3"/>
  <c r="AZ61" i="3" s="1"/>
  <c r="BL260" i="3"/>
  <c r="AZ260" i="3" s="1"/>
  <c r="BA263" i="3"/>
  <c r="AZ263" i="3" s="1"/>
  <c r="BL264" i="3"/>
  <c r="BL268" i="3"/>
  <c r="AZ268" i="3" s="1"/>
  <c r="BL276" i="3"/>
  <c r="AZ276" i="3" s="1"/>
  <c r="BL284" i="3"/>
  <c r="AZ284" i="3" s="1"/>
  <c r="BL292" i="3"/>
  <c r="AZ292" i="3" s="1"/>
  <c r="BA115" i="3"/>
  <c r="BA117" i="3"/>
  <c r="AZ117" i="3" s="1"/>
  <c r="BA125" i="3"/>
  <c r="AZ125" i="3" s="1"/>
  <c r="BA131" i="3"/>
  <c r="AZ131" i="3" s="1"/>
  <c r="BA133" i="3"/>
  <c r="AZ133" i="3" s="1"/>
  <c r="BA141" i="3"/>
  <c r="AZ141" i="3" s="1"/>
  <c r="BA147" i="3"/>
  <c r="AZ147" i="3" s="1"/>
  <c r="BA149" i="3"/>
  <c r="AZ149" i="3" s="1"/>
  <c r="G152" i="3"/>
  <c r="G160" i="3"/>
  <c r="BA182" i="3"/>
  <c r="G192" i="3"/>
  <c r="BL195" i="3"/>
  <c r="AZ195" i="3" s="1"/>
  <c r="BL198" i="3"/>
  <c r="BL200" i="3"/>
  <c r="AZ200" i="3" s="1"/>
  <c r="BA21" i="3"/>
  <c r="G25" i="3"/>
  <c r="BL26" i="3"/>
  <c r="BL27" i="3"/>
  <c r="AZ27" i="3" s="1"/>
  <c r="BL41" i="3"/>
  <c r="AZ46" i="3"/>
  <c r="AZ60" i="3"/>
  <c r="BA69" i="3"/>
  <c r="AZ264" i="3"/>
  <c r="AZ272" i="3"/>
  <c r="AZ280" i="3"/>
  <c r="AZ288" i="3"/>
  <c r="AZ296" i="3"/>
  <c r="AZ120" i="3"/>
  <c r="AZ128" i="3"/>
  <c r="AZ136" i="3"/>
  <c r="AZ144" i="3"/>
  <c r="AZ155" i="3"/>
  <c r="BA163" i="3"/>
  <c r="AZ163" i="3" s="1"/>
  <c r="BL165" i="3"/>
  <c r="AZ165" i="3" s="1"/>
  <c r="AZ25" i="3"/>
  <c r="AZ26" i="3"/>
  <c r="AZ34" i="3"/>
  <c r="AZ89" i="3"/>
  <c r="AZ83" i="3"/>
  <c r="AZ95" i="3"/>
  <c r="AA21" i="37"/>
  <c r="S21" i="37"/>
  <c r="X39" i="59"/>
  <c r="X11" i="59"/>
  <c r="X36" i="59"/>
  <c r="X22" i="59"/>
  <c r="X24" i="59"/>
  <c r="B24" i="59"/>
  <c r="B23" i="59" s="1"/>
  <c r="B22" i="59" s="1"/>
  <c r="B21" i="59" s="1"/>
  <c r="BL159" i="3"/>
  <c r="AZ159" i="3" s="1"/>
  <c r="BA164" i="3"/>
  <c r="AZ164" i="3" s="1"/>
  <c r="BA170" i="3"/>
  <c r="AZ170" i="3" s="1"/>
  <c r="BA172" i="3"/>
  <c r="AZ172" i="3" s="1"/>
  <c r="BA180" i="3"/>
  <c r="AZ180" i="3" s="1"/>
  <c r="BL183" i="3"/>
  <c r="AZ183" i="3" s="1"/>
  <c r="BL191" i="3"/>
  <c r="AZ191" i="3" s="1"/>
  <c r="BL199" i="3"/>
  <c r="AZ199" i="3" s="1"/>
  <c r="BA203" i="3"/>
  <c r="AZ203" i="3" s="1"/>
  <c r="BL204" i="3"/>
  <c r="BL24" i="3"/>
  <c r="AZ24" i="3" s="1"/>
  <c r="BA31" i="3"/>
  <c r="AZ31" i="3" s="1"/>
  <c r="BA35" i="3"/>
  <c r="AZ35" i="3" s="1"/>
  <c r="BL36" i="3"/>
  <c r="AZ36" i="3" s="1"/>
  <c r="BL40" i="3"/>
  <c r="AZ40" i="3" s="1"/>
  <c r="BA47" i="3"/>
  <c r="AZ47" i="3" s="1"/>
  <c r="BA51" i="3"/>
  <c r="AZ51" i="3" s="1"/>
  <c r="BL52" i="3"/>
  <c r="BL56" i="3"/>
  <c r="AZ56" i="3" s="1"/>
  <c r="BL59" i="3"/>
  <c r="AZ59" i="3" s="1"/>
  <c r="BA65" i="3"/>
  <c r="AZ65" i="3" s="1"/>
  <c r="BL70" i="3"/>
  <c r="AZ70" i="3" s="1"/>
  <c r="BA72" i="3"/>
  <c r="AZ72" i="3" s="1"/>
  <c r="BL73" i="3"/>
  <c r="AZ73" i="3" s="1"/>
  <c r="BA88" i="3"/>
  <c r="AZ88" i="3" s="1"/>
  <c r="BL89" i="3"/>
  <c r="BA92" i="3"/>
  <c r="AZ92" i="3" s="1"/>
  <c r="BL93" i="3"/>
  <c r="AZ93" i="3" s="1"/>
  <c r="BA104" i="3"/>
  <c r="AZ104" i="3" s="1"/>
  <c r="BL105" i="3"/>
  <c r="AZ105" i="3" s="1"/>
  <c r="BA108" i="3"/>
  <c r="AZ108" i="3" s="1"/>
  <c r="BL109" i="3"/>
  <c r="AZ109" i="3" s="1"/>
  <c r="BL111" i="3"/>
  <c r="T37" i="59"/>
  <c r="D37" i="59"/>
  <c r="C45" i="59"/>
  <c r="D44" i="59"/>
  <c r="X25" i="59"/>
  <c r="Y19" i="59"/>
  <c r="Z19" i="59" s="1"/>
  <c r="Y13" i="59"/>
  <c r="Z13" i="59" s="1"/>
  <c r="BA44" i="3"/>
  <c r="AZ44" i="3" s="1"/>
  <c r="BL45" i="3"/>
  <c r="BA48" i="3"/>
  <c r="AZ48" i="3" s="1"/>
  <c r="BL49" i="3"/>
  <c r="AZ49" i="3" s="1"/>
  <c r="BA62" i="3"/>
  <c r="AZ62" i="3" s="1"/>
  <c r="BA66" i="3"/>
  <c r="AZ66" i="3" s="1"/>
  <c r="BL67" i="3"/>
  <c r="AZ67" i="3" s="1"/>
  <c r="BL71" i="3"/>
  <c r="AZ71" i="3" s="1"/>
  <c r="BL74" i="3"/>
  <c r="AZ74" i="3" s="1"/>
  <c r="BA77" i="3"/>
  <c r="AZ77" i="3" s="1"/>
  <c r="BA81" i="3"/>
  <c r="AZ81" i="3" s="1"/>
  <c r="BA85" i="3"/>
  <c r="AZ85" i="3" s="1"/>
  <c r="BL90" i="3"/>
  <c r="AZ90" i="3" s="1"/>
  <c r="BL94" i="3"/>
  <c r="AZ94" i="3" s="1"/>
  <c r="BA97" i="3"/>
  <c r="AZ97" i="3" s="1"/>
  <c r="BA101" i="3"/>
  <c r="AZ101" i="3" s="1"/>
  <c r="BL106" i="3"/>
  <c r="AZ106" i="3" s="1"/>
  <c r="S21" i="21"/>
  <c r="AA21" i="34"/>
  <c r="C61" i="59"/>
  <c r="C52" i="59"/>
  <c r="AA26" i="59"/>
  <c r="X30" i="59"/>
  <c r="B31" i="59"/>
  <c r="B32" i="59" s="1"/>
  <c r="B33" i="59" s="1"/>
  <c r="S33" i="59" s="1"/>
  <c r="AA31" i="59"/>
  <c r="AA29" i="59"/>
  <c r="AA32" i="59"/>
  <c r="B35" i="59"/>
  <c r="B36" i="59" s="1"/>
  <c r="B37" i="59" s="1"/>
  <c r="S37" i="59" s="1"/>
  <c r="X34" i="59"/>
  <c r="X32" i="59"/>
  <c r="E36" i="59"/>
  <c r="E37" i="59" s="1"/>
  <c r="U37" i="59" s="1"/>
  <c r="AB34" i="59"/>
  <c r="AB25" i="59"/>
  <c r="AB26" i="59"/>
  <c r="AB32" i="59"/>
  <c r="AB27" i="59"/>
  <c r="Y7" i="59"/>
  <c r="Z7" i="59" s="1"/>
  <c r="Y8" i="59"/>
  <c r="Z8" i="59" s="1"/>
  <c r="Y5" i="59"/>
  <c r="Z5" i="59" s="1"/>
  <c r="Y6" i="59"/>
  <c r="Z6" i="59" s="1"/>
  <c r="Y10" i="59"/>
  <c r="Z10" i="59" s="1"/>
  <c r="Y11" i="59"/>
  <c r="Z11" i="59" s="1"/>
  <c r="Y40" i="59"/>
  <c r="Z40" i="59" s="1"/>
  <c r="C57" i="59"/>
  <c r="D56" i="59"/>
  <c r="V29" i="59"/>
  <c r="F28" i="59"/>
  <c r="F27" i="59" s="1"/>
  <c r="AA12" i="59"/>
  <c r="BA37" i="3"/>
  <c r="AZ37" i="3" s="1"/>
  <c r="BL38" i="3"/>
  <c r="AZ38" i="3" s="1"/>
  <c r="BA41" i="3"/>
  <c r="AZ41" i="3" s="1"/>
  <c r="BL42" i="3"/>
  <c r="AZ42" i="3" s="1"/>
  <c r="BA53" i="3"/>
  <c r="AZ53" i="3" s="1"/>
  <c r="BL54" i="3"/>
  <c r="BA63" i="3"/>
  <c r="AZ63" i="3" s="1"/>
  <c r="BL64" i="3"/>
  <c r="AZ64" i="3" s="1"/>
  <c r="BA78" i="3"/>
  <c r="AZ78" i="3" s="1"/>
  <c r="BA82" i="3"/>
  <c r="AZ82" i="3" s="1"/>
  <c r="BL83" i="3"/>
  <c r="BA86" i="3"/>
  <c r="AZ86" i="3" s="1"/>
  <c r="BL87" i="3"/>
  <c r="AZ87" i="3" s="1"/>
  <c r="BL91" i="3"/>
  <c r="AZ91" i="3" s="1"/>
  <c r="BA98" i="3"/>
  <c r="AZ98" i="3" s="1"/>
  <c r="BA102" i="3"/>
  <c r="AZ102" i="3" s="1"/>
  <c r="BL103" i="3"/>
  <c r="AZ103" i="3" s="1"/>
  <c r="BL107" i="3"/>
  <c r="AZ107" i="3" s="1"/>
  <c r="BA111" i="3"/>
  <c r="BA112" i="3"/>
  <c r="AZ112" i="3" s="1"/>
  <c r="B13" i="1"/>
  <c r="E13" i="1" s="1"/>
  <c r="K13" i="1"/>
  <c r="M13" i="1" s="1"/>
  <c r="O13" i="1" s="1"/>
  <c r="P13" i="1" s="1"/>
  <c r="B88" i="46"/>
  <c r="C33" i="59"/>
  <c r="D32" i="59"/>
  <c r="X27" i="59"/>
  <c r="AB30" i="59"/>
  <c r="AB31" i="59"/>
  <c r="AB33" i="59"/>
  <c r="Y38" i="59"/>
  <c r="Z38" i="59" s="1"/>
  <c r="Y31" i="59"/>
  <c r="Z31" i="59" s="1"/>
  <c r="Y35" i="59"/>
  <c r="Z35" i="59" s="1"/>
  <c r="C39" i="59"/>
  <c r="Y28" i="59"/>
  <c r="Z28" i="59" s="1"/>
  <c r="F39" i="59"/>
  <c r="F40" i="59" s="1"/>
  <c r="F41" i="59" s="1"/>
  <c r="V41" i="59" s="1"/>
  <c r="AB38" i="59"/>
  <c r="C65" i="59"/>
  <c r="D64" i="59"/>
  <c r="P68" i="59"/>
  <c r="E67" i="59"/>
  <c r="B29" i="59"/>
  <c r="X29" i="59"/>
  <c r="X28" i="59"/>
  <c r="AB11" i="59"/>
  <c r="BL110" i="3"/>
  <c r="AZ110" i="3" s="1"/>
  <c r="E31" i="59"/>
  <c r="E32" i="59" s="1"/>
  <c r="E33" i="59" s="1"/>
  <c r="U33" i="59" s="1"/>
  <c r="Y29" i="59"/>
  <c r="Z29" i="59" s="1"/>
  <c r="Y30" i="59"/>
  <c r="Z30" i="59" s="1"/>
  <c r="X31" i="59"/>
  <c r="X33" i="59"/>
  <c r="X35" i="59"/>
  <c r="X37" i="59"/>
  <c r="X38" i="59"/>
  <c r="Y39" i="59"/>
  <c r="Z39" i="59" s="1"/>
  <c r="AB7" i="59"/>
  <c r="AB5" i="59"/>
  <c r="AB8" i="59"/>
  <c r="AB6" i="59"/>
  <c r="AB10" i="59"/>
  <c r="AB40" i="59"/>
  <c r="E60" i="59"/>
  <c r="E61" i="59" s="1"/>
  <c r="U61" i="59" s="1"/>
  <c r="B68" i="59"/>
  <c r="E24" i="59"/>
  <c r="E23" i="59" s="1"/>
  <c r="E22" i="59" s="1"/>
  <c r="E21" i="59" s="1"/>
  <c r="U25" i="59"/>
  <c r="AA24" i="59"/>
  <c r="X18" i="59"/>
  <c r="AA13" i="59"/>
  <c r="Y18" i="59"/>
  <c r="Z18" i="59" s="1"/>
  <c r="AA30" i="59"/>
  <c r="AA27" i="59"/>
  <c r="Y32" i="59"/>
  <c r="Z32" i="59" s="1"/>
  <c r="Y33" i="59"/>
  <c r="Z33" i="59" s="1"/>
  <c r="Y34" i="59"/>
  <c r="Z34" i="59" s="1"/>
  <c r="AA34" i="59"/>
  <c r="Y36" i="59"/>
  <c r="Z36" i="59" s="1"/>
  <c r="Y37" i="59"/>
  <c r="Z37" i="59" s="1"/>
  <c r="U29" i="59"/>
  <c r="E28" i="59"/>
  <c r="E27" i="59" s="1"/>
  <c r="D29" i="59"/>
  <c r="C28" i="59"/>
  <c r="T29" i="59"/>
  <c r="Y25" i="59"/>
  <c r="Z25" i="59" s="1"/>
  <c r="AA22" i="59"/>
  <c r="X19" i="59"/>
  <c r="AA19" i="59"/>
  <c r="X15" i="59"/>
  <c r="X12" i="59"/>
  <c r="X14" i="59"/>
  <c r="X3" i="59"/>
  <c r="X13" i="59"/>
  <c r="X17" i="59"/>
  <c r="AB18" i="59"/>
  <c r="AB3" i="59"/>
  <c r="AB14" i="59"/>
  <c r="AB15" i="59"/>
  <c r="AB13" i="59"/>
  <c r="AA18" i="59"/>
  <c r="Y14" i="59"/>
  <c r="Z14" i="59" s="1"/>
  <c r="X5" i="59"/>
  <c r="X7" i="59"/>
  <c r="X8" i="59"/>
  <c r="X6" i="59"/>
  <c r="X10" i="59"/>
  <c r="AA7" i="59"/>
  <c r="AA8" i="59"/>
  <c r="AA5" i="59"/>
  <c r="AA6" i="59"/>
  <c r="AA11" i="59"/>
  <c r="AA16" i="59"/>
  <c r="AA10" i="59"/>
  <c r="AA15" i="59"/>
  <c r="Y15" i="59"/>
  <c r="Z15" i="59" s="1"/>
  <c r="AB16" i="59"/>
  <c r="AB12" i="59"/>
  <c r="AA14" i="59"/>
  <c r="D65" i="46"/>
  <c r="D50" i="46"/>
  <c r="F36" i="44"/>
  <c r="M22" i="44"/>
  <c r="M20" i="15"/>
  <c r="C6" i="12"/>
  <c r="C24" i="12" s="1"/>
  <c r="E29" i="6"/>
  <c r="BL13" i="3"/>
  <c r="L19" i="6"/>
  <c r="L27" i="6" s="1"/>
  <c r="F30" i="6"/>
  <c r="C7" i="21"/>
  <c r="C58" i="21" s="1"/>
  <c r="D58" i="21" s="1"/>
  <c r="E58" i="21" s="1"/>
  <c r="C7" i="33"/>
  <c r="C58" i="33" s="1"/>
  <c r="D58" i="33" s="1"/>
  <c r="E58" i="33" s="1"/>
  <c r="F58" i="33" s="1"/>
  <c r="C7" i="34"/>
  <c r="C59" i="34" s="1"/>
  <c r="C9" i="39"/>
  <c r="C69" i="39" s="1"/>
  <c r="C71"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O9" i="1"/>
  <c r="P9" i="1" s="1"/>
  <c r="G6" i="1"/>
  <c r="K17" i="4"/>
  <c r="A22" i="51" s="1"/>
  <c r="B16" i="63" s="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66" i="40"/>
  <c r="D64" i="40"/>
  <c r="J7" i="33"/>
  <c r="C18" i="11"/>
  <c r="K77" i="9"/>
  <c r="K79" i="9" s="1"/>
  <c r="K81" i="9" s="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5" i="46"/>
  <c r="Q73" i="44"/>
  <c r="F65" i="15"/>
  <c r="C29" i="44"/>
  <c r="C8" i="44"/>
  <c r="J1" i="65"/>
  <c r="F67" i="15"/>
  <c r="F50" i="15"/>
  <c r="C27" i="15"/>
  <c r="M9" i="44"/>
  <c r="L59" i="15"/>
  <c r="L58" i="15"/>
  <c r="J53" i="15"/>
  <c r="J57" i="15"/>
  <c r="J55" i="15" s="1"/>
  <c r="J58" i="15" s="1"/>
  <c r="Q51" i="15" s="1"/>
  <c r="I54" i="15"/>
  <c r="L56" i="15"/>
  <c r="F49" i="15"/>
  <c r="M7" i="15"/>
  <c r="M17" i="15" s="1"/>
  <c r="I55" i="44"/>
  <c r="J54" i="44"/>
  <c r="L57" i="44"/>
  <c r="J58" i="44"/>
  <c r="J56" i="44" s="1"/>
  <c r="J59" i="44" s="1"/>
  <c r="Q52" i="44" s="1"/>
  <c r="Q72" i="15"/>
  <c r="C4" i="65"/>
  <c r="B39" i="1" s="1"/>
  <c r="C16" i="15"/>
  <c r="F37" i="15"/>
  <c r="M24" i="15"/>
  <c r="L48" i="44"/>
  <c r="M10" i="44"/>
  <c r="F39" i="44"/>
  <c r="M11" i="44"/>
  <c r="M29" i="15"/>
  <c r="F43" i="15"/>
  <c r="C18" i="44"/>
  <c r="E3" i="65"/>
  <c r="F36" i="15"/>
  <c r="E2" i="65"/>
  <c r="F9" i="15"/>
  <c r="F13" i="15"/>
  <c r="AB17" i="40" l="1"/>
  <c r="AC17" i="40"/>
  <c r="I24" i="46"/>
  <c r="C24" i="46" s="1"/>
  <c r="F72" i="9"/>
  <c r="M18" i="15"/>
  <c r="M20" i="44"/>
  <c r="H16" i="1"/>
  <c r="AP16" i="1"/>
  <c r="Q16" i="1"/>
  <c r="E15" i="6"/>
  <c r="L59" i="44"/>
  <c r="Q75" i="44" s="1"/>
  <c r="L60" i="44"/>
  <c r="Q76" i="44" s="1"/>
  <c r="F63" i="15"/>
  <c r="F64" i="15"/>
  <c r="C6" i="15"/>
  <c r="C32" i="15" s="1"/>
  <c r="F70" i="15"/>
  <c r="O23" i="46"/>
  <c r="C27" i="59"/>
  <c r="D27" i="59" s="1"/>
  <c r="D28" i="59"/>
  <c r="P66" i="59"/>
  <c r="P67" i="59"/>
  <c r="T33" i="59"/>
  <c r="D33" i="59"/>
  <c r="T57" i="59"/>
  <c r="D57" i="59"/>
  <c r="T61" i="59"/>
  <c r="D61" i="59"/>
  <c r="T45" i="59"/>
  <c r="D45" i="59"/>
  <c r="B20" i="59"/>
  <c r="B19" i="59" s="1"/>
  <c r="B18" i="59" s="1"/>
  <c r="B17" i="59" s="1"/>
  <c r="S21" i="59"/>
  <c r="AZ21" i="3"/>
  <c r="AC9" i="36"/>
  <c r="W9" i="36"/>
  <c r="AC14" i="33"/>
  <c r="W14" i="33"/>
  <c r="AZ491" i="3"/>
  <c r="W9" i="34"/>
  <c r="AC9" i="34"/>
  <c r="U9" i="21"/>
  <c r="AB9" i="21"/>
  <c r="U45" i="21"/>
  <c r="AB45" i="21"/>
  <c r="U44" i="33"/>
  <c r="AB44" i="33"/>
  <c r="AB29" i="33"/>
  <c r="U29" i="33"/>
  <c r="AC27" i="37"/>
  <c r="W27" i="37"/>
  <c r="U45" i="33"/>
  <c r="AB45" i="33"/>
  <c r="S29" i="33"/>
  <c r="AA29" i="33"/>
  <c r="AB14" i="40"/>
  <c r="U14" i="40"/>
  <c r="S34" i="35"/>
  <c r="AA34" i="35"/>
  <c r="AB13" i="21"/>
  <c r="U13" i="21"/>
  <c r="C34" i="44"/>
  <c r="P29" i="46"/>
  <c r="B72" i="39" s="1"/>
  <c r="E20" i="59"/>
  <c r="E19" i="59" s="1"/>
  <c r="E18" i="59" s="1"/>
  <c r="E17" i="59" s="1"/>
  <c r="U21" i="59"/>
  <c r="AZ111" i="3"/>
  <c r="AB39" i="37"/>
  <c r="U39" i="37"/>
  <c r="AA46" i="21"/>
  <c r="S46" i="21"/>
  <c r="U14" i="33"/>
  <c r="AB14" i="33"/>
  <c r="AA9" i="33"/>
  <c r="S9" i="33"/>
  <c r="AA9" i="21"/>
  <c r="S9" i="21"/>
  <c r="S13" i="36"/>
  <c r="AA13" i="36"/>
  <c r="AA24" i="35"/>
  <c r="S24" i="35"/>
  <c r="AZ19" i="3"/>
  <c r="AZ556" i="3"/>
  <c r="AB26" i="37"/>
  <c r="U26" i="37"/>
  <c r="AC45" i="33"/>
  <c r="W45" i="33"/>
  <c r="AZ560" i="3"/>
  <c r="W26" i="37"/>
  <c r="AC26" i="37"/>
  <c r="W34" i="35"/>
  <c r="AC34" i="35"/>
  <c r="AC13" i="21"/>
  <c r="W13" i="21"/>
  <c r="C19" i="59"/>
  <c r="D20" i="59"/>
  <c r="J8" i="44"/>
  <c r="J20" i="44" s="1"/>
  <c r="P27" i="46"/>
  <c r="N68" i="59"/>
  <c r="B67" i="59"/>
  <c r="AZ541" i="3"/>
  <c r="S39" i="37"/>
  <c r="AA39" i="37"/>
  <c r="U46" i="21"/>
  <c r="AB46" i="21"/>
  <c r="AZ527" i="3"/>
  <c r="U9" i="33"/>
  <c r="AB9" i="33"/>
  <c r="W13" i="36"/>
  <c r="AC13" i="36"/>
  <c r="AA27" i="21"/>
  <c r="S27" i="21"/>
  <c r="W9" i="35"/>
  <c r="AC9" i="35"/>
  <c r="AC29" i="21"/>
  <c r="W29" i="21"/>
  <c r="AZ561" i="3"/>
  <c r="AA26" i="37"/>
  <c r="S26" i="37"/>
  <c r="W44" i="33"/>
  <c r="AC44" i="33"/>
  <c r="AA45" i="21"/>
  <c r="S45" i="21"/>
  <c r="B28" i="59"/>
  <c r="B27" i="59" s="1"/>
  <c r="S29" i="59"/>
  <c r="T65" i="59"/>
  <c r="D65" i="59"/>
  <c r="C40" i="59"/>
  <c r="D39" i="59"/>
  <c r="C53" i="59"/>
  <c r="D52" i="59"/>
  <c r="AA9" i="36"/>
  <c r="S9" i="36"/>
  <c r="AB9" i="34"/>
  <c r="U9" i="34"/>
  <c r="AC9" i="21"/>
  <c r="W9" i="21"/>
  <c r="AB27" i="21"/>
  <c r="U27" i="21"/>
  <c r="AB13" i="36"/>
  <c r="U13" i="36"/>
  <c r="W27" i="21"/>
  <c r="AC27" i="21"/>
  <c r="U27" i="37"/>
  <c r="AB27" i="37"/>
  <c r="AA45" i="33"/>
  <c r="S45" i="33"/>
  <c r="AB9" i="35"/>
  <c r="U9" i="35"/>
  <c r="S31" i="21"/>
  <c r="AA31" i="21"/>
  <c r="W42" i="40"/>
  <c r="AC42" i="40"/>
  <c r="AB26" i="35"/>
  <c r="U26" i="35"/>
  <c r="AB34" i="35"/>
  <c r="U34" i="35"/>
  <c r="S44" i="33"/>
  <c r="AA44" i="33"/>
  <c r="AC45" i="21"/>
  <c r="W45" i="21"/>
  <c r="F16" i="59"/>
  <c r="F15" i="59" s="1"/>
  <c r="F14" i="59" s="1"/>
  <c r="F13" i="59" s="1"/>
  <c r="V17" i="59"/>
  <c r="J60" i="44"/>
  <c r="J61" i="44" s="1"/>
  <c r="Q50" i="44" s="1"/>
  <c r="E83" i="46"/>
  <c r="B81" i="46" s="1"/>
  <c r="D26" i="46"/>
  <c r="C25" i="46" s="1"/>
  <c r="C29" i="12"/>
  <c r="BA5" i="3"/>
  <c r="E12" i="6"/>
  <c r="E58" i="40" s="1"/>
  <c r="J7" i="21"/>
  <c r="W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66" i="39"/>
  <c r="E61" i="40"/>
  <c r="K14" i="1"/>
  <c r="H7" i="34"/>
  <c r="U7" i="34" s="1"/>
  <c r="F7" i="34"/>
  <c r="AA7" i="34" s="1"/>
  <c r="R49" i="34" s="1"/>
  <c r="J7" i="34"/>
  <c r="W7" i="34" s="1"/>
  <c r="G16" i="1"/>
  <c r="J12" i="40" s="1"/>
  <c r="F7" i="21"/>
  <c r="AA7" i="21" s="1"/>
  <c r="R48" i="21" s="1"/>
  <c r="H7" i="21"/>
  <c r="AB7" i="21" s="1"/>
  <c r="T48" i="21" s="1"/>
  <c r="G48" i="21" s="1"/>
  <c r="F58" i="15"/>
  <c r="H7" i="35"/>
  <c r="U7" i="35" s="1"/>
  <c r="B40" i="1"/>
  <c r="L36" i="46" s="1"/>
  <c r="E64" i="40"/>
  <c r="D66" i="40"/>
  <c r="AC7" i="33"/>
  <c r="V48" i="33" s="1"/>
  <c r="I48" i="33" s="1"/>
  <c r="W7" i="33"/>
  <c r="J7" i="37"/>
  <c r="D71" i="39"/>
  <c r="E69" i="39"/>
  <c r="H7" i="33"/>
  <c r="F7" i="33"/>
  <c r="J46" i="36"/>
  <c r="J7" i="35"/>
  <c r="F7" i="35"/>
  <c r="H7" i="37"/>
  <c r="F7" i="37"/>
  <c r="M19" i="44"/>
  <c r="F17" i="11"/>
  <c r="C17" i="11" s="1"/>
  <c r="C19" i="11" s="1"/>
  <c r="Q62" i="15"/>
  <c r="Q75" i="15"/>
  <c r="M13" i="44"/>
  <c r="J12" i="44" s="1"/>
  <c r="F11" i="15"/>
  <c r="M11" i="15"/>
  <c r="F13" i="44"/>
  <c r="C12" i="44" s="1"/>
  <c r="C7" i="44" s="1"/>
  <c r="C40" i="44" s="1"/>
  <c r="C48" i="15"/>
  <c r="M32" i="46"/>
  <c r="P32" i="46"/>
  <c r="O32" i="46"/>
  <c r="N32" i="46"/>
  <c r="F1" i="44"/>
  <c r="Q54" i="44"/>
  <c r="F1" i="15"/>
  <c r="Q53" i="15"/>
  <c r="Q61" i="15"/>
  <c r="Q74" i="15"/>
  <c r="J6" i="15"/>
  <c r="J18" i="15" s="1"/>
  <c r="AE6" i="1"/>
  <c r="AE12" i="1"/>
  <c r="AE7" i="1"/>
  <c r="AE8" i="1"/>
  <c r="AE9" i="1"/>
  <c r="AE10" i="1"/>
  <c r="AE11" i="1"/>
  <c r="F46" i="44"/>
  <c r="F41" i="15"/>
  <c r="Q63" i="44" l="1"/>
  <c r="AC7" i="21"/>
  <c r="V48" i="21" s="1"/>
  <c r="I48" i="21" s="1"/>
  <c r="Q62" i="44"/>
  <c r="AB7" i="34"/>
  <c r="T49" i="34" s="1"/>
  <c r="G49" i="34" s="1"/>
  <c r="S7" i="34"/>
  <c r="J7" i="44"/>
  <c r="E16" i="59"/>
  <c r="E15" i="59" s="1"/>
  <c r="E14" i="59" s="1"/>
  <c r="E13" i="59" s="1"/>
  <c r="U17" i="59"/>
  <c r="B16" i="59"/>
  <c r="B15" i="59" s="1"/>
  <c r="B14" i="59" s="1"/>
  <c r="B13" i="59" s="1"/>
  <c r="S17" i="59"/>
  <c r="C41" i="59"/>
  <c r="D40" i="59"/>
  <c r="N66" i="59"/>
  <c r="N67" i="59"/>
  <c r="C18" i="59"/>
  <c r="D19" i="59"/>
  <c r="V13" i="59"/>
  <c r="F12" i="59"/>
  <c r="F11" i="59" s="1"/>
  <c r="T53" i="59"/>
  <c r="D53" i="59"/>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C20" i="11"/>
  <c r="C21" i="11" s="1"/>
  <c r="C22" i="11" s="1"/>
  <c r="C23" i="11" s="1"/>
  <c r="B2" i="11" s="1"/>
  <c r="D19" i="9"/>
  <c r="M29" i="44"/>
  <c r="M27" i="15"/>
  <c r="L44" i="9" l="1"/>
  <c r="S13" i="59"/>
  <c r="B12" i="59"/>
  <c r="B11" i="59" s="1"/>
  <c r="C17" i="59"/>
  <c r="D18" i="59"/>
  <c r="T41" i="59"/>
  <c r="D41" i="59"/>
  <c r="E12" i="59"/>
  <c r="E11" i="59" s="1"/>
  <c r="U13"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7" i="15"/>
  <c r="F7" i="67"/>
  <c r="D20" i="9"/>
  <c r="E40" i="46" l="1"/>
  <c r="K27" i="6"/>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C19" i="44"/>
  <c r="E7" i="67"/>
  <c r="B7" i="67"/>
  <c r="D21" i="9"/>
  <c r="H25" i="6" l="1"/>
  <c r="S16" i="1"/>
  <c r="T9" i="1" s="1"/>
  <c r="C15" i="59"/>
  <c r="D16" i="59"/>
  <c r="C31" i="46"/>
  <c r="C30" i="46"/>
  <c r="B2" i="46" s="1"/>
  <c r="D4" i="46" s="1"/>
  <c r="F14" i="66"/>
  <c r="T11"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M21" i="15"/>
  <c r="C14" i="15"/>
  <c r="F37" i="44"/>
  <c r="F35" i="15"/>
  <c r="M23" i="44"/>
  <c r="C16" i="44"/>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D14" i="59" l="1"/>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D7" i="59" l="1"/>
  <c r="C6"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L43" i="9" l="1"/>
  <c r="G19" i="9"/>
  <c r="D22" i="9"/>
  <c r="D5" i="59"/>
  <c r="T5" i="59"/>
  <c r="M24" i="46"/>
  <c r="B5" i="39"/>
  <c r="B4" i="39"/>
  <c r="B3" i="39"/>
  <c r="B5" i="40"/>
  <c r="B4" i="40"/>
  <c r="B3" i="40"/>
  <c r="C20" i="9"/>
  <c r="C21" i="9"/>
  <c r="G21" i="9" l="1"/>
  <c r="G20" i="9"/>
  <c r="G22" i="9"/>
  <c r="C32" i="9"/>
  <c r="N43" i="9"/>
  <c r="F20" i="43"/>
  <c r="D20" i="43" s="1"/>
  <c r="F26" i="12"/>
  <c r="F26" i="44"/>
  <c r="F24" i="15"/>
  <c r="C35" i="9" l="1"/>
  <c r="F42" i="9" s="1"/>
  <c r="C34" i="9"/>
  <c r="C33" i="9"/>
  <c r="O38" i="9"/>
  <c r="O43" i="9"/>
  <c r="C42" i="9"/>
  <c r="C20" i="43"/>
  <c r="C24" i="15"/>
  <c r="C23" i="15"/>
  <c r="C27" i="12"/>
  <c r="D26" i="12" s="1"/>
  <c r="C32" i="12" s="1"/>
  <c r="D30" i="12" s="1"/>
  <c r="C28" i="12"/>
  <c r="C26" i="12" s="1"/>
  <c r="C31" i="12" s="1"/>
  <c r="C30" i="12" s="1"/>
  <c r="C26" i="44"/>
  <c r="C25" i="44"/>
  <c r="K26" i="9" l="1"/>
  <c r="K25" i="9"/>
  <c r="D42" i="9"/>
  <c r="Q5" i="54" s="1"/>
  <c r="B47" i="63" s="1"/>
  <c r="N38" i="9"/>
  <c r="K28" i="9" s="1"/>
  <c r="D63" i="9"/>
  <c r="N68" i="9"/>
  <c r="R5" i="54"/>
  <c r="B48" i="63" s="1"/>
  <c r="M38" i="9"/>
  <c r="K27" i="9" s="1"/>
  <c r="E42" i="9"/>
  <c r="P5" i="54" s="1"/>
  <c r="B46" i="63" s="1"/>
  <c r="C23" i="43"/>
  <c r="C31" i="44"/>
  <c r="C38" i="44" s="1"/>
  <c r="C36" i="12"/>
  <c r="B2" i="12" s="1"/>
  <c r="B3" i="12" s="1"/>
  <c r="C29" i="15"/>
  <c r="C82" i="9" l="1"/>
  <c r="C81" i="9" s="1"/>
  <c r="C85" i="9" s="1"/>
  <c r="C86" i="9" s="1"/>
  <c r="D72" i="9" s="1"/>
  <c r="C111" i="9"/>
  <c r="C104" i="9" s="1"/>
  <c r="D71" i="9"/>
  <c r="D66" i="9" s="1"/>
  <c r="N72" i="9" s="1"/>
  <c r="D70" i="9"/>
  <c r="C103" i="9"/>
  <c r="C96" i="9"/>
  <c r="C91" i="9" s="1"/>
  <c r="D73" i="9"/>
  <c r="N73" i="9" s="1"/>
  <c r="C90" i="9"/>
  <c r="C97" i="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113" i="9" l="1"/>
  <c r="C98" i="9"/>
  <c r="E98" i="9" s="1"/>
  <c r="E99" i="9" s="1"/>
  <c r="C114" i="9"/>
  <c r="E114" i="9" s="1"/>
  <c r="E115" i="9" s="1"/>
  <c r="C115" i="9"/>
  <c r="D76" i="9" s="1"/>
  <c r="D74" i="9" s="1"/>
  <c r="N74" i="9" s="1"/>
  <c r="O77" i="9"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O78" i="9" l="1"/>
  <c r="O79" i="9"/>
  <c r="Q77" i="9"/>
  <c r="C99"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O81" i="9" l="1"/>
  <c r="O80" i="9"/>
  <c r="Q57" i="15"/>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<sst xmlns="http://schemas.openxmlformats.org/spreadsheetml/2006/main" count="7683" uniqueCount="3410">
  <si>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</si>
  <si>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</si>
  <si>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</si>
  <si>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</si>
  <si>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</si>
  <si>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</si>
  <si>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</si>
  <si>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</si>
  <si>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</si>
  <si>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</si>
  <si>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</si>
  <si>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</si>
  <si>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</si>
  <si>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</si>
  <si>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</si>
  <si>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</si>
  <si>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</si>
  <si>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</si>
  <si>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</si>
  <si>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</si>
  <si>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</si>
  <si>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</si>
  <si>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</si>
  <si>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</si>
  <si>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</si>
  <si>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</si>
  <si>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</si>
  <si>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</si>
  <si>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</si>
  <si>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</si>
  <si>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</si>
  <si>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</si>
  <si>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</si>
  <si>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</si>
  <si>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</si>
  <si>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</si>
  <si>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</si>
  <si>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</si>
  <si>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</si>
  <si>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</si>
  <si>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</si>
  <si>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</si>
  <si>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</si>
  <si>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</si>
  <si>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</si>
  <si>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</si>
  <si>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</si>
  <si>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</si>
  <si>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</si>
  <si>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</si>
  <si>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</si>
  <si>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</si>
  <si>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</si>
  <si>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</si>
  <si>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</si>
  <si>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</si>
  <si>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</si>
  <si>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</si>
  <si>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</si>
  <si>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</si>
  <si>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</si>
  <si>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</si>
  <si>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</si>
  <si>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</si>
  <si>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</si>
  <si>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</si>
  <si>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</si>
  <si>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</si>
  <si>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</si>
  <si>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</si>
  <si>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</si>
  <si>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</si>
  <si>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</si>
  <si>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</si>
  <si>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</si>
  <si>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</si>
  <si>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</si>
  <si>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</si>
  <si>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</si>
  <si>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</si>
  <si>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</si>
  <si>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</si>
  <si>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</si>
  <si>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</si>
  <si>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</si>
  <si>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</si>
  <si>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</si>
  <si>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</si>
  <si>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</si>
  <si>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</si>
  <si>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</si>
  <si>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</si>
  <si>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</si>
  <si>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</si>
  <si>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</si>
  <si>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</si>
  <si>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</si>
  <si>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</si>
  <si>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</si>
  <si>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</si>
  <si>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</si>
  <si>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</si>
  <si>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</si>
  <si>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</si>
  <si>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</si>
  <si>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</si>
  <si>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</si>
  <si>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</si>
  <si>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</si>
  <si>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</si>
  <si>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</si>
  <si>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</si>
  <si>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</si>
  <si>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</si>
  <si>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</si>
  <si>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</si>
  <si>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</si>
  <si>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</si>
  <si>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</si>
  <si>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</si>
  <si>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</si>
  <si>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</si>
  <si>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</si>
  <si>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</si>
  <si>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</si>
  <si>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</si>
  <si>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</si>
  <si>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</si>
  <si>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</si>
  <si>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</si>
  <si>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</si>
  <si>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</si>
  <si>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</si>
  <si>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</si>
  <si>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</si>
  <si>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</si>
  <si>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</si>
  <si>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</si>
  <si>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</si>
  <si>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</si>
  <si>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</si>
  <si>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</si>
  <si>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</si>
  <si>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</si>
  <si>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</si>
  <si>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</si>
  <si>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</si>
  <si>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</si>
  <si>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</si>
  <si>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</si>
  <si>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</si>
  <si>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</si>
  <si>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</si>
  <si>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</si>
  <si>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</si>
  <si>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</si>
  <si>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</si>
  <si>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</si>
  <si>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</si>
  <si>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</si>
  <si>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</si>
  <si>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</si>
  <si>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</si>
  <si>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</si>
  <si>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</si>
  <si>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</si>
  <si>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</si>
  <si>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</si>
  <si>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</si>
  <si>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</si>
  <si>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</si>
  <si>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</si>
  <si>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</si>
  <si>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</si>
  <si>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</si>
  <si>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</si>
  <si>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</si>
  <si>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</si>
  <si>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</si>
  <si>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</si>
  <si>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</si>
  <si>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</si>
  <si>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</si>
  <si>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</si>
  <si>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</si>
  <si>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</si>
  <si>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</si>
  <si>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</si>
  <si>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</si>
  <si>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</si>
  <si>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</si>
  <si>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</si>
  <si>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</si>
  <si>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</si>
  <si>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</si>
  <si>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</si>
  <si>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</si>
  <si>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</si>
  <si>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</si>
  <si>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</si>
  <si>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</si>
  <si>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</si>
  <si>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</si>
  <si>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</si>
  <si>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</si>
  <si>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</si>
  <si>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</si>
  <si>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</si>
  <si>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</si>
  <si>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</si>
  <si>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</si>
  <si>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</si>
  <si>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</si>
  <si>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</si>
  <si>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</si>
  <si>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</si>
  <si>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</si>
  <si>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</si>
  <si>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</si>
  <si>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</si>
  <si>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</si>
  <si>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</si>
  <si>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</si>
  <si>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</si>
  <si>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</si>
  <si>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</si>
  <si>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</si>
  <si>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</si>
  <si>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</si>
  <si>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</si>
  <si>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</si>
  <si>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</si>
  <si>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</si>
  <si>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</si>
  <si>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</si>
  <si>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</si>
  <si>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</si>
  <si>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</si>
  <si>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</si>
  <si>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</si>
  <si>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</si>
  <si>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</si>
  <si>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</si>
  <si>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</si>
  <si>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</si>
  <si>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</si>
  <si>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</si>
  <si>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</si>
  <si>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</si>
  <si>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</si>
  <si>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</si>
  <si>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</si>
  <si>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</si>
  <si>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</si>
  <si>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</si>
  <si>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</si>
  <si>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</si>
  <si>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</si>
  <si>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</si>
  <si>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</si>
  <si>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</si>
  <si>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</si>
  <si>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</si>
  <si>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</si>
  <si>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</si>
  <si>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</si>
  <si>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</si>
  <si>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</si>
  <si>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</si>
  <si>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</si>
  <si>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</si>
  <si>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</si>
  <si>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</si>
  <si>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</si>
  <si>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</si>
  <si>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</si>
  <si>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</si>
  <si>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</si>
  <si>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</si>
  <si>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</si>
  <si>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</si>
  <si>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</si>
  <si>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</si>
  <si>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</si>
  <si>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</si>
  <si>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</si>
  <si>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</si>
  <si>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</si>
  <si>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</si>
  <si>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</si>
  <si>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</si>
  <si>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</si>
  <si>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</si>
  <si>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</si>
  <si>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</si>
  <si>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</si>
  <si>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</si>
  <si>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</si>
  <si>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</si>
  <si>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</si>
  <si>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</si>
  <si>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</si>
  <si>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</si>
  <si>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</si>
  <si>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</si>
  <si>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</si>
  <si>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</si>
  <si>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</si>
  <si>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</si>
  <si>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</si>
  <si>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</si>
  <si>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</si>
  <si>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</si>
  <si>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</si>
  <si>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</si>
  <si>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</si>
  <si>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</si>
  <si>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</si>
  <si>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</si>
  <si>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</si>
  <si>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</si>
  <si>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</si>
  <si>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</si>
  <si>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</si>
  <si>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</si>
  <si>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</si>
  <si>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</si>
  <si>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</si>
  <si>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</si>
  <si>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</si>
  <si>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</si>
  <si>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</si>
  <si>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</si>
  <si>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</si>
  <si>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</si>
  <si>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</si>
  <si>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</si>
  <si>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</si>
  <si>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</si>
  <si>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</si>
  <si>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</si>
  <si>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</si>
  <si>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</si>
  <si>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</si>
  <si>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</si>
  <si>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</si>
  <si>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</si>
  <si>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</si>
  <si>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</si>
  <si>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</si>
  <si>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</si>
  <si>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</si>
  <si>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</si>
  <si>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</si>
  <si>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</si>
  <si>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</si>
  <si>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</si>
  <si>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</si>
  <si>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</si>
  <si>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</si>
  <si>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</si>
  <si>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</si>
  <si>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</si>
  <si>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</si>
  <si>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</si>
  <si>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</si>
  <si>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</si>
  <si>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</si>
  <si>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</si>
  <si>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</si>
  <si>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</si>
  <si>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</si>
  <si>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</si>
  <si>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</si>
  <si>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</si>
  <si>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</si>
  <si>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</si>
  <si>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</si>
  <si>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</si>
  <si>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</si>
  <si>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</si>
  <si>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</si>
  <si>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</si>
  <si>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</si>
  <si>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</si>
  <si>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</si>
  <si>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</si>
  <si>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</si>
  <si>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</si>
  <si>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</si>
  <si>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</si>
  <si>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</si>
  <si>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</si>
  <si>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</si>
  <si>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</si>
  <si>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</si>
  <si>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</si>
  <si>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</si>
  <si>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</si>
  <si>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</si>
  <si>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</si>
  <si>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</si>
  <si>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</si>
  <si>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</si>
  <si>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</si>
  <si>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</si>
  <si>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</si>
  <si>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</si>
  <si>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</si>
  <si>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</si>
  <si>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</si>
  <si>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</si>
  <si>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</si>
  <si>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</si>
  <si>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</si>
  <si>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</si>
  <si>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</si>
  <si>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</si>
  <si>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</si>
  <si>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</si>
  <si>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</si>
  <si>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</si>
  <si>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</si>
  <si>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</si>
  <si>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</si>
  <si>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</si>
  <si>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</si>
  <si>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</si>
  <si>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</si>
  <si>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</si>
  <si>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</si>
  <si>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</si>
  <si>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</si>
  <si>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</si>
  <si>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</si>
  <si>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</si>
  <si>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</si>
  <si>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</si>
  <si>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</si>
  <si>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</si>
  <si>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</si>
  <si>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</si>
  <si>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</si>
  <si>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</si>
  <si>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</si>
  <si>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</si>
  <si>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</si>
  <si>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</si>
  <si>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</si>
  <si>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</si>
  <si>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</si>
  <si>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</si>
  <si>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</si>
  <si>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</si>
  <si>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</si>
  <si>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</si>
  <si>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</si>
  <si>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</si>
  <si>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</si>
  <si>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</si>
  <si>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</si>
  <si>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</si>
  <si>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</si>
  <si>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</si>
  <si>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</si>
  <si>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</si>
  <si>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</si>
  <si>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</si>
  <si>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</si>
  <si>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</si>
  <si>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</si>
  <si>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</si>
  <si>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</si>
  <si>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</si>
  <si>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</si>
  <si>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</si>
  <si>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</si>
  <si>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</si>
  <si>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</si>
  <si>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</si>
  <si>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</si>
  <si>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</si>
  <si>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</si>
  <si>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</si>
  <si>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</si>
  <si>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</si>
  <si>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</si>
  <si>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</si>
  <si>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</si>
  <si>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</si>
  <si>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</si>
  <si>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</si>
  <si>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</si>
  <si>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</si>
  <si>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</si>
  <si>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</si>
  <si>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</si>
  <si>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</si>
  <si>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</si>
  <si>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</si>
  <si>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</si>
  <si>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</si>
  <si>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</si>
  <si>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</si>
  <si>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</si>
  <si>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</si>
  <si>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</si>
  <si>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</si>
  <si>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</si>
  <si>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</si>
  <si>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</si>
  <si>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</si>
  <si>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</si>
  <si>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</si>
  <si>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</si>
  <si>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</si>
  <si>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</si>
  <si>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</si>
  <si>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</si>
  <si>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</si>
  <si>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</si>
  <si>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</si>
  <si>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</si>
  <si>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</si>
  <si>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</si>
  <si>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</si>
  <si>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</si>
  <si>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</si>
  <si>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</si>
  <si>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</si>
  <si>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</si>
  <si>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</si>
  <si>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</si>
  <si>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</si>
  <si>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</si>
  <si>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</si>
  <si>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</si>
  <si>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</si>
  <si>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</si>
  <si>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</si>
  <si>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</si>
  <si>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</si>
  <si>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</si>
  <si>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</si>
  <si>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</si>
  <si>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</si>
  <si>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</si>
  <si>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</si>
  <si>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</si>
  <si>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</si>
  <si>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</si>
  <si>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</si>
  <si>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</si>
  <si>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</si>
  <si>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</si>
  <si>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</si>
  <si>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</si>
  <si>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</si>
  <si>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</si>
  <si>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</si>
  <si>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</si>
  <si>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</si>
  <si>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</si>
  <si>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</si>
  <si>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</si>
  <si>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</si>
  <si>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</si>
  <si>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</si>
  <si>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</si>
  <si>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</si>
  <si>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</si>
  <si>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</si>
  <si>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</si>
  <si>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</si>
  <si>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</si>
  <si>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</si>
  <si>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</si>
  <si>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</si>
  <si>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</si>
  <si>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</si>
  <si>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</si>
  <si>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</si>
  <si>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</si>
  <si>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</si>
  <si>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</si>
  <si>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</si>
  <si>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</si>
  <si>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</si>
  <si>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</si>
  <si>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</si>
  <si>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</si>
  <si>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</si>
  <si>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</si>
  <si>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</si>
  <si>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</si>
  <si>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</si>
  <si>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</si>
  <si>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</si>
  <si>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</si>
  <si>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</si>
  <si>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</si>
  <si>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</si>
  <si>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</si>
  <si>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</si>
  <si>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</si>
  <si>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</si>
  <si>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</si>
  <si>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</si>
  <si>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</si>
  <si>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</si>
  <si>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</si>
  <si>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</si>
  <si>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</si>
  <si>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</si>
  <si>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</si>
  <si>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</si>
  <si>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</si>
  <si>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</si>
  <si>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</si>
  <si>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</si>
  <si>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</si>
  <si>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</si>
  <si>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</si>
  <si>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</si>
  <si>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</si>
  <si>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</si>
  <si>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</si>
  <si>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</si>
  <si>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</si>
  <si>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</si>
  <si>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</si>
  <si>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</si>
  <si>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</si>
  <si>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</si>
  <si>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</si>
  <si>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</si>
  <si>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</si>
  <si>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</si>
  <si>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</si>
  <si>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</si>
  <si>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</si>
  <si>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</si>
  <si>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</si>
  <si>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</si>
  <si>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</si>
  <si>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</si>
  <si>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</si>
  <si>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</si>
  <si>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</si>
  <si>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</si>
  <si>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</si>
  <si>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</si>
  <si>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</si>
  <si>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</si>
  <si>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</si>
  <si>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</si>
  <si>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</si>
  <si>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</si>
  <si>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</si>
  <si>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</si>
  <si>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</si>
  <si>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</si>
  <si>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</si>
  <si>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</si>
  <si>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</si>
  <si>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</si>
  <si>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</si>
  <si>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</si>
  <si>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</si>
  <si>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</si>
  <si>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</si>
  <si>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</si>
  <si>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</si>
  <si>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</si>
  <si>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</si>
  <si>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</si>
  <si>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</si>
  <si>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</si>
  <si>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</si>
  <si>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</si>
  <si>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</si>
  <si>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</si>
  <si>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</si>
  <si>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</si>
  <si>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</si>
  <si>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</si>
  <si>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</si>
  <si>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</si>
  <si>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</si>
  <si>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</si>
  <si>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</si>
  <si>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</si>
  <si>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</si>
  <si>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</si>
  <si>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</si>
  <si>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</si>
  <si>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</si>
  <si>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</si>
  <si>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</si>
  <si>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</si>
  <si>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</si>
  <si>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</si>
  <si>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</si>
  <si>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</si>
  <si>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</si>
  <si>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</si>
  <si>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</si>
  <si>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</si>
  <si>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</si>
  <si>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</si>
  <si>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</si>
  <si>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</si>
  <si>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</si>
  <si>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</si>
  <si>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</si>
  <si>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</si>
  <si>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</si>
  <si>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</si>
  <si>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</si>
  <si>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</si>
  <si>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</si>
  <si>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</si>
  <si>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</si>
  <si>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</si>
  <si>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</si>
  <si>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</si>
  <si>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</si>
  <si>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</si>
  <si>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</si>
  <si>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</si>
  <si>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</si>
  <si>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</si>
  <si>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</si>
  <si>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</si>
  <si>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</si>
  <si>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</si>
  <si>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</si>
  <si>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</si>
  <si>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</si>
  <si>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</si>
  <si>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</si>
  <si>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</si>
  <si>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</si>
  <si>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</si>
  <si>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</si>
  <si>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</si>
  <si>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</si>
  <si>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</si>
  <si>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</si>
  <si>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</si>
  <si>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</si>
  <si>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</si>
  <si>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</si>
  <si>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</si>
  <si>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</si>
  <si>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</si>
  <si>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</si>
  <si>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</si>
  <si>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</si>
  <si>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</si>
  <si>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</si>
  <si>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</si>
  <si>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</si>
  <si>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</si>
  <si>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</si>
  <si>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</si>
  <si>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</si>
  <si>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</si>
  <si>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</si>
  <si>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</si>
  <si>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</si>
  <si>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</si>
  <si>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</si>
  <si>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</si>
  <si>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</si>
  <si>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</si>
  <si>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</si>
  <si>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</si>
  <si>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</si>
  <si>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</si>
  <si>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</si>
  <si>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</si>
  <si>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</si>
  <si>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</si>
  <si>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</si>
  <si>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</si>
  <si>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</si>
  <si>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</si>
  <si>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</si>
  <si>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</si>
  <si>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</si>
  <si>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</si>
  <si>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</si>
  <si>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</si>
  <si>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</si>
  <si>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</si>
  <si>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</si>
  <si>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</si>
  <si>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</si>
  <si>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</si>
  <si>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</si>
  <si>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</si>
  <si>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</si>
  <si>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</si>
  <si>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</si>
  <si>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</si>
  <si>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</si>
  <si>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</si>
  <si>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</si>
  <si>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</si>
  <si>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</si>
  <si>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</si>
  <si>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</si>
  <si>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</si>
  <si>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</si>
  <si>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</si>
  <si>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</si>
  <si>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</si>
  <si>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</si>
  <si>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</si>
  <si>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</si>
  <si>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</si>
  <si>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</si>
  <si>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</si>
  <si>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</si>
  <si>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</si>
  <si>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</si>
  <si>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</si>
  <si>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</si>
  <si>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</si>
  <si>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</si>
  <si>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</si>
  <si>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</si>
  <si>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</si>
  <si>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</si>
  <si>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</si>
  <si>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</si>
  <si>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</si>
  <si>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</si>
  <si>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</si>
  <si>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</si>
  <si>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</si>
  <si>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</si>
  <si>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</si>
  <si>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</si>
  <si>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</si>
  <si>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</si>
  <si>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</si>
  <si>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</si>
  <si>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</si>
  <si>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</si>
  <si>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</si>
  <si>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</si>
  <si>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</si>
  <si>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</si>
  <si>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</si>
  <si>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</si>
  <si>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</si>
  <si>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</si>
  <si>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</si>
  <si>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</si>
  <si>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</si>
  <si>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</si>
  <si>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</si>
  <si>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</si>
  <si>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</si>
  <si>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</si>
  <si>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</si>
  <si>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</si>
  <si>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</si>
  <si>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</si>
  <si>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</si>
  <si>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</si>
  <si>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</si>
  <si>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</si>
  <si>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</si>
  <si>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</si>
  <si>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</si>
  <si>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</si>
  <si>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</si>
  <si>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</si>
  <si>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</si>
  <si>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</si>
  <si>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</si>
  <si>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</si>
  <si>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</si>
  <si>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</si>
  <si>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</si>
  <si>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</si>
  <si>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</si>
  <si>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</si>
  <si>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</si>
  <si>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</si>
  <si>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</si>
  <si>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</si>
  <si>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</si>
  <si>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</si>
  <si>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</si>
  <si>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</si>
  <si>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</si>
  <si>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</si>
  <si>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</si>
  <si>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</si>
  <si>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</si>
  <si>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</si>
  <si>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</si>
  <si>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</si>
  <si>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</si>
  <si>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</si>
  <si>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</si>
  <si>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</si>
  <si>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</si>
  <si>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</si>
  <si>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</si>
  <si>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</si>
  <si>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</si>
  <si>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</si>
  <si>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</si>
  <si>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</si>
  <si>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</si>
  <si>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</si>
  <si>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</si>
  <si>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</si>
  <si>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</si>
  <si>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</si>
  <si>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</si>
  <si>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</si>
  <si>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</si>
  <si>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</si>
  <si>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</si>
  <si>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</si>
  <si>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</si>
  <si>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</si>
  <si>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</si>
  <si>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</si>
  <si>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</si>
  <si>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</si>
  <si>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</si>
  <si>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</si>
  <si>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</si>
  <si>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</si>
  <si>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</si>
  <si>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</si>
  <si>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</si>
  <si>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</si>
  <si>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</si>
  <si>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</si>
  <si>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</si>
  <si>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</si>
  <si>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</si>
  <si>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</si>
  <si>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</si>
  <si>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</si>
  <si>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</si>
  <si>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</si>
  <si>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</si>
  <si>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</si>
  <si>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</si>
  <si>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</si>
  <si>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</si>
  <si>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</si>
  <si>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</si>
  <si>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</si>
  <si>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</si>
  <si>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</si>
  <si>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</si>
  <si>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</si>
  <si>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</si>
  <si>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</si>
  <si>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</si>
  <si>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</si>
  <si>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</si>
  <si>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</si>
  <si>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</si>
  <si>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</si>
  <si>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</si>
  <si>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</si>
  <si>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</si>
  <si>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</si>
  <si>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</si>
  <si>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</si>
  <si>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</si>
  <si>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</si>
  <si>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</si>
  <si>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</si>
  <si>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</si>
  <si>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</si>
  <si>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</si>
  <si>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</si>
  <si>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</si>
  <si>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</si>
  <si>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</si>
  <si>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</si>
  <si>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</si>
  <si>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</si>
  <si>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</si>
  <si>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</si>
  <si>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</si>
  <si>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</si>
  <si>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</si>
  <si>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</si>
  <si>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</si>
  <si>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</si>
  <si>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</si>
  <si>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</si>
  <si>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</si>
  <si>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</si>
  <si>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</si>
  <si>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</si>
  <si>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</si>
  <si>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</si>
  <si>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</si>
  <si>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</si>
  <si>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</si>
  <si>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</si>
  <si>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</si>
  <si>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</si>
  <si>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</si>
  <si>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</si>
  <si>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</si>
  <si>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</si>
  <si>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</si>
  <si>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</si>
  <si>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</si>
  <si>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</si>
  <si>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</si>
  <si>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</si>
  <si>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</si>
  <si>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</si>
  <si>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</si>
  <si>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</si>
  <si>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</si>
  <si>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</si>
  <si>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</si>
  <si>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</si>
  <si>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</si>
  <si>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</si>
  <si>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</si>
  <si>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</si>
  <si>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</si>
  <si>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</si>
  <si>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</si>
  <si>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</si>
  <si>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</si>
  <si>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</si>
  <si>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</si>
  <si>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</si>
  <si>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</si>
  <si>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</si>
  <si>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</si>
  <si>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</si>
  <si>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</si>
  <si>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</si>
  <si>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</si>
  <si>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</si>
  <si>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</si>
  <si>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</si>
  <si>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</si>
  <si>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</si>
  <si>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</si>
  <si>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</si>
  <si>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</si>
  <si>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</si>
  <si>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</si>
  <si>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</si>
  <si>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</si>
  <si>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</si>
  <si>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</si>
  <si>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</si>
  <si>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</si>
  <si>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</si>
  <si>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</si>
  <si>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</si>
  <si>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</si>
  <si>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</si>
  <si>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</si>
  <si>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</si>
  <si>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</si>
  <si>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</si>
  <si>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</si>
  <si>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</si>
  <si>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</si>
  <si>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</si>
  <si>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</si>
  <si>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</si>
  <si>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</si>
  <si>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</si>
  <si>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</si>
  <si>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</si>
  <si>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</si>
  <si>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</si>
  <si>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</si>
  <si>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</si>
  <si>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</si>
  <si>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</si>
  <si>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</si>
  <si>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</si>
  <si>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</si>
  <si>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</si>
  <si>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</si>
  <si>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</si>
  <si>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</si>
  <si>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</si>
  <si>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</si>
  <si>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</si>
  <si>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</si>
  <si>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</si>
  <si>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</si>
  <si>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</si>
  <si>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</si>
  <si>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</si>
  <si>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</si>
  <si>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</si>
  <si>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</si>
  <si>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</si>
  <si>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</si>
  <si>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</si>
  <si>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</si>
  <si>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</si>
  <si>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</si>
  <si>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</si>
  <si>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</si>
  <si>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</si>
  <si>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</si>
  <si>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</si>
  <si>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</si>
  <si>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</si>
  <si>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</si>
  <si>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</si>
  <si>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</si>
  <si>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</si>
  <si>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</si>
  <si>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</si>
  <si>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</si>
  <si>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</si>
  <si>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</si>
  <si>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</si>
  <si>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</si>
  <si>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</si>
  <si>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</si>
  <si>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</si>
  <si>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</si>
  <si>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</si>
  <si>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</si>
  <si>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</si>
  <si>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</si>
  <si>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</si>
  <si>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</si>
  <si>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</si>
  <si>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</si>
  <si>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</si>
  <si>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</si>
  <si>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</si>
  <si>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</si>
  <si>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</si>
  <si>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</si>
  <si>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</si>
  <si>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</si>
  <si>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</si>
  <si>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</si>
  <si>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</si>
  <si>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</si>
  <si>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</si>
  <si>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</si>
  <si>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</si>
  <si>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</si>
  <si>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</si>
  <si>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</si>
  <si>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</si>
  <si>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</si>
  <si>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</si>
  <si>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</si>
  <si>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</si>
  <si>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</si>
  <si>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</si>
  <si>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</si>
  <si>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</si>
  <si>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</si>
  <si>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</si>
  <si>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</si>
  <si>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</si>
  <si>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</si>
  <si>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</si>
  <si>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</si>
  <si>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</si>
  <si>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</si>
  <si>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</si>
  <si>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</si>
  <si>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</si>
  <si>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</si>
  <si>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</si>
  <si>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</si>
  <si>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</si>
  <si>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</si>
  <si>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</si>
  <si>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</si>
  <si>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</si>
  <si>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</si>
  <si>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</si>
  <si>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</si>
  <si>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</si>
  <si>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</si>
  <si>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</si>
  <si>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</si>
  <si>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</si>
  <si>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</si>
  <si>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</si>
  <si>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</si>
  <si>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</si>
  <si>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</si>
  <si>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</si>
  <si>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</si>
  <si>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</si>
  <si>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</si>
  <si>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</si>
  <si>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</si>
  <si>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</si>
  <si>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</si>
  <si>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</si>
  <si>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</si>
  <si>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</si>
  <si>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</si>
  <si>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</si>
  <si>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</si>
  <si>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</si>
  <si>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</si>
  <si>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</si>
  <si>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</si>
  <si>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</si>
  <si>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</si>
  <si>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</si>
  <si>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</si>
  <si>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</si>
  <si>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</si>
  <si>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</si>
  <si>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</si>
  <si>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</si>
  <si>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</si>
  <si>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</si>
  <si>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</si>
  <si>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</si>
  <si>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</si>
  <si>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</si>
  <si>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</si>
  <si>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</si>
  <si>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</si>
  <si>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</si>
  <si>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</si>
  <si>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</si>
  <si>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</si>
  <si>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</si>
  <si>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</si>
  <si>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</si>
  <si>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</si>
  <si>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</si>
  <si>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</si>
  <si>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</si>
  <si>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</si>
  <si>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</si>
  <si>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</si>
  <si>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</si>
  <si>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</si>
  <si>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</si>
  <si>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</si>
  <si>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</si>
  <si>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</si>
  <si>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</si>
  <si>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</si>
  <si>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</si>
  <si>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</si>
  <si>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</si>
  <si>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</si>
  <si>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</si>
  <si>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</si>
  <si>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</si>
  <si>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</si>
  <si>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</si>
  <si>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</si>
  <si>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</si>
  <si>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</si>
  <si>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</si>
  <si>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</si>
  <si>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</si>
  <si>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</si>
  <si>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</si>
  <si>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</si>
  <si>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</si>
  <si>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</si>
  <si>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</si>
  <si>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</si>
  <si>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</si>
  <si>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</si>
  <si>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</si>
  <si>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</si>
  <si>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</si>
  <si>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</si>
  <si>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</si>
  <si>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</si>
  <si>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</si>
  <si>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</si>
  <si>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</si>
  <si>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</si>
  <si>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</si>
  <si>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</si>
  <si>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</si>
  <si>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</si>
  <si>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</si>
  <si>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</si>
  <si>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</si>
  <si>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</si>
  <si>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</si>
  <si>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</si>
  <si>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</si>
  <si>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</si>
  <si>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</si>
  <si>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</si>
  <si>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</si>
  <si>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</si>
  <si>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</si>
  <si>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</si>
  <si>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</si>
  <si>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</si>
  <si>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</si>
  <si>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</si>
  <si>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</si>
  <si>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</si>
  <si>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</si>
  <si>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</si>
  <si>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</si>
  <si>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</si>
  <si>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</si>
  <si>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</si>
  <si>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</si>
  <si>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</si>
  <si>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</si>
  <si>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</si>
  <si>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</si>
  <si>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</si>
  <si>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</si>
  <si>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</si>
  <si>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</si>
  <si>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</si>
  <si>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</si>
  <si>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</si>
  <si>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</si>
  <si>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</si>
  <si>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</si>
  <si>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</si>
  <si>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</si>
  <si>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</si>
  <si>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</si>
  <si>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</si>
  <si>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</si>
  <si>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</si>
  <si>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</si>
  <si>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</si>
  <si>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</si>
  <si>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</si>
  <si>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</si>
  <si>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</si>
  <si>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</si>
  <si>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</si>
  <si>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</si>
  <si>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</si>
  <si>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</si>
  <si>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</si>
  <si>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</si>
  <si>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</si>
  <si>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</si>
  <si>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</si>
  <si>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</si>
  <si>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</si>
  <si>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</si>
  <si>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</si>
  <si>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</si>
  <si>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</si>
  <si>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</si>
  <si>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</si>
  <si>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</si>
  <si>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</si>
  <si>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</si>
  <si>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</si>
  <si>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</si>
  <si>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</si>
  <si>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</si>
  <si>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</si>
  <si>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</si>
  <si>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</si>
  <si>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</si>
  <si>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</si>
  <si>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</si>
  <si>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</si>
  <si>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</si>
  <si>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</si>
  <si>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</si>
  <si>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</si>
  <si>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</si>
  <si>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</si>
  <si>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</si>
  <si>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</si>
  <si>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</si>
  <si>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</si>
  <si>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</si>
  <si>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</si>
  <si>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</si>
  <si>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</si>
  <si>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</si>
  <si>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</si>
  <si>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</si>
  <si>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</si>
  <si>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</si>
  <si>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</si>
  <si>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</si>
  <si>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</si>
  <si>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</si>
  <si>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</si>
  <si>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</si>
  <si>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</si>
  <si>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</si>
  <si>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</si>
  <si>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</si>
  <si>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</si>
  <si>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</si>
  <si>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</si>
  <si>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</si>
  <si>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</si>
  <si>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</si>
  <si>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</si>
  <si>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</si>
  <si>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</si>
  <si>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</si>
  <si>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</si>
  <si>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</si>
  <si>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</si>
  <si>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</si>
  <si>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</si>
  <si>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</si>
  <si>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</si>
  <si>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</si>
  <si>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</si>
  <si>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</si>
  <si>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</si>
  <si>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</si>
  <si>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</si>
  <si>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</si>
  <si>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</si>
  <si>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</si>
  <si>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</si>
  <si>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</si>
  <si>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</si>
  <si>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</si>
  <si>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</si>
  <si>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</si>
  <si>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</si>
  <si>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</si>
  <si>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</si>
  <si>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</si>
  <si>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</si>
  <si>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</si>
  <si>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</si>
  <si>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</si>
  <si>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</si>
  <si>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</si>
  <si>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</si>
  <si>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</si>
  <si>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</si>
  <si>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</si>
  <si>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</si>
  <si>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</si>
  <si>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</si>
  <si>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</si>
  <si>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</si>
  <si>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</si>
  <si>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</si>
  <si>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</si>
  <si>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</si>
  <si>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</si>
  <si>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</si>
  <si>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</si>
  <si>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</si>
  <si>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</si>
  <si>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</si>
  <si>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</si>
  <si>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</si>
  <si>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</si>
  <si>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</si>
  <si>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</si>
  <si>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</si>
  <si>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</si>
  <si>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</si>
  <si>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</si>
  <si>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</si>
  <si>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</si>
  <si>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</si>
  <si>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</si>
  <si>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</si>
  <si>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</si>
  <si>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</si>
  <si>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</si>
  <si>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</si>
  <si>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</si>
  <si>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</si>
  <si>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</si>
  <si>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</si>
  <si>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</si>
  <si>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</si>
  <si>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</si>
  <si>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</si>
  <si>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</si>
  <si>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</si>
  <si>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</si>
  <si>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</si>
  <si>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</si>
  <si>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</si>
  <si>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</si>
  <si>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</si>
  <si>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</si>
  <si>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</si>
  <si>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</si>
  <si>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</si>
  <si>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</si>
  <si>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</si>
  <si>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</si>
  <si>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</si>
  <si>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</si>
  <si>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</si>
  <si>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</si>
  <si>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</si>
  <si>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</si>
  <si>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</si>
  <si>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</si>
  <si>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</si>
  <si>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</si>
  <si>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</si>
  <si>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</si>
  <si>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</si>
  <si>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</si>
  <si>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</si>
  <si>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</si>
  <si>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</si>
  <si>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</si>
  <si>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</si>
  <si>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</si>
  <si>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</si>
  <si>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</si>
  <si>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</si>
  <si>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</si>
  <si>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</si>
  <si>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</si>
  <si>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</si>
  <si>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</si>
  <si>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</si>
  <si>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</si>
  <si>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</si>
  <si>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</si>
  <si>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</si>
  <si>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</si>
  <si>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</si>
  <si>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</si>
  <si>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</si>
  <si>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</si>
  <si>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</si>
  <si>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</si>
  <si>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</si>
  <si>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</si>
  <si>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</si>
  <si>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</si>
  <si>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</si>
  <si>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</si>
  <si>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</si>
  <si>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</si>
  <si>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</si>
  <si>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</si>
  <si>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</si>
  <si>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</si>
  <si>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</si>
  <si>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</si>
  <si>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</si>
  <si>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</si>
  <si>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</si>
  <si>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</si>
  <si>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</si>
  <si>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</si>
  <si>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</si>
  <si>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</si>
  <si>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</si>
  <si>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</si>
  <si>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</si>
  <si>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</si>
  <si>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</si>
  <si>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</si>
  <si>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</si>
  <si>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</si>
  <si>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</si>
  <si>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</si>
  <si>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</si>
  <si>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</si>
  <si>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</si>
  <si>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</si>
  <si>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</si>
  <si>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</si>
  <si>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</si>
  <si>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</si>
  <si>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</si>
  <si>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</si>
  <si>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</si>
  <si>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</si>
  <si>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</si>
  <si>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</si>
  <si>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</si>
  <si>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</si>
  <si>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</si>
  <si>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</si>
  <si>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</si>
  <si>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</si>
  <si>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</si>
  <si>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</si>
  <si>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</si>
  <si>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</si>
  <si>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</si>
  <si>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</si>
  <si>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</si>
  <si>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</si>
  <si>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</si>
  <si>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</si>
  <si>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</si>
  <si>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</si>
  <si>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</si>
  <si>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</si>
  <si>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</si>
  <si>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</si>
  <si>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</si>
  <si>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</si>
  <si>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</si>
  <si>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</si>
  <si>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</si>
  <si>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</si>
  <si>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</si>
  <si>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</si>
  <si>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</si>
  <si>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</si>
  <si>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</si>
  <si>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</si>
  <si>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</si>
  <si>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</si>
  <si>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</si>
  <si>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</si>
  <si>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</si>
  <si>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</si>
  <si>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</si>
  <si>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</si>
  <si>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</si>
  <si>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</si>
  <si>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</si>
  <si>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</si>
  <si>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</si>
  <si>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</si>
  <si>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</si>
  <si>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</si>
  <si>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</si>
  <si>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</si>
  <si>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</si>
  <si>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</si>
  <si>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</si>
  <si>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</si>
  <si>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</si>
  <si>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</si>
  <si>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</si>
  <si>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</si>
  <si>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</si>
  <si>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</si>
  <si>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</si>
  <si>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</si>
  <si>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</si>
  <si>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</si>
  <si>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</si>
  <si>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</si>
  <si>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</si>
  <si>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</si>
  <si>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</si>
  <si>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</si>
  <si>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</si>
  <si>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</si>
  <si>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</si>
  <si>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</si>
  <si>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</si>
  <si>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</si>
  <si>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</si>
  <si>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</si>
  <si>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</si>
  <si>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</si>
  <si>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</si>
  <si>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</si>
  <si>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</si>
  <si>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</si>
  <si>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</si>
  <si>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</si>
  <si>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</si>
  <si>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</si>
  <si>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</si>
  <si>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</si>
  <si>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</si>
  <si>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</si>
  <si>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</si>
  <si>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</si>
  <si>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</si>
  <si>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</si>
  <si>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</si>
  <si>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</si>
  <si>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</si>
  <si>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</si>
  <si>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</si>
  <si>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</si>
  <si>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</si>
  <si>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</si>
  <si>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</si>
  <si>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</si>
  <si>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</si>
  <si>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</si>
  <si>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</si>
  <si>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</si>
  <si>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</si>
  <si>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</si>
  <si>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</si>
  <si>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</si>
  <si>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</si>
  <si>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</si>
  <si>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</si>
  <si>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</si>
  <si>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</si>
  <si>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</si>
  <si>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</si>
  <si>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</si>
  <si>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</si>
  <si>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</si>
  <si>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</si>
  <si>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</si>
  <si>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</si>
  <si>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</si>
  <si>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</si>
  <si>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</si>
  <si>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</si>
  <si>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</si>
  <si>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</si>
  <si>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</si>
  <si>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</si>
  <si>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</si>
  <si>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</si>
  <si>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</si>
  <si>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</si>
  <si>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</si>
  <si>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</si>
  <si>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</si>
  <si>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</si>
  <si>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</si>
  <si>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</si>
  <si>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</si>
  <si>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</si>
  <si>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</si>
  <si>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</si>
  <si>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</si>
  <si>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</si>
  <si>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</si>
  <si>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</si>
  <si>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</si>
  <si>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</si>
  <si>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</si>
  <si>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</si>
  <si>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</si>
  <si>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</si>
  <si>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</si>
  <si>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</si>
  <si>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</si>
  <si>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</si>
  <si>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</si>
  <si>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</si>
  <si>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</si>
  <si>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</si>
  <si>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</si>
  <si>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</si>
  <si>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</si>
  <si>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</si>
  <si>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</si>
  <si>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</si>
  <si>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</si>
  <si>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</si>
  <si>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</si>
  <si>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</si>
  <si>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</si>
  <si>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</si>
  <si>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</si>
  <si>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</si>
  <si>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</si>
  <si>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</si>
  <si>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</si>
  <si>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</si>
  <si>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</si>
  <si>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</si>
  <si>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</si>
  <si>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</si>
  <si>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</si>
  <si>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</si>
  <si>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</si>
  <si>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</si>
  <si>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</si>
  <si>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</si>
  <si>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</si>
  <si>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</si>
  <si>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</si>
  <si>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</si>
  <si>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</si>
  <si>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</si>
  <si>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</si>
  <si>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</si>
  <si>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</si>
  <si>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</si>
  <si>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</si>
  <si>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</si>
  <si>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</si>
  <si>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</si>
  <si>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</si>
  <si>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</si>
  <si>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</si>
  <si>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</si>
  <si>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</si>
  <si>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</si>
  <si>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</si>
  <si>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</si>
  <si>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</si>
  <si>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</si>
  <si>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</si>
  <si>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</si>
  <si>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</si>
  <si>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</si>
  <si>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</si>
  <si>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</si>
  <si>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</si>
  <si>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</si>
  <si>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</si>
  <si>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</si>
  <si>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</si>
  <si>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</si>
  <si>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</si>
  <si>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</si>
  <si>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</si>
  <si>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</si>
  <si>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</si>
  <si>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</si>
  <si>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</si>
  <si>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</si>
  <si>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</si>
  <si>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</si>
  <si>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</si>
  <si>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</si>
  <si>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</si>
  <si>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</si>
  <si>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</si>
  <si>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</si>
  <si>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</si>
  <si>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</si>
  <si>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</si>
  <si>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</si>
  <si>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</si>
  <si>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</si>
  <si>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</si>
  <si>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</si>
  <si>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</si>
  <si>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</si>
  <si>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</si>
  <si>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</si>
  <si>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</si>
  <si>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</si>
  <si>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</si>
  <si>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</si>
  <si>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</si>
  <si>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</si>
  <si>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</si>
  <si>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</si>
  <si>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</si>
  <si>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</si>
  <si>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</si>
  <si>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</si>
  <si>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</si>
  <si>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</si>
  <si>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</si>
  <si>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</si>
  <si>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</si>
  <si>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</si>
  <si>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</si>
  <si>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</si>
  <si>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</si>
  <si>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</si>
  <si>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</si>
  <si>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</si>
  <si>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</si>
  <si>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</si>
  <si>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</si>
  <si>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</si>
  <si>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</si>
  <si>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</si>
  <si>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</si>
  <si>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</si>
  <si>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</si>
  <si>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</si>
  <si>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</si>
  <si>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</si>
  <si>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</si>
  <si>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</si>
  <si>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</si>
  <si>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</si>
  <si>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</si>
  <si>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</si>
  <si>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</si>
  <si>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</si>
  <si>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</si>
  <si>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</si>
  <si>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</si>
  <si>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</si>
  <si>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</si>
  <si>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</si>
  <si>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</si>
  <si>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</si>
  <si>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</si>
  <si>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</si>
  <si>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</si>
  <si>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</si>
  <si>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</si>
  <si>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</si>
  <si>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</si>
  <si>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</si>
  <si>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</si>
  <si>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</si>
  <si>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</si>
  <si>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</si>
  <si>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</si>
  <si>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</si>
  <si>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</si>
  <si>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</si>
  <si>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</si>
  <si>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</si>
  <si>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</si>
  <si>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</si>
  <si>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</si>
  <si>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</si>
  <si>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</si>
  <si>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</si>
  <si>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</si>
  <si>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</si>
  <si>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</si>
  <si>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</si>
  <si>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</si>
  <si>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</si>
  <si>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</si>
  <si>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</si>
  <si>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</si>
  <si>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</si>
  <si>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</si>
  <si>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</si>
  <si>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</si>
  <si>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</si>
  <si>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</si>
  <si>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</si>
  <si>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</si>
  <si>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</si>
  <si>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</si>
  <si>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</si>
  <si>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</si>
  <si>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</si>
  <si>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</si>
  <si>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</si>
  <si>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</si>
  <si>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</si>
  <si>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</si>
  <si>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</si>
  <si>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</si>
  <si>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</si>
  <si>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</si>
  <si>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</si>
  <si>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</si>
  <si>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</si>
  <si>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</si>
  <si>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</si>
  <si>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</si>
  <si>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</si>
  <si>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</si>
  <si>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</si>
  <si>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</si>
  <si>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</si>
  <si>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</si>
  <si>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</si>
  <si>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</si>
  <si>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</si>
  <si>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</si>
  <si>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</si>
  <si>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</si>
  <si>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</si>
  <si>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</si>
  <si>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</si>
  <si>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</si>
  <si>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</si>
  <si>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</si>
  <si>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</si>
  <si>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</si>
  <si>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</si>
  <si>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</si>
  <si>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</si>
  <si>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</si>
  <si>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</si>
  <si>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</si>
  <si>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</si>
  <si>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</si>
  <si>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</si>
  <si>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</si>
  <si>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</si>
  <si>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</si>
  <si>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</si>
  <si>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</si>
  <si>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</si>
  <si>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</si>
  <si>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</si>
  <si>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</si>
  <si>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</si>
  <si>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</si>
  <si>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</si>
  <si>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</si>
  <si>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</si>
  <si>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</si>
  <si>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</si>
  <si>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</si>
  <si>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</si>
  <si>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</si>
  <si>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</si>
  <si>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</si>
  <si>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</si>
  <si>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</si>
  <si>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</si>
  <si>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</si>
  <si>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</si>
  <si>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</si>
  <si>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</si>
  <si>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</si>
  <si>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</si>
  <si>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</si>
  <si>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</si>
  <si>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</si>
  <si>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</si>
  <si>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</si>
  <si>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</si>
  <si>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</si>
  <si>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</si>
  <si>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</si>
  <si>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</si>
  <si>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</si>
  <si>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</si>
  <si>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</si>
  <si>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</si>
  <si>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</si>
  <si>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</si>
  <si>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</si>
  <si>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</si>
  <si>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</si>
  <si>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</si>
  <si>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</si>
  <si>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</si>
  <si>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</si>
  <si>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</si>
  <si>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</si>
  <si>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</si>
  <si>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</si>
  <si>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</si>
  <si>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</si>
  <si>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</si>
  <si>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</si>
  <si>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</si>
  <si>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</si>
  <si>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</si>
  <si>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</si>
  <si>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</si>
  <si>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</si>
  <si>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</si>
  <si>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</si>
  <si>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</si>
  <si>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</si>
  <si>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</si>
  <si>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</si>
  <si>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</si>
  <si>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</si>
  <si>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</si>
  <si>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</si>
  <si>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</si>
  <si>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</si>
  <si>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</si>
  <si>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</si>
  <si>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</si>
  <si>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</si>
  <si>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</si>
  <si>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</si>
  <si>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</si>
  <si>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</si>
  <si>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</si>
  <si>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</si>
  <si>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</si>
  <si>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</si>
  <si>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</si>
  <si>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</si>
  <si>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</si>
  <si>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</si>
  <si>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</si>
  <si>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</si>
  <si>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</si>
  <si>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</si>
  <si>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</si>
  <si>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</si>
  <si>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</si>
  <si>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</si>
  <si>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</si>
  <si>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</si>
  <si>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</si>
  <si>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</si>
  <si>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</si>
  <si>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</si>
  <si>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</si>
  <si>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</si>
  <si>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</si>
  <si>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</si>
  <si>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</si>
  <si>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</si>
  <si>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</si>
  <si>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</si>
  <si>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</si>
  <si>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</si>
  <si>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</si>
  <si>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</si>
  <si>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</si>
  <si>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</si>
  <si>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</si>
  <si>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</si>
  <si>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</si>
  <si>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</si>
  <si>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</si>
  <si>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</si>
  <si>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</si>
  <si>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</si>
  <si>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</si>
  <si>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</si>
  <si>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</si>
  <si>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</si>
  <si>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</si>
  <si>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</si>
  <si>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</si>
  <si>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</si>
  <si>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</si>
  <si>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</si>
  <si>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</si>
  <si>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</si>
  <si>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</si>
  <si>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</si>
  <si>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</si>
  <si>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</si>
  <si>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</si>
  <si>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</si>
  <si>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</si>
  <si>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</si>
  <si>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</si>
  <si>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</si>
  <si>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</si>
  <si>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</si>
  <si>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</si>
  <si>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</si>
  <si>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</si>
  <si>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</si>
  <si>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</si>
  <si>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</si>
  <si>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</si>
  <si>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</si>
  <si>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</si>
  <si>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</si>
  <si>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</si>
  <si>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</si>
  <si>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</si>
  <si>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</si>
  <si>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</si>
  <si>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</si>
  <si>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</si>
  <si>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</si>
  <si>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</si>
  <si>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</si>
  <si>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</si>
  <si>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</si>
  <si>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</si>
  <si>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</si>
  <si>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</si>
  <si>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</si>
  <si>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</si>
  <si>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</si>
  <si>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</si>
  <si>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</si>
  <si>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</si>
  <si>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</si>
  <si>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</si>
  <si>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</si>
  <si>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</si>
  <si>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</si>
  <si>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</si>
  <si>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</si>
  <si>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</si>
  <si>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</si>
  <si>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</si>
  <si>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</si>
  <si>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</si>
  <si>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</si>
  <si>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</si>
  <si>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</si>
  <si>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</si>
  <si>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</si>
  <si>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</si>
  <si>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</si>
  <si>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</si>
  <si>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</si>
  <si>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</si>
  <si>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</si>
  <si>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</si>
  <si>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</si>
  <si>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</si>
  <si>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</si>
  <si>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</si>
  <si>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</si>
  <si>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</si>
  <si>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</si>
  <si>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</si>
  <si>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</si>
  <si>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</si>
  <si>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</si>
  <si>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</si>
  <si>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</si>
  <si>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</si>
  <si>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</si>
  <si>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</si>
  <si>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</si>
  <si>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</si>
  <si>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</si>
  <si>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</si>
  <si>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</si>
  <si>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</si>
  <si>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</si>
  <si>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</si>
  <si>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</si>
  <si>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</si>
  <si>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</si>
  <si>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</si>
  <si>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</si>
  <si>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</si>
  <si>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</si>
  <si>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</si>
  <si>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</si>
  <si>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</si>
  <si>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</si>
  <si>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</si>
  <si>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</si>
  <si>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</si>
  <si>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</si>
  <si>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</si>
  <si>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</si>
  <si>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</si>
  <si>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</si>
  <si>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</si>
  <si>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</si>
  <si>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</si>
  <si>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</si>
  <si>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</si>
  <si>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</si>
  <si>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</si>
  <si>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</si>
  <si>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</si>
  <si>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</si>
  <si>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</si>
  <si>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</si>
  <si>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</si>
  <si>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</si>
  <si>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</si>
  <si>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</si>
  <si>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</si>
  <si>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</si>
  <si>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</si>
  <si>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</si>
  <si>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</si>
  <si>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</si>
  <si>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</si>
  <si>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</si>
  <si>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</si>
  <si>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</si>
  <si>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</si>
  <si>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</si>
  <si>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</si>
  <si>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</si>
  <si>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</si>
  <si>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</si>
  <si>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</si>
  <si>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</si>
  <si>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</si>
  <si>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</si>
  <si>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</si>
  <si>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</si>
  <si>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</si>
  <si>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</si>
  <si>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</si>
  <si>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</si>
  <si>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</si>
  <si>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</si>
  <si>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</si>
  <si>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</si>
  <si>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</si>
  <si>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</si>
  <si>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</si>
  <si>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</si>
  <si>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</si>
  <si>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</si>
  <si>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</si>
  <si>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</si>
  <si>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</si>
  <si>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</si>
  <si>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</si>
  <si>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</si>
  <si>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</si>
  <si>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</si>
  <si>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</si>
  <si>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</si>
  <si>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</si>
  <si>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</si>
  <si>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</si>
  <si>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</si>
  <si>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</si>
  <si>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</si>
  <si>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</si>
  <si>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</si>
  <si>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</si>
  <si>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</si>
  <si>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</si>
  <si>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</si>
  <si>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</si>
  <si>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</si>
  <si>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</si>
  <si>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</si>
  <si>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</si>
  <si>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</si>
  <si>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</si>
  <si>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</si>
  <si>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</si>
  <si>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</si>
  <si>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</si>
  <si>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</si>
  <si>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</si>
  <si>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</si>
  <si>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</si>
  <si>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</si>
  <si>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</si>
  <si>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</si>
  <si>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</si>
  <si>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</si>
  <si>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</si>
  <si>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</si>
  <si>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</si>
  <si>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</si>
  <si>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</si>
  <si>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</si>
  <si>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</si>
  <si>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</si>
  <si>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</si>
  <si>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</si>
  <si>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</si>
  <si>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</si>
  <si>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</si>
  <si>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</si>
  <si>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</si>
  <si>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</si>
  <si>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</si>
  <si>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</si>
  <si>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</si>
  <si>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</si>
  <si>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</si>
  <si>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</si>
  <si>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</si>
  <si>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</si>
  <si>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</si>
  <si>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</si>
  <si>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</si>
  <si>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</si>
  <si>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</si>
  <si>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</si>
  <si>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</si>
  <si>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</si>
  <si>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</si>
  <si>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</si>
  <si>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</si>
  <si>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</si>
  <si>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</si>
  <si>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</si>
  <si>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</si>
  <si>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</si>
  <si>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</si>
  <si>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</si>
  <si>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</si>
  <si>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</si>
  <si>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</si>
  <si>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</si>
  <si>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</si>
  <si>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</si>
  <si>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</si>
  <si>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</si>
  <si>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</si>
  <si>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</si>
  <si>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</si>
  <si>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</si>
  <si>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</si>
  <si>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</si>
  <si>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</si>
  <si>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</si>
  <si>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</si>
  <si>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</si>
  <si>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</si>
  <si>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</si>
  <si>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</si>
  <si>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</si>
  <si>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</si>
  <si>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</si>
  <si>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</si>
  <si>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</si>
  <si>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</si>
  <si>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</si>
  <si>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</si>
  <si>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</si>
  <si>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</si>
  <si>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</si>
  <si>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</si>
  <si>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</si>
  <si>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</si>
  <si>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</si>
  <si>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</si>
  <si>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</si>
  <si>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</si>
  <si>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</si>
  <si>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</si>
  <si>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</si>
  <si>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</si>
  <si>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</si>
  <si>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</si>
  <si>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</si>
  <si>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</si>
  <si>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</si>
  <si>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</si>
  <si>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</si>
  <si>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</si>
  <si>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</si>
  <si>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</si>
  <si>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</si>
  <si>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</si>
  <si>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</si>
  <si>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</si>
  <si>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</si>
  <si>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</si>
  <si>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</si>
  <si>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</si>
  <si>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</si>
  <si>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</si>
  <si>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</si>
  <si>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</si>
  <si>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</si>
  <si>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</si>
  <si>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</si>
  <si>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</si>
  <si>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</si>
  <si>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</si>
  <si>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</si>
  <si>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</si>
  <si>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</si>
  <si>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</si>
  <si>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</si>
  <si>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</si>
  <si>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</si>
  <si>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</si>
  <si>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</si>
  <si>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</si>
  <si>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</si>
  <si>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</si>
  <si>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</si>
  <si>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</si>
  <si>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</si>
  <si>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</si>
  <si>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</si>
  <si>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</si>
  <si>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</si>
  <si>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</si>
  <si>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</si>
  <si>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</si>
  <si>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</si>
  <si>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</si>
  <si>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</si>
  <si>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</si>
  <si>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</si>
  <si>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</si>
  <si>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</si>
  <si>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</si>
  <si>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</si>
  <si>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</si>
  <si>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</si>
  <si>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</si>
  <si>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</si>
  <si>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</si>
  <si>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</si>
  <si>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</si>
  <si>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</si>
  <si>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</si>
  <si>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</si>
  <si>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</si>
  <si>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</si>
  <si>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</si>
  <si>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</si>
  <si>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</si>
  <si>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</si>
  <si>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</si>
  <si>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</si>
  <si>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</si>
  <si>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</si>
  <si>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</si>
  <si>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</si>
  <si>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</si>
  <si>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</si>
  <si>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</si>
  <si>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</si>
  <si>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</si>
  <si>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</si>
  <si>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</si>
  <si>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</si>
  <si>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</si>
  <si>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</si>
  <si>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</si>
  <si>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</si>
  <si>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</si>
  <si>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</si>
  <si>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</si>
  <si>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</si>
  <si>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</si>
  <si>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</si>
  <si>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</si>
  <si>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</si>
  <si>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</si>
  <si>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</si>
  <si>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</si>
  <si>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</si>
  <si>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</si>
  <si>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</si>
  <si>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</si>
  <si>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</si>
  <si>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</si>
  <si>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</si>
  <si>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</si>
  <si>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</si>
  <si>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</si>
  <si>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</si>
  <si>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</si>
  <si>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</si>
  <si>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</si>
  <si>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</si>
  <si>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</si>
  <si>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</si>
  <si>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</si>
  <si>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</si>
  <si>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</si>
  <si>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</si>
  <si>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</si>
  <si>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</si>
  <si>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</si>
  <si>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</si>
  <si>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</si>
  <si>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</si>
  <si>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</si>
  <si>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</si>
  <si>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</si>
  <si>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</si>
  <si>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</si>
  <si>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</si>
  <si>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</si>
  <si>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</si>
  <si>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</si>
  <si>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</si>
  <si>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</si>
  <si>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</si>
  <si>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</si>
  <si>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</si>
  <si>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</si>
  <si>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</si>
  <si>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</si>
  <si>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</si>
  <si>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</si>
  <si>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</si>
  <si>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</si>
  <si>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</si>
  <si>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</si>
  <si>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</si>
  <si>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</si>
  <si>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</si>
  <si>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</si>
  <si>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</si>
  <si>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</si>
  <si>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</si>
  <si>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</si>
  <si>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</si>
  <si>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</si>
  <si>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</si>
  <si>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</si>
  <si>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</si>
  <si>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</si>
  <si>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</si>
  <si>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</si>
  <si>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</si>
  <si>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</si>
  <si>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</si>
  <si>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</si>
  <si>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</si>
  <si>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</si>
  <si>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</si>
  <si>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</si>
  <si>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</si>
  <si>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</si>
  <si>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</si>
  <si>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</si>
  <si>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</si>
  <si>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</si>
  <si>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</si>
  <si>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</si>
  <si>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</si>
  <si>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</si>
  <si>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</si>
  <si>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</si>
  <si>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</si>
  <si>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</si>
  <si>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</si>
  <si>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</si>
  <si>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</si>
  <si>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</si>
  <si>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</si>
  <si>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</si>
  <si>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</si>
  <si>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</si>
  <si>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</si>
  <si>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</si>
  <si>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</si>
  <si>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</si>
  <si>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</si>
  <si>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</si>
  <si>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</si>
  <si>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</si>
  <si>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</si>
  <si>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</si>
  <si>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</si>
  <si>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</si>
  <si>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</si>
  <si>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</si>
  <si>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</si>
  <si>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</si>
  <si>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</si>
  <si>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</si>
  <si>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</si>
  <si>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</si>
  <si>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</si>
  <si>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</si>
  <si>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</si>
  <si>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</si>
  <si>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</si>
  <si>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</si>
  <si>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</si>
  <si>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</si>
  <si>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</si>
  <si>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</si>
  <si>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</si>
  <si>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</si>
  <si>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</si>
  <si>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</si>
  <si>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</si>
  <si>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</si>
  <si>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</si>
  <si>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</si>
  <si>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</si>
  <si>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</si>
  <si>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</si>
  <si>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</si>
  <si>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</si>
  <si>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</si>
  <si>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</si>
  <si>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</si>
  <si>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</si>
  <si>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</si>
  <si>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</si>
  <si>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</si>
  <si>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</si>
  <si>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</si>
  <si>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</si>
  <si>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</si>
  <si>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</si>
  <si>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</si>
  <si>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</si>
  <si>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</si>
  <si>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</si>
  <si>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</si>
  <si>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</si>
  <si>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</si>
  <si>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</si>
  <si>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</si>
  <si>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</si>
  <si>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</si>
  <si>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</si>
  <si>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</si>
  <si>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</si>
  <si>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</si>
  <si>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</si>
  <si>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</si>
  <si>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</si>
  <si>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</si>
  <si>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</si>
  <si>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</si>
  <si>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</si>
  <si>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</si>
  <si>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</si>
  <si>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</si>
  <si>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</si>
  <si>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</si>
  <si>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</si>
  <si>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</si>
  <si>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</si>
  <si>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</si>
  <si>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</si>
  <si>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</si>
  <si>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</si>
  <si>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</si>
  <si>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</si>
  <si>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</si>
  <si>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</si>
  <si>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</si>
  <si>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</si>
  <si>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</si>
  <si>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</si>
  <si>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</si>
  <si>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</si>
  <si>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</si>
  <si>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</si>
  <si>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</si>
  <si>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</si>
  <si>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</si>
  <si>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</si>
  <si>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</si>
  <si>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</si>
  <si>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</si>
  <si>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</si>
  <si>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</si>
  <si>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</si>
  <si>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</si>
  <si>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</si>
  <si>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</si>
  <si>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</si>
  <si>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</si>
  <si>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</si>
  <si>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</si>
  <si>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</si>
  <si>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</si>
  <si>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</si>
  <si>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</si>
  <si>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</si>
  <si>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</si>
  <si>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</si>
  <si>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</si>
  <si>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</si>
  <si>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</si>
  <si>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</si>
  <si>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</si>
  <si>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</si>
  <si>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</si>
  <si>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</si>
  <si>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</si>
  <si>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</si>
  <si>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</si>
  <si>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</si>
  <si>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</si>
  <si>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</si>
  <si>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</si>
  <si>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</si>
  <si>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</si>
  <si>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</si>
  <si>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</si>
  <si>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</si>
  <si>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</si>
  <si>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</si>
  <si>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</si>
  <si>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</si>
  <si>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</si>
  <si>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</si>
  <si>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</si>
  <si>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</si>
  <si>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</si>
  <si>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</si>
  <si>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</si>
  <si>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</si>
  <si>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</si>
  <si>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</si>
  <si>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</si>
  <si>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</si>
  <si>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</si>
  <si>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</si>
  <si>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</si>
  <si>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</si>
  <si>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</si>
  <si>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</si>
  <si>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</si>
  <si>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</si>
  <si>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</si>
  <si>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</si>
  <si>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</si>
  <si>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</si>
  <si>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</si>
  <si>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</si>
  <si>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</si>
  <si>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</si>
  <si>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</si>
  <si>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</si>
  <si>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</si>
  <si>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</si>
  <si>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</si>
  <si>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</si>
  <si>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</si>
  <si>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</si>
  <si>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</si>
  <si>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</si>
  <si>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</si>
  <si>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</si>
  <si>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</si>
  <si>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</si>
  <si>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</si>
  <si>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</si>
  <si>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</si>
  <si>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</si>
  <si>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</si>
  <si>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</si>
  <si>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</si>
  <si>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</si>
  <si>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</si>
  <si>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</si>
  <si>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</si>
  <si>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</si>
  <si>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</si>
  <si>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</si>
  <si>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</si>
  <si>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</si>
  <si>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</si>
  <si>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</si>
  <si>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</si>
  <si>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</si>
  <si>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</si>
  <si>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</si>
  <si>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</si>
  <si>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</si>
  <si>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</si>
  <si>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</si>
  <si>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</si>
  <si>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</si>
  <si>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</si>
  <si>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</si>
  <si>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</si>
  <si>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</si>
  <si>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</si>
  <si>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</si>
  <si>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</si>
  <si>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</si>
  <si>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</si>
  <si>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</si>
  <si>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</si>
  <si>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</si>
  <si>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</si>
  <si>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</si>
  <si>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</si>
  <si>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</si>
  <si>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</si>
  <si>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</si>
  <si>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</si>
  <si>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</si>
  <si>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</si>
  <si>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</si>
  <si>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</si>
  <si>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</si>
  <si>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</si>
  <si>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</si>
  <si>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</si>
  <si>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</si>
  <si>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</si>
  <si>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</si>
  <si>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</si>
  <si>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</si>
  <si>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</si>
  <si>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</si>
  <si>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</si>
  <si>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</si>
  <si>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</si>
  <si>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</si>
  <si>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</si>
  <si>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</si>
  <si>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</si>
  <si>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</si>
  <si>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</si>
  <si>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</si>
  <si>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</si>
  <si>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</si>
  <si>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</si>
  <si>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</si>
  <si>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</si>
  <si>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</si>
  <si>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</si>
  <si>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</si>
  <si>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</si>
  <si>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</si>
  <si>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</si>
  <si>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</si>
  <si>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</si>
  <si>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</si>
  <si>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</si>
  <si>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</si>
  <si>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</si>
  <si>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</si>
  <si>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</si>
  <si>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</si>
  <si>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</si>
  <si>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</si>
  <si>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</si>
  <si>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</si>
  <si>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</si>
  <si>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</si>
  <si>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</si>
  <si>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</si>
  <si>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</si>
  <si>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</si>
  <si>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</si>
  <si>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</si>
  <si>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</si>
  <si>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</si>
  <si>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</si>
  <si>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</si>
  <si>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</si>
  <si>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</si>
  <si>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</si>
  <si>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</si>
  <si>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</si>
  <si>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</si>
  <si>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</si>
  <si>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</si>
  <si>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</si>
  <si>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</si>
  <si>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</si>
  <si>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</si>
  <si>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</si>
  <si>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</si>
  <si>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</si>
  <si>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</si>
  <si>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</si>
  <si>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</si>
  <si>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</si>
  <si>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</si>
  <si>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</si>
  <si>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</si>
  <si>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</si>
  <si>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</si>
  <si>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</si>
  <si>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</si>
  <si>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</si>
  <si>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</si>
  <si>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</si>
  <si>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</si>
  <si>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</si>
  <si>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</si>
  <si>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</si>
  <si>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</si>
  <si>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</si>
  <si>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</si>
  <si>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</si>
  <si>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</si>
  <si>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</si>
  <si>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</si>
  <si>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</si>
  <si>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</si>
  <si>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</si>
  <si>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</si>
  <si>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</si>
  <si>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</si>
  <si>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</si>
  <si>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</si>
  <si>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</si>
  <si>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</si>
  <si>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</si>
  <si>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</si>
  <si>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</si>
  <si>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</si>
  <si>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</si>
  <si>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</si>
  <si>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</si>
  <si>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</si>
  <si>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</si>
  <si>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</si>
  <si>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</si>
  <si>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</si>
  <si>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</si>
  <si>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</si>
  <si>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</si>
  <si>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</si>
  <si>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</si>
  <si>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</si>
  <si>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</si>
  <si>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</si>
  <si>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</si>
  <si>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</si>
  <si>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</si>
  <si>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</si>
  <si>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</si>
  <si>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</si>
  <si>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</si>
  <si>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</si>
  <si>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</si>
  <si>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</si>
  <si>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</si>
  <si>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</si>
  <si>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</si>
  <si>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</si>
  <si>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</si>
  <si>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</si>
  <si>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</si>
  <si>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</si>
  <si>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</si>
  <si>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</si>
  <si>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</si>
  <si>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</si>
  <si>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</si>
  <si>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</si>
  <si>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</si>
  <si>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</si>
  <si>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</si>
  <si>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</si>
  <si>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</si>
  <si>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</si>
  <si>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</si>
  <si>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</si>
  <si>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</si>
  <si>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</si>
  <si>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</si>
  <si>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</si>
  <si>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</si>
  <si>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</si>
  <si>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</si>
  <si>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</si>
  <si>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</si>
  <si>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</si>
  <si>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</si>
  <si>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</si>
  <si>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</si>
  <si>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</si>
  <si>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</si>
  <si>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</si>
  <si>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</si>
  <si>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</si>
  <si>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</si>
  <si>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</si>
  <si>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</si>
  <si>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</si>
  <si>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</si>
  <si>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</si>
  <si>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</si>
  <si>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</si>
  <si>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</si>
  <si>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</si>
  <si>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</si>
  <si>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</si>
  <si>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</si>
  <si>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</si>
  <si>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</si>
  <si>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</si>
  <si>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</si>
  <si>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</si>
  <si>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</si>
  <si>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</si>
  <si>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</si>
  <si>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</si>
  <si>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</si>
  <si>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</si>
  <si>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</si>
  <si>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</si>
  <si>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</si>
  <si>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</si>
  <si>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</si>
  <si>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</si>
  <si>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</si>
  <si>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</si>
  <si>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</si>
  <si>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</si>
  <si>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</si>
  <si>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</si>
  <si>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</si>
  <si>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</si>
  <si>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</si>
  <si>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</si>
  <si>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</si>
  <si>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</si>
  <si>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</si>
  <si>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</si>
  <si>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</si>
  <si>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</si>
  <si>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</si>
  <si>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</si>
  <si>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</si>
  <si>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</si>
  <si>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</si>
  <si>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</si>
  <si>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</si>
  <si>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</si>
  <si>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</si>
  <si>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</si>
  <si>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</si>
  <si>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</si>
  <si>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</si>
  <si>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</si>
  <si>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</si>
  <si>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</si>
  <si>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</si>
  <si>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</si>
  <si>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</si>
  <si>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</si>
  <si>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</si>
  <si>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</si>
  <si>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</si>
  <si>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</si>
  <si>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</si>
  <si>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</si>
  <si>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</si>
  <si>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</si>
  <si>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</si>
  <si>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</si>
  <si>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</si>
  <si>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</si>
  <si>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</si>
  <si>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</si>
  <si>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</si>
  <si>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</si>
  <si>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</si>
  <si>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</si>
  <si>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</si>
  <si>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</si>
  <si>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</si>
  <si>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</si>
  <si>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</si>
  <si>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</si>
  <si>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</si>
  <si>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</si>
  <si>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</si>
  <si>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</si>
  <si>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</si>
  <si>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</si>
  <si>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</si>
  <si>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</si>
  <si>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</si>
  <si>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</si>
  <si>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</si>
  <si>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</si>
  <si>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</si>
  <si>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</si>
  <si>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</si>
  <si>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</si>
  <si>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</si>
  <si>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</si>
  <si>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</si>
  <si>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</si>
  <si>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</si>
  <si>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</si>
  <si>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</si>
  <si>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</si>
  <si>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</si>
  <si>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</si>
  <si>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</si>
  <si>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</si>
  <si>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</si>
  <si>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</si>
  <si>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</si>
  <si>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</si>
  <si>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</si>
  <si>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</si>
  <si>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</si>
  <si>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</si>
  <si>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</si>
  <si>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</si>
  <si>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</si>
  <si>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</si>
  <si>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</si>
  <si>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</si>
  <si>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</si>
  <si>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</si>
  <si>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</si>
  <si>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</si>
  <si>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</si>
  <si>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</si>
  <si>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</si>
  <si>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</si>
  <si>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</si>
  <si>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</si>
  <si>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</si>
  <si>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</si>
  <si>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</si>
  <si>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</si>
  <si>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</si>
  <si>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</si>
  <si>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</si>
  <si>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</si>
  <si>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</si>
  <si>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</si>
  <si>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</si>
  <si>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</si>
  <si>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</si>
  <si>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</si>
  <si>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</si>
  <si>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</si>
  <si>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</si>
  <si>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</si>
  <si>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</si>
  <si>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</si>
  <si>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</si>
  <si>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</si>
  <si>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</si>
  <si>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</si>
  <si>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</si>
  <si>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</si>
  <si>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</si>
  <si>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</si>
  <si>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</si>
  <si>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</si>
  <si>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</si>
  <si>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</si>
  <si>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</si>
  <si>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</si>
  <si>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</si>
  <si>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</si>
  <si>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</si>
  <si>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</si>
  <si>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</si>
  <si>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</si>
  <si>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</si>
  <si>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</si>
  <si>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</si>
  <si>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</si>
  <si>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</si>
  <si>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</si>
  <si>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</si>
  <si>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</si>
  <si>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</si>
  <si>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</si>
  <si>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</si>
  <si>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</si>
  <si>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</si>
  <si>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</si>
  <si>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</si>
  <si>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</si>
  <si>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</si>
  <si>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</si>
  <si>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</si>
  <si>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划拨</t>
  </si>
  <si>
    <t>地上</t>
  </si>
  <si>
    <t>是</t>
  </si>
  <si>
    <t>自定义容积率</t>
  </si>
  <si>
    <t>核定资产</t>
  </si>
  <si>
    <t>一致</t>
  </si>
  <si>
    <t>与级别开发程度一致</t>
  </si>
  <si>
    <t>中心城区</t>
  </si>
  <si>
    <t>工业</t>
    <phoneticPr fontId="7" type="noConversion"/>
  </si>
  <si>
    <t>序号</t>
    <phoneticPr fontId="224" type="noConversion"/>
  </si>
  <si>
    <t>项目位置</t>
    <phoneticPr fontId="224" type="noConversion"/>
  </si>
  <si>
    <t>项目土地面积</t>
    <phoneticPr fontId="224" type="noConversion"/>
  </si>
  <si>
    <t xml:space="preserve">土地开发成本   </t>
  </si>
  <si>
    <t>财务费用占总成本比例</t>
    <phoneticPr fontId="224" type="noConversion"/>
  </si>
  <si>
    <t>审定日期</t>
    <phoneticPr fontId="224" type="noConversion"/>
  </si>
  <si>
    <t>单价</t>
    <phoneticPr fontId="224" type="noConversion"/>
  </si>
  <si>
    <t>期日修正</t>
    <phoneticPr fontId="224" type="noConversion"/>
  </si>
  <si>
    <t>顺义区</t>
    <phoneticPr fontId="224" type="noConversion"/>
  </si>
  <si>
    <t>顺义区</t>
    <phoneticPr fontId="224" type="noConversion"/>
  </si>
  <si>
    <t>2023-4</t>
  </si>
  <si>
    <t>2023-3</t>
  </si>
  <si>
    <t>2023-2</t>
    <phoneticPr fontId="3" type="noConversion"/>
  </si>
  <si>
    <t>2023-1</t>
    <phoneticPr fontId="3" type="noConversion"/>
  </si>
  <si>
    <t>2022-4</t>
    <phoneticPr fontId="3" type="noConversion"/>
  </si>
  <si>
    <t>审定日期价格（元/平方米）</t>
    <phoneticPr fontId="224" type="noConversion"/>
  </si>
  <si>
    <t>估价期日价格（元/平方米）</t>
    <phoneticPr fontId="224" type="noConversion"/>
  </si>
  <si>
    <t>2022-3</t>
    <phoneticPr fontId="3" type="noConversion"/>
  </si>
  <si>
    <t>实例1</t>
    <phoneticPr fontId="224" type="noConversion"/>
  </si>
  <si>
    <t>2022-2</t>
    <phoneticPr fontId="3" type="noConversion"/>
  </si>
  <si>
    <t>实例2</t>
    <phoneticPr fontId="224" type="noConversion"/>
  </si>
  <si>
    <t>2022-1</t>
    <phoneticPr fontId="3" type="noConversion"/>
  </si>
  <si>
    <t>实例3</t>
    <phoneticPr fontId="224" type="noConversion"/>
  </si>
  <si>
    <t>2021-4</t>
    <phoneticPr fontId="3" type="noConversion"/>
  </si>
  <si>
    <t>实例4</t>
  </si>
  <si>
    <t>2021-3</t>
    <phoneticPr fontId="3" type="noConversion"/>
  </si>
  <si>
    <t>实例5</t>
  </si>
  <si>
    <t>2021-2</t>
    <phoneticPr fontId="3" type="noConversion"/>
  </si>
  <si>
    <t>2021-1</t>
    <phoneticPr fontId="3" type="noConversion"/>
  </si>
  <si>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</si>
  <si>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</si>
  <si>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</si>
  <si>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</si>
  <si>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</si>
  <si>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</si>
  <si>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</si>
  <si>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</si>
  <si>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</si>
  <si>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</si>
  <si>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</si>
  <si>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</si>
  <si>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</si>
  <si>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color theme="9" tint="-0.249977111117893"/>
        <rFont val="仿宋_GB2312"/>
        <family val="3"/>
        <charset val="134"/>
      </rPr>
      <t>项目位置</t>
    </r>
    <phoneticPr fontId="3" type="noConversion"/>
  </si>
  <si>
    <t>正常</t>
  </si>
  <si>
    <t>区域因素</t>
    <phoneticPr fontId="3" type="noConversion"/>
  </si>
  <si>
    <t>较好</t>
  </si>
  <si>
    <t>一般</t>
  </si>
  <si>
    <t>100/</t>
    <phoneticPr fontId="3" type="noConversion"/>
  </si>
  <si>
    <r>
      <rPr>
        <sz val="11"/>
        <color indexed="8"/>
        <rFont val="仿宋_GB2312"/>
        <family val="3"/>
        <charset val="134"/>
      </rPr>
      <t>环境状况</t>
    </r>
    <phoneticPr fontId="3" type="noConversion"/>
  </si>
  <si>
    <t>公共配套设施</t>
    <phoneticPr fontId="3" type="noConversion"/>
  </si>
  <si>
    <t>100/</t>
    <phoneticPr fontId="3" type="noConversion"/>
  </si>
  <si>
    <t>好</t>
  </si>
  <si>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</si>
  <si>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</si>
  <si>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</si>
  <si>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</si>
  <si>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</si>
  <si>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</si>
  <si>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t>较规则</t>
  </si>
  <si>
    <t>五通一平</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</si>
  <si>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</si>
  <si>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</si>
  <si>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</si>
  <si>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</si>
  <si>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</si>
  <si>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</si>
  <si>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</si>
  <si>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</si>
  <si>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</si>
  <si>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</si>
  <si>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</si>
  <si>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</si>
  <si>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</si>
  <si>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</si>
  <si>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</si>
  <si>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</si>
  <si>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</si>
  <si>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</si>
  <si>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t>工业</t>
    <phoneticPr fontId="3" type="noConversion"/>
  </si>
  <si>
    <r>
      <rPr>
        <sz val="11"/>
        <color indexed="8"/>
        <rFont val="仿宋_GB2312"/>
        <family val="3"/>
        <charset val="134"/>
      </rPr>
      <t>一般</t>
    </r>
    <phoneticPr fontId="3" type="noConversion"/>
  </si>
  <si>
    <t>基础设施水平</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</si>
  <si>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</si>
  <si>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</si>
  <si>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</si>
  <si>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</si>
  <si>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土地级别</t>
    </r>
    <phoneticPr fontId="3" type="noConversion"/>
  </si>
  <si>
    <t>八级</t>
    <phoneticPr fontId="224" type="noConversion"/>
  </si>
  <si>
    <t>较规则</t>
    <phoneticPr fontId="3" type="noConversion"/>
  </si>
  <si>
    <t>五通一平</t>
    <phoneticPr fontId="3" type="noConversion"/>
  </si>
  <si>
    <t>四通一平</t>
    <phoneticPr fontId="3" type="noConversion"/>
  </si>
  <si>
    <t>三通一平</t>
    <phoneticPr fontId="3" type="noConversion"/>
  </si>
  <si>
    <t>较好</t>
    <phoneticPr fontId="3" type="noConversion"/>
  </si>
  <si>
    <t>(二)评估技术路线及估价方法</t>
  </si>
  <si>
    <t>1.市场比较法</t>
  </si>
  <si>
    <t>案例情况统计表</t>
  </si>
  <si>
    <t>六级</t>
    <phoneticPr fontId="224" type="noConversion"/>
  </si>
  <si>
    <t>五级</t>
    <phoneticPr fontId="224" type="noConversion"/>
  </si>
  <si>
    <t>案例名称</t>
  </si>
  <si>
    <t>北京金通资产经营管理公司</t>
    <phoneticPr fontId="224" type="noConversion"/>
  </si>
  <si>
    <t>北方智能微机电集团有限公司</t>
  </si>
  <si>
    <t>北京市通州区农业机械公司</t>
  </si>
  <si>
    <t>位置</t>
    <phoneticPr fontId="224" type="noConversion"/>
  </si>
  <si>
    <t>通州区张家湾镇张辛庄村</t>
    <phoneticPr fontId="224" type="noConversion"/>
  </si>
  <si>
    <t>通州区永顺镇小圣庙村北</t>
  </si>
  <si>
    <t>数据来源</t>
  </si>
  <si>
    <t>通州区房屋征收事务中心</t>
  </si>
  <si>
    <t>交易日期</t>
    <phoneticPr fontId="224" type="noConversion"/>
  </si>
  <si>
    <t>交易方式</t>
    <phoneticPr fontId="224" type="noConversion"/>
  </si>
  <si>
    <t>收回</t>
    <phoneticPr fontId="224" type="noConversion"/>
  </si>
  <si>
    <t>收回</t>
  </si>
  <si>
    <t>土地使用权类型</t>
  </si>
  <si>
    <t>土地用途</t>
    <phoneticPr fontId="224" type="noConversion"/>
  </si>
  <si>
    <t>土地剩余使用年限(年)</t>
    <phoneticPr fontId="224" type="noConversion"/>
  </si>
  <si>
    <t>无期限</t>
  </si>
  <si>
    <t>宗地面积(m)</t>
  </si>
  <si>
    <t>楼面交易价格(元/m)</t>
    <phoneticPr fontId="224" type="noConversion"/>
  </si>
  <si>
    <t>设定容积率</t>
    <phoneticPr fontId="224" type="noConversion"/>
  </si>
  <si>
    <t>地面交易价格(元/m)</t>
  </si>
  <si>
    <t>地面交易价格(万元/亩)</t>
  </si>
  <si>
    <t>市场比较法最终价格(元/m)</t>
  </si>
  <si>
    <t>市场比较法最终价格(万元/亩)</t>
  </si>
  <si>
    <t>较规则</t>
    <phoneticPr fontId="28" type="noConversion"/>
  </si>
  <si>
    <t>五通一平</t>
    <phoneticPr fontId="28" type="noConversion"/>
  </si>
  <si>
    <t>2021-1</t>
  </si>
  <si>
    <t>2020-4</t>
  </si>
  <si>
    <t>2020-3</t>
  </si>
  <si>
    <t>2020-2</t>
  </si>
  <si>
    <t>2020-1</t>
  </si>
  <si>
    <t>2019-4</t>
  </si>
  <si>
    <t>2019-3</t>
  </si>
  <si>
    <t>2019-2</t>
  </si>
  <si>
    <t>2019-1</t>
  </si>
  <si>
    <t>2018-4</t>
  </si>
  <si>
    <t>2018-3</t>
  </si>
  <si>
    <t>比较法-工业</t>
  </si>
  <si>
    <t>成本逼近法</t>
  </si>
  <si>
    <t>昌平区沙河镇北沙河北</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</si>
</sst>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8"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195" fontId="1" fillId="0" borderId="0">
      <alignment vertical="center"/>
    </xf>
    <xf numFmtId="195" fontId="141" fillId="0" borderId="0">
      <alignment vertical="center"/>
    </xf>
  </cellStyleXfs>
  <cellXfs count="445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141" fillId="0" borderId="2" xfId="17" applyNumberFormat="1" applyFont="1" applyBorder="1">
      <alignment vertical="center"/>
    </xf>
    <xf numFmtId="0" fontId="141" fillId="0" borderId="2" xfId="17" applyNumberFormat="1" applyBorder="1">
      <alignment vertical="center"/>
    </xf>
    <xf numFmtId="0" fontId="141" fillId="0" borderId="0" xfId="17" applyNumberFormat="1">
      <alignment vertical="center"/>
    </xf>
    <xf numFmtId="195" fontId="141" fillId="0" borderId="0" xfId="17">
      <alignment vertical="center"/>
    </xf>
    <xf numFmtId="0" fontId="141" fillId="0" borderId="2" xfId="17" applyNumberFormat="1" applyBorder="1" applyAlignment="1">
      <alignment vertical="center" wrapText="1"/>
    </xf>
    <xf numFmtId="0" fontId="141" fillId="0" borderId="2" xfId="17" applyNumberFormat="1" applyFont="1" applyBorder="1" applyAlignment="1">
      <alignment vertical="center" wrapText="1"/>
    </xf>
    <xf numFmtId="0" fontId="141" fillId="0" borderId="0" xfId="17" applyNumberFormat="1" applyAlignment="1">
      <alignment vertical="center" wrapText="1"/>
    </xf>
    <xf numFmtId="195" fontId="141" fillId="0" borderId="0" xfId="17" applyAlignment="1">
      <alignment vertical="center" wrapText="1"/>
    </xf>
    <xf numFmtId="0" fontId="141" fillId="24" borderId="2" xfId="17" applyNumberFormat="1" applyFill="1" applyBorder="1">
      <alignment vertical="center"/>
    </xf>
    <xf numFmtId="0" fontId="141" fillId="24" borderId="2" xfId="17" applyNumberFormat="1" applyFont="1" applyFill="1" applyBorder="1" applyAlignment="1">
      <alignment horizontal="center" vertical="center"/>
    </xf>
    <xf numFmtId="0" fontId="141" fillId="24" borderId="2" xfId="17" applyNumberFormat="1" applyFill="1" applyBorder="1" applyAlignment="1">
      <alignment horizontal="center" vertical="center"/>
    </xf>
    <xf numFmtId="0" fontId="141" fillId="24" borderId="0" xfId="17" applyNumberFormat="1" applyFill="1" applyAlignment="1">
      <alignment horizontal="center" vertical="center"/>
    </xf>
    <xf numFmtId="0" fontId="141" fillId="24" borderId="0" xfId="17" applyNumberFormat="1" applyFill="1">
      <alignment vertical="center"/>
    </xf>
    <xf numFmtId="195" fontId="141" fillId="24" borderId="0" xfId="17" applyFill="1">
      <alignment vertical="center"/>
    </xf>
    <xf numFmtId="0" fontId="141" fillId="8" borderId="2" xfId="17" applyNumberFormat="1" applyFill="1" applyBorder="1">
      <alignment vertical="center"/>
    </xf>
    <xf numFmtId="0" fontId="141" fillId="8" borderId="2" xfId="17" applyNumberFormat="1" applyFont="1" applyFill="1" applyBorder="1" applyAlignment="1">
      <alignment horizontal="center" vertical="center"/>
    </xf>
    <xf numFmtId="0" fontId="141" fillId="8" borderId="2" xfId="17" applyNumberFormat="1" applyFill="1" applyBorder="1" applyAlignment="1">
      <alignment horizontal="center" vertical="center"/>
    </xf>
    <xf numFmtId="0" fontId="141" fillId="8" borderId="0" xfId="17" applyNumberFormat="1" applyFill="1" applyAlignment="1">
      <alignment horizontal="center" vertical="center"/>
    </xf>
    <xf numFmtId="0" fontId="141" fillId="8" borderId="0" xfId="17" applyNumberFormat="1" applyFill="1">
      <alignment vertical="center"/>
    </xf>
    <xf numFmtId="195" fontId="141" fillId="8" borderId="0" xfId="17" applyFill="1">
      <alignment vertical="center"/>
    </xf>
    <xf numFmtId="0" fontId="141" fillId="25" borderId="2" xfId="17" applyNumberFormat="1" applyFill="1" applyBorder="1">
      <alignment vertical="center"/>
    </xf>
    <xf numFmtId="0" fontId="141" fillId="25" borderId="2" xfId="17" applyNumberFormat="1" applyFont="1" applyFill="1" applyBorder="1" applyAlignment="1">
      <alignment horizontal="center" vertical="center"/>
    </xf>
    <xf numFmtId="0" fontId="141" fillId="25" borderId="2" xfId="17" applyNumberFormat="1" applyFill="1" applyBorder="1" applyAlignment="1">
      <alignment horizontal="center" vertical="center"/>
    </xf>
    <xf numFmtId="0" fontId="141" fillId="25" borderId="0" xfId="17" applyNumberFormat="1" applyFill="1" applyAlignment="1">
      <alignment horizontal="center" vertical="center"/>
    </xf>
    <xf numFmtId="0" fontId="141" fillId="25" borderId="0" xfId="17" applyNumberFormat="1" applyFill="1">
      <alignment vertical="center"/>
    </xf>
    <xf numFmtId="195" fontId="141" fillId="25" borderId="0" xfId="17" applyFill="1">
      <alignment vertical="center"/>
    </xf>
    <xf numFmtId="0" fontId="141" fillId="0" borderId="2" xfId="17" applyNumberFormat="1" applyFont="1" applyBorder="1" applyAlignment="1">
      <alignment horizontal="center" vertical="center"/>
    </xf>
    <xf numFmtId="0" fontId="141" fillId="0" borderId="2" xfId="17" applyNumberFormat="1" applyBorder="1" applyAlignment="1">
      <alignment horizontal="center" vertical="center"/>
    </xf>
    <xf numFmtId="0" fontId="141" fillId="0" borderId="0" xfId="17" applyNumberFormat="1" applyAlignment="1">
      <alignment horizontal="center" vertical="center"/>
    </xf>
    <xf numFmtId="0" fontId="141" fillId="0" borderId="0" xfId="17" applyNumberFormat="1" applyFont="1" applyAlignment="1">
      <alignment horizontal="center" vertical="center"/>
    </xf>
    <xf numFmtId="0" fontId="82" fillId="5" borderId="2" xfId="18" applyNumberFormat="1" applyFont="1" applyFill="1" applyBorder="1" applyAlignment="1" applyProtection="1">
      <alignment horizontal="left" vertical="center" wrapText="1"/>
    </xf>
    <xf numFmtId="0" fontId="232" fillId="12" borderId="124" xfId="18" applyNumberFormat="1" applyFont="1" applyFill="1" applyBorder="1" applyAlignment="1" applyProtection="1">
      <alignment horizontal="left" vertical="center" wrapText="1"/>
      <protection locked="0"/>
    </xf>
    <xf numFmtId="0" fontId="91" fillId="22" borderId="2" xfId="18" applyNumberFormat="1" applyFont="1" applyFill="1" applyBorder="1" applyAlignment="1" applyProtection="1">
      <alignment horizontal="left" vertical="center" wrapText="1"/>
    </xf>
    <xf numFmtId="0" fontId="284" fillId="22" borderId="133" xfId="18" applyNumberFormat="1" applyFont="1" applyFill="1" applyBorder="1" applyAlignment="1" applyProtection="1">
      <alignment horizontal="left" vertical="center" wrapText="1"/>
      <protection locked="0"/>
    </xf>
    <xf numFmtId="0" fontId="232" fillId="12" borderId="133" xfId="18" applyNumberFormat="1" applyFont="1" applyFill="1" applyBorder="1" applyAlignment="1" applyProtection="1">
      <alignment horizontal="left" vertical="center" wrapText="1"/>
      <protection locked="0"/>
    </xf>
    <xf numFmtId="0" fontId="141" fillId="6" borderId="0" xfId="17" applyNumberFormat="1" applyFill="1">
      <alignment vertical="center"/>
    </xf>
    <xf numFmtId="0" fontId="141" fillId="0" borderId="0" xfId="17" applyNumberFormat="1" applyFont="1">
      <alignment vertical="center"/>
    </xf>
    <xf numFmtId="0" fontId="82" fillId="16" borderId="159" xfId="18" applyNumberFormat="1" applyFont="1" applyFill="1" applyBorder="1" applyAlignment="1" applyProtection="1">
      <alignment horizontal="left" vertical="center" wrapText="1"/>
    </xf>
    <xf numFmtId="0" fontId="232" fillId="16" borderId="162" xfId="18" applyNumberFormat="1" applyFont="1" applyFill="1" applyBorder="1" applyAlignment="1" applyProtection="1">
      <alignment horizontal="left" vertical="center" wrapText="1"/>
      <protection locked="0"/>
    </xf>
    <xf numFmtId="195" fontId="141" fillId="0" borderId="0" xfId="17" applyAlignment="1">
      <alignment horizontal="center" vertical="center"/>
    </xf>
    <xf numFmtId="0" fontId="147" fillId="5" borderId="4" xfId="17" applyNumberFormat="1" applyFont="1" applyFill="1" applyBorder="1" applyAlignment="1" applyProtection="1">
      <alignment vertical="center"/>
    </xf>
    <xf numFmtId="0" fontId="97" fillId="5" borderId="14" xfId="17" applyNumberFormat="1" applyFont="1" applyFill="1" applyBorder="1" applyAlignment="1" applyProtection="1">
      <alignment horizontal="right" vertical="center"/>
    </xf>
    <xf numFmtId="0" fontId="97" fillId="5" borderId="0" xfId="17" applyNumberFormat="1" applyFont="1" applyFill="1" applyAlignment="1" applyProtection="1">
      <alignment horizontal="center" vertical="center"/>
    </xf>
    <xf numFmtId="0" fontId="64" fillId="5" borderId="14" xfId="17" applyNumberFormat="1" applyFont="1" applyFill="1" applyBorder="1" applyAlignment="1" applyProtection="1">
      <alignment vertical="center"/>
    </xf>
    <xf numFmtId="0" fontId="107" fillId="5" borderId="14" xfId="17" applyNumberFormat="1" applyFont="1" applyFill="1" applyBorder="1" applyAlignment="1" applyProtection="1">
      <alignment vertical="center"/>
    </xf>
    <xf numFmtId="0" fontId="108" fillId="5" borderId="0" xfId="17" applyNumberFormat="1" applyFont="1" applyFill="1" applyAlignment="1" applyProtection="1">
      <alignment horizontal="center" vertical="center"/>
    </xf>
    <xf numFmtId="0" fontId="107" fillId="5" borderId="14" xfId="17" applyNumberFormat="1" applyFont="1" applyFill="1" applyBorder="1" applyAlignment="1" applyProtection="1">
      <alignment horizontal="center" vertical="center"/>
    </xf>
    <xf numFmtId="182" fontId="97" fillId="5" borderId="14" xfId="17" applyNumberFormat="1" applyFont="1" applyFill="1" applyBorder="1" applyAlignment="1" applyProtection="1">
      <alignment vertical="center"/>
      <protection locked="0"/>
    </xf>
    <xf numFmtId="195" fontId="97" fillId="5" borderId="14" xfId="17" applyFont="1" applyFill="1" applyBorder="1" applyAlignment="1" applyProtection="1">
      <alignment horizontal="center" vertical="center"/>
      <protection locked="0"/>
    </xf>
    <xf numFmtId="195" fontId="97" fillId="5" borderId="0" xfId="17" applyFont="1" applyFill="1" applyBorder="1" applyAlignment="1" applyProtection="1">
      <alignment horizontal="center" vertical="center"/>
      <protection locked="0"/>
    </xf>
    <xf numFmtId="195" fontId="94" fillId="5" borderId="0" xfId="17" applyFont="1" applyFill="1" applyBorder="1" applyAlignment="1" applyProtection="1">
      <alignment horizontal="center" vertical="center"/>
      <protection locked="0"/>
    </xf>
    <xf numFmtId="195" fontId="94" fillId="0" borderId="0" xfId="17" applyFont="1" applyFill="1" applyAlignment="1" applyProtection="1">
      <alignment horizontal="center" vertical="center"/>
    </xf>
    <xf numFmtId="0" fontId="93" fillId="5" borderId="2" xfId="19" applyNumberFormat="1" applyFont="1" applyFill="1" applyBorder="1" applyAlignment="1" applyProtection="1">
      <alignment vertical="center"/>
    </xf>
    <xf numFmtId="0" fontId="93" fillId="5" borderId="2" xfId="17" applyNumberFormat="1" applyFont="1" applyFill="1" applyBorder="1" applyAlignment="1" applyProtection="1">
      <alignment horizontal="right" vertical="center"/>
    </xf>
    <xf numFmtId="0" fontId="97" fillId="12" borderId="0" xfId="17" applyNumberFormat="1" applyFont="1" applyFill="1" applyBorder="1" applyAlignment="1" applyProtection="1">
      <alignment vertical="center"/>
      <protection locked="0"/>
    </xf>
    <xf numFmtId="0" fontId="98" fillId="12" borderId="0" xfId="17" applyNumberFormat="1" applyFont="1" applyFill="1" applyBorder="1" applyAlignment="1" applyProtection="1">
      <alignment vertical="center"/>
      <protection locked="0"/>
    </xf>
    <xf numFmtId="0" fontId="97" fillId="12" borderId="0" xfId="17" applyNumberFormat="1" applyFont="1" applyFill="1" applyBorder="1" applyAlignment="1" applyProtection="1">
      <alignment horizontal="center" vertical="center"/>
      <protection locked="0"/>
    </xf>
    <xf numFmtId="182" fontId="97" fillId="5" borderId="0" xfId="17" applyNumberFormat="1" applyFont="1" applyFill="1" applyBorder="1" applyAlignment="1" applyProtection="1">
      <alignment vertical="center"/>
      <protection locked="0"/>
    </xf>
    <xf numFmtId="0" fontId="44" fillId="5" borderId="10" xfId="19" applyNumberFormat="1" applyFont="1" applyFill="1" applyBorder="1" applyAlignment="1" applyProtection="1">
      <alignment vertical="center"/>
    </xf>
    <xf numFmtId="0" fontId="93" fillId="5" borderId="10" xfId="17" applyNumberFormat="1" applyFont="1" applyFill="1" applyBorder="1" applyAlignment="1" applyProtection="1">
      <alignment horizontal="right" vertical="center"/>
    </xf>
    <xf numFmtId="0" fontId="94" fillId="12" borderId="0" xfId="17" applyNumberFormat="1" applyFont="1" applyFill="1" applyAlignment="1" applyProtection="1">
      <alignment horizontal="center" vertical="center"/>
      <protection locked="0"/>
    </xf>
    <xf numFmtId="195" fontId="94" fillId="5" borderId="0" xfId="17" applyFont="1" applyFill="1" applyAlignment="1" applyProtection="1">
      <alignment horizontal="center" vertical="center"/>
      <protection locked="0"/>
    </xf>
    <xf numFmtId="0" fontId="93" fillId="5" borderId="10" xfId="17" applyNumberFormat="1" applyFont="1" applyFill="1" applyBorder="1" applyAlignment="1" applyProtection="1">
      <alignment vertical="center"/>
    </xf>
    <xf numFmtId="0" fontId="93" fillId="5" borderId="2" xfId="17" applyNumberFormat="1" applyFont="1" applyFill="1" applyBorder="1" applyAlignment="1" applyProtection="1">
      <alignment vertical="center"/>
    </xf>
    <xf numFmtId="0" fontId="93" fillId="5" borderId="0" xfId="19" applyNumberFormat="1" applyFont="1" applyFill="1" applyBorder="1" applyAlignment="1" applyProtection="1">
      <alignment vertical="center"/>
    </xf>
    <xf numFmtId="0" fontId="93" fillId="5" borderId="4" xfId="17" applyNumberFormat="1" applyFont="1" applyFill="1" applyBorder="1" applyAlignment="1" applyProtection="1">
      <alignment vertical="center"/>
    </xf>
    <xf numFmtId="0" fontId="150" fillId="5" borderId="32" xfId="17" applyNumberFormat="1" applyFont="1" applyFill="1" applyBorder="1" applyAlignment="1" applyProtection="1">
      <alignment horizontal="left" vertical="center"/>
    </xf>
    <xf numFmtId="195" fontId="97" fillId="5" borderId="19" xfId="17" applyFont="1" applyFill="1" applyBorder="1" applyAlignment="1" applyProtection="1">
      <alignment horizontal="center" vertical="center"/>
      <protection locked="0"/>
    </xf>
    <xf numFmtId="0" fontId="79" fillId="5" borderId="26" xfId="17" applyNumberFormat="1" applyFont="1" applyFill="1" applyBorder="1" applyAlignment="1" applyProtection="1">
      <alignment vertical="center" wrapText="1"/>
    </xf>
    <xf numFmtId="0" fontId="79" fillId="5" borderId="28" xfId="17" applyNumberFormat="1" applyFont="1" applyFill="1" applyBorder="1" applyAlignment="1" applyProtection="1">
      <alignment vertical="center" wrapText="1"/>
    </xf>
    <xf numFmtId="0" fontId="67" fillId="5" borderId="9" xfId="17" applyNumberFormat="1" applyFont="1" applyFill="1" applyBorder="1" applyAlignment="1" applyProtection="1">
      <alignment horizontal="center" vertical="center" wrapText="1"/>
    </xf>
    <xf numFmtId="182" fontId="67" fillId="5" borderId="0" xfId="17" applyNumberFormat="1" applyFont="1" applyFill="1" applyBorder="1" applyAlignment="1" applyProtection="1">
      <alignment vertical="center" wrapText="1"/>
      <protection locked="0"/>
    </xf>
    <xf numFmtId="195" fontId="80" fillId="5" borderId="0" xfId="17" applyFont="1" applyFill="1" applyBorder="1" applyAlignment="1" applyProtection="1">
      <alignment horizontal="center" vertical="center"/>
      <protection locked="0"/>
    </xf>
    <xf numFmtId="195" fontId="80" fillId="5" borderId="3" xfId="17" applyFont="1" applyFill="1" applyBorder="1" applyAlignment="1" applyProtection="1">
      <alignment horizontal="center" vertical="center"/>
    </xf>
    <xf numFmtId="195" fontId="80" fillId="0" borderId="0" xfId="17" applyFont="1" applyFill="1" applyAlignment="1" applyProtection="1">
      <alignment horizontal="center" vertical="center"/>
    </xf>
    <xf numFmtId="0" fontId="79" fillId="5" borderId="31" xfId="17" applyNumberFormat="1" applyFont="1" applyFill="1" applyBorder="1" applyAlignment="1" applyProtection="1">
      <alignment vertical="center" wrapText="1"/>
    </xf>
    <xf numFmtId="0" fontId="79" fillId="5" borderId="0" xfId="17" applyNumberFormat="1" applyFont="1" applyFill="1" applyBorder="1" applyAlignment="1" applyProtection="1">
      <alignment vertical="center" wrapText="1"/>
    </xf>
    <xf numFmtId="0" fontId="79" fillId="5" borderId="54" xfId="17" applyNumberFormat="1" applyFont="1" applyFill="1" applyBorder="1" applyAlignment="1" applyProtection="1">
      <alignment vertical="center" wrapText="1"/>
    </xf>
    <xf numFmtId="0" fontId="79" fillId="5" borderId="61" xfId="17" applyNumberFormat="1" applyFont="1" applyFill="1" applyBorder="1" applyAlignment="1" applyProtection="1">
      <alignment vertical="center" wrapText="1"/>
    </xf>
    <xf numFmtId="0" fontId="71" fillId="5" borderId="59" xfId="17" applyNumberFormat="1" applyFont="1" applyFill="1" applyBorder="1" applyAlignment="1" applyProtection="1">
      <alignment vertical="center" wrapText="1"/>
    </xf>
    <xf numFmtId="0" fontId="71" fillId="5" borderId="57" xfId="17" applyNumberFormat="1" applyFont="1" applyFill="1" applyBorder="1" applyAlignment="1" applyProtection="1">
      <alignment horizontal="left" vertical="center" wrapText="1"/>
    </xf>
    <xf numFmtId="0" fontId="67" fillId="5" borderId="34" xfId="17" applyNumberFormat="1" applyFont="1" applyFill="1" applyBorder="1" applyAlignment="1" applyProtection="1">
      <alignment horizontal="center" vertical="center" wrapText="1"/>
    </xf>
    <xf numFmtId="0" fontId="67" fillId="5" borderId="49" xfId="17" applyNumberFormat="1" applyFont="1" applyFill="1" applyBorder="1" applyAlignment="1" applyProtection="1">
      <alignment horizontal="center" vertical="center" wrapText="1"/>
    </xf>
    <xf numFmtId="182" fontId="67" fillId="5" borderId="0" xfId="17" applyNumberFormat="1" applyFont="1" applyFill="1" applyBorder="1" applyAlignment="1" applyProtection="1">
      <alignment horizontal="center" vertical="center" wrapText="1"/>
      <protection locked="0"/>
    </xf>
    <xf numFmtId="195" fontId="67" fillId="5" borderId="0" xfId="17" applyFont="1" applyFill="1" applyBorder="1" applyAlignment="1" applyProtection="1">
      <alignment horizontal="center" vertical="center"/>
      <protection locked="0"/>
    </xf>
    <xf numFmtId="187" fontId="67" fillId="5" borderId="5" xfId="17" applyNumberFormat="1" applyFont="1" applyFill="1" applyBorder="1" applyAlignment="1" applyProtection="1">
      <alignment horizontal="center" vertical="center"/>
    </xf>
    <xf numFmtId="49" fontId="67" fillId="5" borderId="9" xfId="17" applyNumberFormat="1" applyFont="1" applyFill="1" applyBorder="1" applyAlignment="1" applyProtection="1">
      <alignment horizontal="center" vertical="center"/>
    </xf>
    <xf numFmtId="195" fontId="67" fillId="5" borderId="3" xfId="17" applyFont="1" applyFill="1" applyBorder="1" applyAlignment="1" applyProtection="1">
      <alignment horizontal="center" vertical="center"/>
    </xf>
    <xf numFmtId="195" fontId="67" fillId="5" borderId="2" xfId="17" applyNumberFormat="1" applyFont="1" applyFill="1" applyBorder="1" applyAlignment="1" applyProtection="1">
      <alignment horizontal="center" vertical="center"/>
    </xf>
    <xf numFmtId="195" fontId="67" fillId="0" borderId="0" xfId="17" applyFont="1" applyFill="1" applyAlignment="1" applyProtection="1">
      <alignment horizontal="center" vertical="center"/>
    </xf>
    <xf numFmtId="0" fontId="71" fillId="5" borderId="64" xfId="17" applyNumberFormat="1" applyFont="1" applyFill="1" applyBorder="1" applyAlignment="1" applyProtection="1">
      <alignment vertical="center" wrapText="1"/>
    </xf>
    <xf numFmtId="0" fontId="71" fillId="5" borderId="16" xfId="17" applyNumberFormat="1" applyFont="1" applyFill="1" applyBorder="1" applyAlignment="1" applyProtection="1">
      <alignment horizontal="left" vertical="center" wrapText="1"/>
    </xf>
    <xf numFmtId="0" fontId="67" fillId="2" borderId="33" xfId="17" applyNumberFormat="1" applyFont="1" applyFill="1" applyBorder="1" applyAlignment="1" applyProtection="1">
      <alignment horizontal="center" vertical="center" wrapText="1"/>
      <protection locked="0"/>
    </xf>
    <xf numFmtId="0" fontId="71" fillId="5" borderId="87" xfId="17" applyNumberFormat="1" applyFont="1" applyFill="1" applyBorder="1" applyAlignment="1" applyProtection="1">
      <alignment vertical="center" wrapText="1"/>
    </xf>
    <xf numFmtId="0" fontId="71" fillId="5" borderId="63" xfId="17" applyNumberFormat="1" applyFont="1" applyFill="1" applyBorder="1" applyAlignment="1" applyProtection="1">
      <alignment horizontal="left" vertical="center" wrapText="1"/>
    </xf>
    <xf numFmtId="0" fontId="67" fillId="2" borderId="59" xfId="17" applyNumberFormat="1" applyFont="1" applyFill="1" applyBorder="1" applyAlignment="1" applyProtection="1">
      <alignment horizontal="center" vertical="center" wrapText="1"/>
      <protection locked="0"/>
    </xf>
    <xf numFmtId="0" fontId="67" fillId="5" borderId="7" xfId="17" applyNumberFormat="1" applyFont="1" applyFill="1" applyBorder="1" applyAlignment="1" applyProtection="1">
      <alignment horizontal="center" vertical="center" wrapText="1"/>
    </xf>
    <xf numFmtId="195" fontId="67" fillId="5" borderId="18" xfId="17" applyFont="1" applyFill="1" applyBorder="1" applyAlignment="1" applyProtection="1">
      <alignment horizontal="center" vertical="center"/>
      <protection locked="0"/>
    </xf>
    <xf numFmtId="195" fontId="67" fillId="5" borderId="2" xfId="17" applyFont="1" applyFill="1" applyBorder="1" applyAlignment="1" applyProtection="1">
      <alignment horizontal="center" vertical="center" wrapText="1"/>
    </xf>
    <xf numFmtId="195" fontId="67" fillId="5" borderId="2" xfId="17" applyFont="1" applyFill="1" applyBorder="1" applyAlignment="1" applyProtection="1">
      <alignment horizontal="center" vertical="center"/>
    </xf>
    <xf numFmtId="0" fontId="99" fillId="5" borderId="64" xfId="17" applyNumberFormat="1" applyFont="1" applyFill="1" applyBorder="1" applyAlignment="1" applyProtection="1">
      <alignment vertical="center" wrapText="1"/>
    </xf>
    <xf numFmtId="0" fontId="67" fillId="0" borderId="50" xfId="17" applyNumberFormat="1" applyFont="1" applyFill="1" applyBorder="1" applyAlignment="1" applyProtection="1">
      <alignment horizontal="center" vertical="center" wrapText="1"/>
      <protection locked="0"/>
    </xf>
    <xf numFmtId="0" fontId="67" fillId="5" borderId="12" xfId="17" applyNumberFormat="1" applyFont="1" applyFill="1" applyBorder="1" applyAlignment="1" applyProtection="1">
      <alignment horizontal="center" vertical="center" wrapText="1"/>
    </xf>
    <xf numFmtId="0" fontId="88" fillId="5" borderId="9" xfId="17" applyNumberFormat="1" applyFont="1" applyFill="1" applyBorder="1" applyAlignment="1" applyProtection="1">
      <alignment horizontal="center" vertical="center" wrapText="1"/>
    </xf>
    <xf numFmtId="182" fontId="100" fillId="5" borderId="0" xfId="17" applyNumberFormat="1" applyFont="1" applyFill="1" applyBorder="1" applyAlignment="1" applyProtection="1">
      <alignment horizontal="center" vertical="center" wrapText="1"/>
      <protection locked="0"/>
    </xf>
    <xf numFmtId="195" fontId="100" fillId="5" borderId="0" xfId="17" applyFont="1" applyFill="1" applyBorder="1" applyAlignment="1" applyProtection="1">
      <alignment horizontal="center" vertical="center"/>
      <protection locked="0"/>
    </xf>
    <xf numFmtId="195" fontId="100" fillId="5" borderId="18" xfId="17" applyFont="1" applyFill="1" applyBorder="1" applyAlignment="1" applyProtection="1">
      <alignment horizontal="center" vertical="center"/>
      <protection locked="0"/>
    </xf>
    <xf numFmtId="195" fontId="100" fillId="0" borderId="0" xfId="17" applyFont="1" applyFill="1" applyAlignment="1" applyProtection="1">
      <alignment horizontal="center" vertical="center"/>
    </xf>
    <xf numFmtId="0" fontId="79" fillId="5" borderId="64" xfId="17" applyNumberFormat="1" applyFont="1" applyFill="1" applyBorder="1" applyAlignment="1" applyProtection="1">
      <alignment vertical="center" wrapText="1"/>
    </xf>
    <xf numFmtId="0" fontId="67" fillId="0" borderId="11" xfId="17" applyNumberFormat="1" applyFont="1" applyFill="1" applyBorder="1" applyAlignment="1" applyProtection="1">
      <alignment horizontal="center" vertical="center" wrapText="1"/>
      <protection locked="0"/>
    </xf>
    <xf numFmtId="0" fontId="67" fillId="0" borderId="9" xfId="17" applyNumberFormat="1" applyFont="1" applyFill="1" applyBorder="1" applyAlignment="1" applyProtection="1">
      <alignment horizontal="center" vertical="center" wrapText="1"/>
      <protection locked="0"/>
    </xf>
    <xf numFmtId="0" fontId="88" fillId="0" borderId="9" xfId="17" applyNumberFormat="1" applyFont="1" applyFill="1" applyBorder="1" applyAlignment="1" applyProtection="1">
      <alignment horizontal="center" vertical="center" wrapText="1"/>
      <protection locked="0"/>
    </xf>
    <xf numFmtId="182" fontId="76" fillId="5" borderId="0" xfId="17" applyNumberFormat="1" applyFont="1" applyFill="1" applyBorder="1" applyAlignment="1" applyProtection="1">
      <alignment horizontal="center" vertical="center" wrapText="1"/>
      <protection locked="0"/>
    </xf>
    <xf numFmtId="195" fontId="80" fillId="5" borderId="18" xfId="17" applyFont="1" applyFill="1" applyBorder="1" applyAlignment="1" applyProtection="1">
      <alignment horizontal="center" vertical="center"/>
      <protection locked="0"/>
    </xf>
    <xf numFmtId="0" fontId="79" fillId="8" borderId="87" xfId="17" applyNumberFormat="1" applyFont="1" applyFill="1" applyBorder="1" applyAlignment="1" applyProtection="1">
      <alignment vertical="center" wrapText="1"/>
    </xf>
    <xf numFmtId="0" fontId="71" fillId="8" borderId="63" xfId="17" applyNumberFormat="1" applyFont="1" applyFill="1" applyBorder="1" applyAlignment="1" applyProtection="1">
      <alignment horizontal="left" vertical="center" wrapText="1"/>
      <protection locked="0"/>
    </xf>
    <xf numFmtId="0" fontId="67" fillId="5" borderId="63" xfId="17" applyNumberFormat="1" applyFont="1" applyFill="1" applyBorder="1" applyAlignment="1" applyProtection="1">
      <alignment horizontal="center" vertical="center" wrapText="1"/>
    </xf>
    <xf numFmtId="0" fontId="80" fillId="0" borderId="2" xfId="17" applyNumberFormat="1" applyFont="1" applyFill="1" applyBorder="1" applyAlignment="1" applyProtection="1">
      <alignment horizontal="center" vertical="center" wrapText="1"/>
      <protection locked="0"/>
    </xf>
    <xf numFmtId="0" fontId="80" fillId="0" borderId="11" xfId="17" applyNumberFormat="1" applyFont="1" applyFill="1" applyBorder="1" applyAlignment="1" applyProtection="1">
      <alignment horizontal="center" vertical="center" wrapText="1"/>
      <protection locked="0"/>
    </xf>
    <xf numFmtId="0" fontId="80" fillId="0" borderId="64" xfId="17" applyNumberFormat="1" applyFont="1" applyFill="1" applyBorder="1" applyAlignment="1" applyProtection="1">
      <alignment horizontal="center" vertical="center" wrapText="1"/>
      <protection locked="0"/>
    </xf>
    <xf numFmtId="0" fontId="80" fillId="5" borderId="12" xfId="17" applyNumberFormat="1" applyFont="1" applyFill="1" applyBorder="1" applyAlignment="1" applyProtection="1">
      <alignment horizontal="center" vertical="center" wrapText="1"/>
    </xf>
    <xf numFmtId="182" fontId="101" fillId="5" borderId="0" xfId="17" applyNumberFormat="1" applyFont="1" applyFill="1" applyBorder="1" applyAlignment="1" applyProtection="1">
      <alignment horizontal="center" vertical="center" wrapText="1"/>
      <protection locked="0"/>
    </xf>
    <xf numFmtId="0" fontId="79" fillId="8" borderId="54" xfId="17" applyNumberFormat="1" applyFont="1" applyFill="1" applyBorder="1" applyAlignment="1" applyProtection="1">
      <alignment vertical="center" wrapText="1"/>
    </xf>
    <xf numFmtId="0" fontId="71" fillId="8" borderId="66" xfId="17" applyNumberFormat="1" applyFont="1" applyFill="1" applyBorder="1" applyAlignment="1" applyProtection="1">
      <alignment horizontal="left" vertical="center" wrapText="1"/>
      <protection locked="0"/>
    </xf>
    <xf numFmtId="0" fontId="80" fillId="0" borderId="60" xfId="17" applyNumberFormat="1" applyFont="1" applyFill="1" applyBorder="1" applyAlignment="1" applyProtection="1">
      <alignment horizontal="center" vertical="center" wrapText="1"/>
      <protection locked="0"/>
    </xf>
    <xf numFmtId="0" fontId="80" fillId="5" borderId="46" xfId="17" applyNumberFormat="1" applyFont="1" applyFill="1" applyBorder="1" applyAlignment="1" applyProtection="1">
      <alignment horizontal="center" vertical="center" wrapText="1"/>
    </xf>
    <xf numFmtId="0" fontId="243" fillId="5" borderId="24" xfId="17" applyNumberFormat="1" applyFont="1" applyFill="1" applyBorder="1" applyAlignment="1" applyProtection="1">
      <alignment vertical="center" wrapText="1"/>
    </xf>
    <xf numFmtId="0" fontId="67" fillId="5" borderId="40" xfId="17" applyNumberFormat="1" applyFont="1" applyFill="1" applyBorder="1" applyAlignment="1" applyProtection="1">
      <alignment horizontal="center" vertical="center" wrapText="1"/>
    </xf>
    <xf numFmtId="0" fontId="80" fillId="5" borderId="53" xfId="17" applyNumberFormat="1" applyFont="1" applyFill="1" applyBorder="1" applyAlignment="1" applyProtection="1">
      <alignment horizontal="center" vertical="center" wrapText="1"/>
    </xf>
    <xf numFmtId="0" fontId="80" fillId="5" borderId="41" xfId="17" applyNumberFormat="1" applyFont="1" applyFill="1" applyBorder="1" applyAlignment="1" applyProtection="1">
      <alignment horizontal="center" vertical="center" wrapText="1"/>
    </xf>
    <xf numFmtId="0" fontId="80" fillId="0" borderId="58" xfId="17" applyNumberFormat="1" applyFont="1" applyFill="1" applyBorder="1" applyAlignment="1" applyProtection="1">
      <alignment horizontal="center" vertical="center" wrapText="1"/>
      <protection locked="0"/>
    </xf>
    <xf numFmtId="0" fontId="80" fillId="0" borderId="53" xfId="17" applyNumberFormat="1" applyFont="1" applyFill="1" applyBorder="1" applyAlignment="1" applyProtection="1">
      <alignment horizontal="center" vertical="center" wrapText="1"/>
      <protection locked="0"/>
    </xf>
    <xf numFmtId="195" fontId="80" fillId="5" borderId="2" xfId="17" applyFont="1" applyFill="1" applyBorder="1" applyAlignment="1" applyProtection="1">
      <alignment horizontal="center" vertical="center" wrapText="1"/>
    </xf>
    <xf numFmtId="187" fontId="80" fillId="5" borderId="5" xfId="17" applyNumberFormat="1" applyFont="1" applyFill="1" applyBorder="1" applyAlignment="1" applyProtection="1">
      <alignment horizontal="center" vertical="center"/>
    </xf>
    <xf numFmtId="49" fontId="80" fillId="5" borderId="9" xfId="17" applyNumberFormat="1" applyFont="1" applyFill="1" applyBorder="1" applyAlignment="1" applyProtection="1">
      <alignment horizontal="center" vertical="center"/>
    </xf>
    <xf numFmtId="195" fontId="80" fillId="5" borderId="2" xfId="17" applyFont="1" applyFill="1" applyBorder="1" applyAlignment="1" applyProtection="1">
      <alignment horizontal="center" vertical="center"/>
    </xf>
    <xf numFmtId="195" fontId="80" fillId="5" borderId="2" xfId="17" applyNumberFormat="1" applyFont="1" applyFill="1" applyBorder="1" applyAlignment="1" applyProtection="1">
      <alignment horizontal="center" vertical="center"/>
    </xf>
    <xf numFmtId="0" fontId="79" fillId="5" borderId="24" xfId="17" applyNumberFormat="1" applyFont="1" applyFill="1" applyBorder="1" applyAlignment="1" applyProtection="1">
      <alignment vertical="center" wrapText="1"/>
    </xf>
    <xf numFmtId="0" fontId="80" fillId="5" borderId="0" xfId="17" applyNumberFormat="1" applyFont="1" applyFill="1" applyBorder="1" applyAlignment="1" applyProtection="1">
      <alignment horizontal="center" vertical="center"/>
    </xf>
    <xf numFmtId="0" fontId="80" fillId="2" borderId="50" xfId="17" applyNumberFormat="1" applyFont="1" applyFill="1" applyBorder="1" applyAlignment="1" applyProtection="1">
      <alignment horizontal="center" vertical="center" wrapText="1"/>
      <protection locked="0"/>
    </xf>
    <xf numFmtId="0" fontId="80" fillId="5" borderId="51" xfId="17" applyNumberFormat="1" applyFont="1" applyFill="1" applyBorder="1" applyAlignment="1" applyProtection="1">
      <alignment horizontal="center" vertical="center" wrapText="1"/>
    </xf>
    <xf numFmtId="0" fontId="80" fillId="2" borderId="20" xfId="17" applyNumberFormat="1" applyFont="1" applyFill="1" applyBorder="1" applyAlignment="1" applyProtection="1">
      <alignment horizontal="center" vertical="center" wrapText="1"/>
      <protection locked="0"/>
    </xf>
    <xf numFmtId="0" fontId="80" fillId="5" borderId="52" xfId="17" applyNumberFormat="1" applyFont="1" applyFill="1" applyBorder="1" applyAlignment="1" applyProtection="1">
      <alignment horizontal="center" vertical="center" wrapText="1"/>
    </xf>
    <xf numFmtId="0" fontId="67" fillId="5" borderId="4" xfId="17" applyNumberFormat="1" applyFont="1" applyFill="1" applyBorder="1" applyAlignment="1" applyProtection="1">
      <alignment horizontal="center" vertical="center" wrapText="1"/>
    </xf>
    <xf numFmtId="0" fontId="80" fillId="5" borderId="22" xfId="17" applyNumberFormat="1" applyFont="1" applyFill="1" applyBorder="1" applyAlignment="1" applyProtection="1">
      <alignment horizontal="center" vertical="center" wrapText="1"/>
    </xf>
    <xf numFmtId="0" fontId="80" fillId="0" borderId="18" xfId="17" applyNumberFormat="1" applyFont="1" applyFill="1" applyBorder="1" applyAlignment="1" applyProtection="1">
      <alignment horizontal="center" vertical="center" wrapText="1"/>
      <protection locked="0"/>
    </xf>
    <xf numFmtId="0" fontId="80" fillId="5" borderId="25" xfId="17" applyNumberFormat="1" applyFont="1" applyFill="1" applyBorder="1" applyAlignment="1" applyProtection="1">
      <alignment horizontal="center" vertical="center" wrapText="1"/>
    </xf>
    <xf numFmtId="0" fontId="80" fillId="0" borderId="24" xfId="17" applyNumberFormat="1" applyFont="1" applyFill="1" applyBorder="1" applyAlignment="1" applyProtection="1">
      <alignment horizontal="center" vertical="center" wrapText="1"/>
      <protection locked="0"/>
    </xf>
    <xf numFmtId="0" fontId="67" fillId="5" borderId="13" xfId="17" applyNumberFormat="1" applyFont="1" applyFill="1" applyBorder="1" applyAlignment="1" applyProtection="1">
      <alignment horizontal="center" vertical="center" wrapText="1"/>
    </xf>
    <xf numFmtId="0" fontId="80" fillId="5" borderId="13" xfId="17" applyNumberFormat="1" applyFont="1" applyFill="1" applyBorder="1" applyAlignment="1" applyProtection="1">
      <alignment horizontal="center" vertical="center" wrapText="1"/>
    </xf>
    <xf numFmtId="0" fontId="88" fillId="0" borderId="11" xfId="17" applyNumberFormat="1" applyFont="1" applyFill="1" applyBorder="1" applyAlignment="1" applyProtection="1">
      <alignment horizontal="center" vertical="center" wrapText="1"/>
      <protection locked="0"/>
    </xf>
    <xf numFmtId="0" fontId="67" fillId="5" borderId="17" xfId="17" applyNumberFormat="1" applyFont="1" applyFill="1" applyBorder="1" applyAlignment="1" applyProtection="1">
      <alignment horizontal="center" vertical="center" wrapText="1"/>
    </xf>
    <xf numFmtId="0" fontId="80" fillId="5" borderId="17" xfId="17" applyNumberFormat="1" applyFont="1" applyFill="1" applyBorder="1" applyAlignment="1" applyProtection="1">
      <alignment horizontal="center" vertical="center" wrapText="1"/>
    </xf>
    <xf numFmtId="0" fontId="88" fillId="5" borderId="11" xfId="17" applyNumberFormat="1" applyFont="1" applyFill="1" applyBorder="1" applyAlignment="1" applyProtection="1">
      <alignment horizontal="center" vertical="center" wrapText="1"/>
    </xf>
    <xf numFmtId="0" fontId="71" fillId="5" borderId="31" xfId="17" applyNumberFormat="1" applyFont="1" applyFill="1" applyBorder="1" applyAlignment="1" applyProtection="1">
      <alignment vertical="center" wrapText="1"/>
    </xf>
    <xf numFmtId="0" fontId="48" fillId="5" borderId="13" xfId="17" applyNumberFormat="1" applyFont="1" applyFill="1" applyBorder="1" applyAlignment="1" applyProtection="1">
      <alignment horizontal="center" vertical="center" wrapText="1"/>
    </xf>
    <xf numFmtId="0" fontId="67" fillId="2" borderId="87" xfId="17" applyNumberFormat="1" applyFont="1" applyFill="1" applyBorder="1" applyAlignment="1" applyProtection="1">
      <alignment horizontal="center" vertical="center" wrapText="1"/>
      <protection locked="0"/>
    </xf>
    <xf numFmtId="0" fontId="67" fillId="2" borderId="19" xfId="17" applyNumberFormat="1" applyFont="1" applyFill="1" applyBorder="1" applyAlignment="1" applyProtection="1">
      <alignment horizontal="center" vertical="center" wrapText="1"/>
      <protection locked="0"/>
    </xf>
    <xf numFmtId="0" fontId="80" fillId="2" borderId="64" xfId="17" applyNumberFormat="1" applyFont="1" applyFill="1" applyBorder="1" applyAlignment="1" applyProtection="1">
      <alignment horizontal="center" vertical="center" wrapText="1"/>
      <protection locked="0"/>
    </xf>
    <xf numFmtId="0" fontId="80" fillId="2" borderId="8" xfId="17" applyNumberFormat="1" applyFont="1" applyFill="1" applyBorder="1" applyAlignment="1" applyProtection="1">
      <alignment horizontal="center" vertical="center" wrapText="1"/>
      <protection locked="0"/>
    </xf>
    <xf numFmtId="0" fontId="80" fillId="5" borderId="24" xfId="17" applyNumberFormat="1" applyFont="1" applyFill="1" applyBorder="1" applyAlignment="1" applyProtection="1">
      <alignment horizontal="center" vertical="center" wrapText="1"/>
    </xf>
    <xf numFmtId="0" fontId="102" fillId="5" borderId="9" xfId="17" applyNumberFormat="1" applyFont="1" applyFill="1" applyBorder="1" applyAlignment="1" applyProtection="1">
      <alignment horizontal="center" vertical="center" wrapText="1"/>
    </xf>
    <xf numFmtId="0" fontId="67" fillId="5" borderId="5" xfId="17" applyNumberFormat="1" applyFont="1" applyFill="1" applyBorder="1" applyAlignment="1" applyProtection="1">
      <alignment horizontal="center" vertical="center" wrapText="1"/>
    </xf>
    <xf numFmtId="0" fontId="80" fillId="5" borderId="64" xfId="17" applyNumberFormat="1" applyFont="1" applyFill="1" applyBorder="1" applyAlignment="1" applyProtection="1">
      <alignment horizontal="center" vertical="center" wrapText="1"/>
    </xf>
    <xf numFmtId="0" fontId="102" fillId="0" borderId="9" xfId="17" applyNumberFormat="1" applyFont="1" applyFill="1" applyBorder="1" applyAlignment="1" applyProtection="1">
      <alignment horizontal="center" vertical="center" wrapText="1"/>
      <protection locked="0"/>
    </xf>
    <xf numFmtId="0" fontId="67" fillId="0" borderId="5" xfId="17" applyNumberFormat="1" applyFont="1" applyFill="1" applyBorder="1" applyAlignment="1" applyProtection="1">
      <alignment horizontal="center" vertical="center" wrapText="1"/>
      <protection locked="0"/>
    </xf>
    <xf numFmtId="0" fontId="80" fillId="0" borderId="9" xfId="17" applyNumberFormat="1" applyFont="1" applyFill="1" applyBorder="1" applyAlignment="1" applyProtection="1">
      <alignment horizontal="center" vertical="center" wrapText="1"/>
      <protection locked="0"/>
    </xf>
    <xf numFmtId="0" fontId="80" fillId="5" borderId="31" xfId="17" applyNumberFormat="1" applyFont="1" applyFill="1" applyBorder="1" applyAlignment="1" applyProtection="1">
      <alignment horizontal="center" vertical="center"/>
    </xf>
    <xf numFmtId="0" fontId="80" fillId="0" borderId="5" xfId="17" applyNumberFormat="1" applyFont="1" applyFill="1" applyBorder="1" applyAlignment="1" applyProtection="1">
      <alignment horizontal="center" vertical="center"/>
      <protection locked="0"/>
    </xf>
    <xf numFmtId="0" fontId="96" fillId="5" borderId="54" xfId="17" applyNumberFormat="1" applyFont="1" applyFill="1" applyBorder="1" applyAlignment="1" applyProtection="1">
      <alignment vertical="center" textRotation="255" wrapText="1"/>
    </xf>
    <xf numFmtId="0" fontId="76" fillId="0" borderId="45" xfId="17" applyNumberFormat="1" applyFont="1" applyFill="1" applyBorder="1" applyAlignment="1" applyProtection="1">
      <alignment horizontal="center" vertical="center"/>
      <protection locked="0"/>
    </xf>
    <xf numFmtId="0" fontId="80" fillId="0" borderId="43" xfId="17" applyNumberFormat="1" applyFont="1" applyFill="1" applyBorder="1" applyAlignment="1" applyProtection="1">
      <alignment horizontal="center" vertical="center" wrapText="1"/>
      <protection locked="0"/>
    </xf>
    <xf numFmtId="0" fontId="67" fillId="5" borderId="46" xfId="17" applyNumberFormat="1" applyFont="1" applyFill="1" applyBorder="1" applyAlignment="1" applyProtection="1">
      <alignment horizontal="center" vertical="center" wrapText="1"/>
    </xf>
    <xf numFmtId="0" fontId="80" fillId="0" borderId="47" xfId="17" applyNumberFormat="1" applyFont="1" applyFill="1" applyBorder="1" applyAlignment="1" applyProtection="1">
      <alignment horizontal="center" vertical="center" wrapText="1"/>
      <protection locked="0"/>
    </xf>
    <xf numFmtId="195" fontId="76" fillId="5" borderId="0" xfId="17" applyFont="1" applyFill="1" applyBorder="1" applyAlignment="1" applyProtection="1">
      <alignment horizontal="center" vertical="center"/>
      <protection locked="0"/>
    </xf>
    <xf numFmtId="195" fontId="76" fillId="5" borderId="18" xfId="17" applyFont="1" applyFill="1" applyBorder="1" applyAlignment="1" applyProtection="1">
      <alignment horizontal="center" vertical="center"/>
      <protection locked="0"/>
    </xf>
    <xf numFmtId="187" fontId="76" fillId="5" borderId="5" xfId="17" applyNumberFormat="1" applyFont="1" applyFill="1" applyBorder="1" applyAlignment="1" applyProtection="1">
      <alignment horizontal="center" vertical="center"/>
    </xf>
    <xf numFmtId="49" fontId="76" fillId="5" borderId="9" xfId="17" applyNumberFormat="1" applyFont="1" applyFill="1" applyBorder="1" applyAlignment="1" applyProtection="1">
      <alignment horizontal="center" vertical="center"/>
    </xf>
    <xf numFmtId="195" fontId="76" fillId="5" borderId="3" xfId="17" applyFont="1" applyFill="1" applyBorder="1" applyAlignment="1" applyProtection="1">
      <alignment horizontal="center" vertical="center"/>
    </xf>
    <xf numFmtId="195" fontId="76" fillId="5" borderId="2" xfId="17" applyFont="1" applyFill="1" applyBorder="1" applyAlignment="1" applyProtection="1">
      <alignment horizontal="center" vertical="center"/>
    </xf>
    <xf numFmtId="195" fontId="76" fillId="0" borderId="0" xfId="17" applyFont="1" applyFill="1" applyAlignment="1" applyProtection="1">
      <alignment horizontal="center" vertical="center"/>
    </xf>
    <xf numFmtId="0" fontId="243" fillId="5" borderId="53" xfId="17" applyNumberFormat="1" applyFont="1" applyFill="1" applyBorder="1" applyAlignment="1" applyProtection="1">
      <alignment vertical="center" wrapText="1"/>
    </xf>
    <xf numFmtId="0" fontId="80" fillId="0" borderId="1" xfId="17" applyNumberFormat="1" applyFont="1" applyFill="1" applyBorder="1" applyAlignment="1" applyProtection="1">
      <alignment horizontal="center" vertical="center" wrapText="1"/>
      <protection locked="0"/>
    </xf>
    <xf numFmtId="0" fontId="80" fillId="5" borderId="7" xfId="17" applyNumberFormat="1" applyFont="1" applyFill="1" applyBorder="1" applyAlignment="1" applyProtection="1">
      <alignment horizontal="center" vertical="center" wrapText="1"/>
    </xf>
    <xf numFmtId="0" fontId="80" fillId="0" borderId="6" xfId="17" applyNumberFormat="1" applyFont="1" applyFill="1" applyBorder="1" applyAlignment="1" applyProtection="1">
      <alignment horizontal="center" vertical="center" wrapText="1"/>
      <protection locked="0"/>
    </xf>
    <xf numFmtId="0" fontId="79" fillId="5" borderId="24" xfId="17" applyNumberFormat="1" applyFont="1" applyFill="1" applyBorder="1" applyAlignment="1" applyProtection="1">
      <alignment vertical="center" textRotation="255" wrapText="1"/>
    </xf>
    <xf numFmtId="0" fontId="80" fillId="2" borderId="11" xfId="17" applyNumberFormat="1" applyFont="1" applyFill="1" applyBorder="1" applyAlignment="1" applyProtection="1">
      <alignment horizontal="center" vertical="center" wrapText="1"/>
      <protection locked="0"/>
    </xf>
    <xf numFmtId="0" fontId="71" fillId="5" borderId="24" xfId="17" applyNumberFormat="1" applyFont="1" applyFill="1" applyBorder="1" applyAlignment="1" applyProtection="1">
      <alignment vertical="center" textRotation="255" wrapText="1"/>
    </xf>
    <xf numFmtId="0" fontId="48" fillId="5" borderId="5" xfId="17" applyNumberFormat="1" applyFont="1" applyFill="1" applyBorder="1" applyAlignment="1" applyProtection="1">
      <alignment horizontal="center" vertical="center" wrapText="1"/>
    </xf>
    <xf numFmtId="0" fontId="67" fillId="2" borderId="64" xfId="17" applyNumberFormat="1" applyFont="1" applyFill="1" applyBorder="1" applyAlignment="1" applyProtection="1">
      <alignment horizontal="center" vertical="center" wrapText="1"/>
      <protection locked="0"/>
    </xf>
    <xf numFmtId="0" fontId="96" fillId="5" borderId="24" xfId="17" applyNumberFormat="1" applyFont="1" applyFill="1" applyBorder="1" applyAlignment="1" applyProtection="1">
      <alignment vertical="center" textRotation="255" wrapText="1"/>
    </xf>
    <xf numFmtId="0" fontId="76" fillId="0" borderId="60" xfId="17" applyNumberFormat="1" applyFont="1" applyFill="1" applyBorder="1" applyAlignment="1" applyProtection="1">
      <alignment horizontal="center" vertical="center" wrapText="1"/>
      <protection locked="0"/>
    </xf>
    <xf numFmtId="0" fontId="103" fillId="5" borderId="9" xfId="17" applyNumberFormat="1" applyFont="1" applyFill="1" applyBorder="1" applyAlignment="1" applyProtection="1">
      <alignment horizontal="center" vertical="center" wrapText="1"/>
    </xf>
    <xf numFmtId="0" fontId="79" fillId="5" borderId="59" xfId="17" applyNumberFormat="1" applyFont="1" applyFill="1" applyBorder="1" applyAlignment="1" applyProtection="1">
      <alignment vertical="center"/>
    </xf>
    <xf numFmtId="0" fontId="79" fillId="2" borderId="7" xfId="17" applyNumberFormat="1" applyFont="1" applyFill="1" applyBorder="1" applyAlignment="1" applyProtection="1">
      <alignment vertical="center"/>
      <protection locked="0"/>
    </xf>
    <xf numFmtId="0" fontId="79" fillId="5" borderId="30" xfId="17" applyNumberFormat="1" applyFont="1" applyFill="1" applyBorder="1" applyAlignment="1" applyProtection="1">
      <alignment horizontal="right" vertical="center" wrapText="1"/>
    </xf>
    <xf numFmtId="0" fontId="79" fillId="5" borderId="57" xfId="17" applyNumberFormat="1" applyFont="1" applyFill="1" applyBorder="1" applyAlignment="1" applyProtection="1">
      <alignment vertical="center" wrapText="1"/>
    </xf>
    <xf numFmtId="0" fontId="104" fillId="3" borderId="30" xfId="17" applyNumberFormat="1" applyFont="1" applyFill="1" applyBorder="1" applyAlignment="1" applyProtection="1">
      <alignment vertical="center" wrapText="1"/>
      <protection locked="0"/>
    </xf>
    <xf numFmtId="0" fontId="104" fillId="5" borderId="30" xfId="17" applyNumberFormat="1" applyFont="1" applyFill="1" applyBorder="1" applyAlignment="1" applyProtection="1">
      <alignment vertical="center" wrapText="1"/>
    </xf>
    <xf numFmtId="0" fontId="104" fillId="3" borderId="59" xfId="17" applyNumberFormat="1" applyFont="1" applyFill="1" applyBorder="1" applyAlignment="1" applyProtection="1">
      <alignment vertical="center" wrapText="1"/>
      <protection locked="0"/>
    </xf>
    <xf numFmtId="0" fontId="104" fillId="5" borderId="57" xfId="17" applyNumberFormat="1" applyFont="1" applyFill="1" applyBorder="1" applyAlignment="1" applyProtection="1">
      <alignment vertical="center" wrapText="1"/>
    </xf>
    <xf numFmtId="0" fontId="80" fillId="3" borderId="9" xfId="17" applyNumberFormat="1" applyFont="1" applyFill="1" applyBorder="1" applyAlignment="1" applyProtection="1">
      <alignment horizontal="center" vertical="center"/>
    </xf>
    <xf numFmtId="182" fontId="80" fillId="5" borderId="0" xfId="17" applyNumberFormat="1" applyFont="1" applyFill="1" applyBorder="1" applyAlignment="1" applyProtection="1">
      <alignment vertical="center" wrapText="1"/>
      <protection locked="0"/>
    </xf>
    <xf numFmtId="195" fontId="80" fillId="5" borderId="0" xfId="17" applyFont="1" applyFill="1" applyAlignment="1" applyProtection="1">
      <alignment horizontal="center" vertical="center"/>
      <protection locked="0"/>
    </xf>
    <xf numFmtId="195" fontId="80" fillId="5" borderId="0" xfId="17" applyFont="1" applyFill="1" applyAlignment="1" applyProtection="1">
      <alignment horizontal="center" vertical="center"/>
    </xf>
    <xf numFmtId="195" fontId="80" fillId="5" borderId="21" xfId="17" applyFont="1" applyFill="1" applyBorder="1" applyAlignment="1" applyProtection="1">
      <alignment vertical="center" textRotation="255" wrapText="1"/>
    </xf>
    <xf numFmtId="0" fontId="79" fillId="5" borderId="60" xfId="17" applyNumberFormat="1" applyFont="1" applyFill="1" applyBorder="1" applyAlignment="1" applyProtection="1">
      <alignment vertical="center"/>
    </xf>
    <xf numFmtId="0" fontId="79" fillId="5" borderId="48" xfId="17" applyNumberFormat="1" applyFont="1" applyFill="1" applyBorder="1" applyAlignment="1" applyProtection="1">
      <alignment vertical="center"/>
    </xf>
    <xf numFmtId="0" fontId="79" fillId="5" borderId="56" xfId="17" applyNumberFormat="1" applyFont="1" applyFill="1" applyBorder="1" applyAlignment="1" applyProtection="1">
      <alignment vertical="center" wrapText="1"/>
    </xf>
    <xf numFmtId="0" fontId="91" fillId="16" borderId="48" xfId="17" applyNumberFormat="1" applyFont="1" applyFill="1" applyBorder="1" applyAlignment="1" applyProtection="1">
      <alignment horizontal="left" vertical="center" wrapText="1"/>
      <protection locked="0"/>
    </xf>
    <xf numFmtId="0" fontId="79" fillId="16" borderId="48" xfId="17" applyNumberFormat="1" applyFont="1" applyFill="1" applyBorder="1" applyAlignment="1" applyProtection="1">
      <alignment horizontal="left" vertical="center" wrapText="1"/>
      <protection locked="0"/>
    </xf>
    <xf numFmtId="0" fontId="79" fillId="5" borderId="60" xfId="17" applyNumberFormat="1" applyFont="1" applyFill="1" applyBorder="1" applyAlignment="1" applyProtection="1">
      <alignment vertical="center" wrapText="1"/>
    </xf>
    <xf numFmtId="0" fontId="80" fillId="5" borderId="16" xfId="17" applyNumberFormat="1" applyFont="1" applyFill="1" applyBorder="1" applyAlignment="1" applyProtection="1">
      <alignment horizontal="left" vertical="center" wrapText="1"/>
    </xf>
    <xf numFmtId="0" fontId="79" fillId="0" borderId="54" xfId="17" applyNumberFormat="1" applyFont="1" applyFill="1" applyBorder="1" applyAlignment="1" applyProtection="1">
      <alignment vertical="center"/>
      <protection locked="0"/>
    </xf>
    <xf numFmtId="0" fontId="79" fillId="0" borderId="66" xfId="17" applyNumberFormat="1" applyFont="1" applyFill="1" applyBorder="1" applyAlignment="1" applyProtection="1">
      <alignment vertical="center"/>
      <protection locked="0"/>
    </xf>
    <xf numFmtId="0" fontId="80" fillId="3" borderId="2" xfId="17" applyNumberFormat="1" applyFont="1" applyFill="1" applyBorder="1" applyAlignment="1" applyProtection="1">
      <alignment horizontal="center" vertical="center" wrapText="1"/>
    </xf>
    <xf numFmtId="195" fontId="80" fillId="12" borderId="0" xfId="17" applyFont="1" applyFill="1" applyAlignment="1" applyProtection="1">
      <alignment horizontal="center" vertical="center"/>
      <protection locked="0"/>
    </xf>
    <xf numFmtId="9" fontId="80" fillId="12" borderId="0" xfId="17" applyNumberFormat="1" applyFont="1" applyFill="1" applyAlignment="1" applyProtection="1">
      <alignment horizontal="center" vertical="center"/>
      <protection locked="0"/>
    </xf>
    <xf numFmtId="188" fontId="80" fillId="12" borderId="0" xfId="17" applyNumberFormat="1" applyFont="1" applyFill="1" applyAlignment="1" applyProtection="1">
      <alignment horizontal="center" vertical="center"/>
      <protection locked="0"/>
    </xf>
    <xf numFmtId="182" fontId="80" fillId="5" borderId="0" xfId="17" applyNumberFormat="1" applyFont="1" applyFill="1" applyAlignment="1" applyProtection="1">
      <alignment horizontal="center" vertical="center"/>
      <protection locked="0"/>
    </xf>
    <xf numFmtId="195" fontId="79" fillId="5" borderId="2" xfId="17" applyFont="1" applyFill="1" applyBorder="1" applyAlignment="1" applyProtection="1">
      <alignment horizontal="left" vertical="center"/>
    </xf>
    <xf numFmtId="195" fontId="79" fillId="5" borderId="2" xfId="17" applyFont="1" applyFill="1" applyBorder="1" applyAlignment="1" applyProtection="1">
      <alignment horizontal="center" vertical="center" wrapText="1"/>
    </xf>
    <xf numFmtId="182" fontId="80" fillId="5" borderId="5" xfId="17" applyNumberFormat="1" applyFont="1" applyFill="1" applyBorder="1" applyAlignment="1" applyProtection="1">
      <alignment horizontal="center" vertical="center"/>
    </xf>
    <xf numFmtId="182" fontId="80" fillId="5" borderId="9" xfId="17" applyNumberFormat="1" applyFont="1" applyFill="1" applyBorder="1" applyAlignment="1" applyProtection="1">
      <alignment vertical="center"/>
    </xf>
    <xf numFmtId="195" fontId="79" fillId="5" borderId="9" xfId="17" applyFont="1" applyFill="1" applyBorder="1" applyAlignment="1" applyProtection="1">
      <alignment horizontal="center" vertical="center" wrapText="1"/>
    </xf>
    <xf numFmtId="195" fontId="101" fillId="12" borderId="0" xfId="17" applyFont="1" applyFill="1" applyAlignment="1" applyProtection="1">
      <alignment horizontal="center" vertical="center"/>
      <protection locked="0"/>
    </xf>
    <xf numFmtId="188" fontId="101" fillId="12" borderId="0" xfId="17" applyNumberFormat="1" applyFont="1" applyFill="1" applyAlignment="1" applyProtection="1">
      <alignment horizontal="center" vertical="center"/>
      <protection locked="0"/>
    </xf>
    <xf numFmtId="182" fontId="101" fillId="5" borderId="0" xfId="17" applyNumberFormat="1" applyFont="1" applyFill="1" applyAlignment="1" applyProtection="1">
      <alignment horizontal="center" vertical="center"/>
      <protection locked="0"/>
    </xf>
    <xf numFmtId="195" fontId="101" fillId="5" borderId="0" xfId="17" applyFont="1" applyFill="1" applyAlignment="1" applyProtection="1">
      <alignment horizontal="center" vertical="center"/>
      <protection locked="0"/>
    </xf>
    <xf numFmtId="195" fontId="101" fillId="0" borderId="0" xfId="17" applyFont="1" applyFill="1" applyAlignment="1" applyProtection="1">
      <alignment horizontal="center" vertical="center"/>
    </xf>
    <xf numFmtId="14" fontId="80" fillId="12" borderId="0" xfId="17" applyNumberFormat="1" applyFont="1" applyFill="1" applyAlignment="1" applyProtection="1">
      <alignment horizontal="center" vertical="center"/>
      <protection locked="0"/>
    </xf>
    <xf numFmtId="177" fontId="80" fillId="5" borderId="0" xfId="17" applyNumberFormat="1" applyFont="1" applyFill="1" applyAlignment="1" applyProtection="1">
      <alignment horizontal="center" vertical="center"/>
      <protection locked="0"/>
    </xf>
    <xf numFmtId="14" fontId="80" fillId="5" borderId="1" xfId="17" applyNumberFormat="1" applyFont="1" applyFill="1" applyBorder="1" applyAlignment="1" applyProtection="1">
      <alignment horizontal="left" vertical="center"/>
    </xf>
    <xf numFmtId="177" fontId="80" fillId="5" borderId="6" xfId="17" applyNumberFormat="1" applyFont="1" applyFill="1" applyBorder="1" applyAlignment="1" applyProtection="1">
      <alignment horizontal="center" vertical="center"/>
    </xf>
    <xf numFmtId="195" fontId="20" fillId="6" borderId="6" xfId="17" applyFont="1" applyFill="1" applyBorder="1" applyAlignment="1" applyProtection="1">
      <alignment horizontal="center" vertical="center"/>
      <protection locked="0"/>
    </xf>
    <xf numFmtId="195" fontId="140" fillId="5" borderId="28" xfId="17" applyFont="1" applyFill="1" applyBorder="1" applyAlignment="1" applyProtection="1">
      <alignment horizontal="center" vertical="center" wrapText="1"/>
      <protection locked="0"/>
    </xf>
    <xf numFmtId="195" fontId="80" fillId="5" borderId="6" xfId="17" applyFont="1" applyFill="1" applyBorder="1" applyAlignment="1" applyProtection="1">
      <alignment horizontal="center" vertical="center"/>
    </xf>
    <xf numFmtId="195" fontId="80" fillId="5" borderId="29" xfId="17" applyFont="1" applyFill="1" applyBorder="1" applyAlignment="1" applyProtection="1">
      <alignment horizontal="center" vertical="center"/>
    </xf>
    <xf numFmtId="195" fontId="155" fillId="5" borderId="9" xfId="17" applyFont="1" applyFill="1" applyBorder="1" applyAlignment="1" applyProtection="1">
      <alignment horizontal="center" vertical="center"/>
    </xf>
    <xf numFmtId="195" fontId="155" fillId="5" borderId="2" xfId="17" applyFont="1" applyFill="1" applyBorder="1" applyAlignment="1" applyProtection="1">
      <alignment horizontal="center" vertical="center"/>
    </xf>
    <xf numFmtId="195" fontId="198" fillId="5" borderId="0" xfId="17" applyFont="1" applyFill="1" applyAlignment="1" applyProtection="1">
      <alignment horizontal="left" vertical="center"/>
      <protection locked="0"/>
    </xf>
    <xf numFmtId="195" fontId="82" fillId="5" borderId="11" xfId="17" applyFont="1" applyFill="1" applyBorder="1" applyAlignment="1" applyProtection="1"/>
    <xf numFmtId="185" fontId="82" fillId="5" borderId="2" xfId="19" applyNumberFormat="1" applyFont="1" applyFill="1" applyBorder="1" applyAlignment="1" applyProtection="1">
      <alignment horizontal="center"/>
    </xf>
    <xf numFmtId="195" fontId="82" fillId="5" borderId="2" xfId="17" applyFont="1" applyFill="1" applyBorder="1" applyAlignment="1" applyProtection="1">
      <alignment horizontal="center"/>
    </xf>
    <xf numFmtId="195" fontId="105" fillId="5" borderId="2" xfId="17" applyFont="1" applyFill="1" applyBorder="1" applyAlignment="1" applyProtection="1">
      <alignment horizontal="center" vertical="center"/>
      <protection locked="0"/>
    </xf>
    <xf numFmtId="178" fontId="82" fillId="5" borderId="5" xfId="19" applyNumberFormat="1" applyFont="1" applyFill="1" applyBorder="1" applyAlignment="1" applyProtection="1">
      <alignment horizontal="center"/>
    </xf>
    <xf numFmtId="195" fontId="148" fillId="5" borderId="9" xfId="17" applyFont="1" applyFill="1" applyBorder="1" applyAlignment="1" applyProtection="1">
      <alignment horizontal="center" vertical="center"/>
    </xf>
    <xf numFmtId="195" fontId="148" fillId="5" borderId="2" xfId="17" applyFont="1" applyFill="1" applyBorder="1" applyAlignment="1" applyProtection="1">
      <alignment horizontal="center" vertical="center"/>
    </xf>
    <xf numFmtId="195" fontId="105" fillId="12" borderId="0" xfId="17" applyFont="1" applyFill="1" applyAlignment="1" applyProtection="1">
      <alignment horizontal="center" vertical="center"/>
      <protection locked="0"/>
    </xf>
    <xf numFmtId="195" fontId="105" fillId="5" borderId="0" xfId="17" applyFont="1" applyFill="1" applyAlignment="1" applyProtection="1">
      <alignment horizontal="center" vertical="center"/>
      <protection locked="0"/>
    </xf>
    <xf numFmtId="195" fontId="105" fillId="0" borderId="0" xfId="17" applyFont="1" applyFill="1" applyAlignment="1" applyProtection="1">
      <alignment horizontal="center" vertical="center"/>
    </xf>
    <xf numFmtId="195" fontId="82" fillId="5" borderId="11" xfId="19" applyFont="1" applyFill="1" applyBorder="1" applyAlignment="1" applyProtection="1"/>
    <xf numFmtId="195" fontId="82" fillId="5" borderId="2" xfId="19" applyFont="1" applyFill="1" applyBorder="1" applyAlignment="1" applyProtection="1">
      <alignment horizontal="center"/>
    </xf>
    <xf numFmtId="195" fontId="82" fillId="5" borderId="2" xfId="17" applyFont="1" applyFill="1" applyBorder="1" applyAlignment="1" applyProtection="1">
      <alignment horizontal="center" vertical="center" wrapText="1"/>
    </xf>
    <xf numFmtId="9" fontId="105" fillId="6" borderId="2" xfId="17" applyNumberFormat="1" applyFont="1" applyFill="1" applyBorder="1" applyAlignment="1" applyProtection="1">
      <alignment horizontal="center" vertical="center"/>
      <protection locked="0"/>
    </xf>
    <xf numFmtId="180" fontId="82" fillId="0" borderId="2" xfId="19" applyNumberFormat="1" applyFont="1" applyFill="1" applyBorder="1" applyAlignment="1" applyProtection="1">
      <alignment horizontal="center"/>
      <protection locked="0"/>
    </xf>
    <xf numFmtId="195" fontId="148" fillId="5" borderId="22" xfId="17" applyFont="1" applyFill="1" applyBorder="1" applyAlignment="1" applyProtection="1">
      <alignment vertical="center"/>
    </xf>
    <xf numFmtId="195" fontId="148" fillId="5" borderId="12" xfId="17" applyNumberFormat="1" applyFont="1" applyFill="1" applyBorder="1" applyAlignment="1" applyProtection="1">
      <alignment horizontal="center" vertical="center"/>
    </xf>
    <xf numFmtId="195" fontId="148" fillId="0" borderId="2" xfId="17" applyFont="1" applyFill="1" applyBorder="1" applyAlignment="1" applyProtection="1">
      <alignment horizontal="center" vertical="center"/>
      <protection locked="0"/>
    </xf>
    <xf numFmtId="195" fontId="148" fillId="5" borderId="24" xfId="17" applyFont="1" applyFill="1" applyBorder="1" applyAlignment="1" applyProtection="1">
      <alignment vertical="center"/>
    </xf>
    <xf numFmtId="49" fontId="148" fillId="5" borderId="12" xfId="17" applyNumberFormat="1" applyFont="1" applyFill="1" applyBorder="1" applyAlignment="1" applyProtection="1">
      <alignment horizontal="center" vertical="center"/>
    </xf>
    <xf numFmtId="195" fontId="39" fillId="5" borderId="11" xfId="19" applyFont="1" applyFill="1" applyBorder="1" applyAlignment="1" applyProtection="1"/>
    <xf numFmtId="180" fontId="82" fillId="5" borderId="2" xfId="19" applyNumberFormat="1" applyFont="1" applyFill="1" applyBorder="1" applyAlignment="1" applyProtection="1">
      <alignment horizontal="center"/>
    </xf>
    <xf numFmtId="195" fontId="148" fillId="5" borderId="11" xfId="17" applyFont="1" applyFill="1" applyBorder="1" applyAlignment="1" applyProtection="1">
      <alignment horizontal="center" vertical="center"/>
    </xf>
    <xf numFmtId="195" fontId="105" fillId="6" borderId="11" xfId="17" applyFont="1" applyFill="1" applyBorder="1" applyAlignment="1" applyProtection="1">
      <alignment horizontal="center" vertical="center"/>
      <protection locked="0"/>
    </xf>
    <xf numFmtId="195" fontId="148" fillId="5" borderId="43" xfId="17" applyFont="1" applyFill="1" applyBorder="1" applyAlignment="1" applyProtection="1">
      <alignment horizontal="center" vertical="center"/>
    </xf>
    <xf numFmtId="49" fontId="148" fillId="5" borderId="46" xfId="17" applyNumberFormat="1" applyFont="1" applyFill="1" applyBorder="1" applyAlignment="1" applyProtection="1">
      <alignment horizontal="center" vertical="center"/>
    </xf>
    <xf numFmtId="195" fontId="91" fillId="5" borderId="43" xfId="19" applyFont="1" applyFill="1" applyBorder="1" applyAlignment="1" applyProtection="1"/>
    <xf numFmtId="195" fontId="82" fillId="5" borderId="44" xfId="17" applyFont="1" applyFill="1" applyBorder="1" applyAlignment="1" applyProtection="1">
      <alignment horizontal="center"/>
    </xf>
    <xf numFmtId="178" fontId="91" fillId="5" borderId="46" xfId="17" applyNumberFormat="1" applyFont="1" applyFill="1" applyBorder="1" applyAlignment="1" applyProtection="1">
      <alignment horizontal="center"/>
    </xf>
    <xf numFmtId="195" fontId="82" fillId="5" borderId="0" xfId="17" applyFont="1" applyFill="1" applyAlignment="1" applyProtection="1">
      <protection locked="0"/>
    </xf>
    <xf numFmtId="195" fontId="82" fillId="12" borderId="0" xfId="17" applyFont="1" applyFill="1" applyAlignment="1" applyProtection="1">
      <protection locked="0"/>
    </xf>
    <xf numFmtId="14" fontId="80" fillId="5" borderId="0" xfId="17" applyNumberFormat="1" applyFont="1" applyFill="1" applyAlignment="1" applyProtection="1">
      <alignment horizontal="center" vertical="center"/>
      <protection locked="0"/>
    </xf>
    <xf numFmtId="188" fontId="80" fillId="5" borderId="0" xfId="17" applyNumberFormat="1" applyFont="1" applyFill="1" applyAlignment="1" applyProtection="1">
      <alignment horizontal="center" vertical="center"/>
      <protection locked="0"/>
    </xf>
    <xf numFmtId="177" fontId="80" fillId="5" borderId="0" xfId="17" applyNumberFormat="1" applyFont="1" applyFill="1" applyAlignment="1" applyProtection="1">
      <alignment horizontal="center" vertical="center"/>
    </xf>
    <xf numFmtId="14" fontId="80" fillId="5" borderId="0" xfId="17" applyNumberFormat="1" applyFont="1" applyFill="1" applyAlignment="1" applyProtection="1">
      <alignment horizontal="center" vertical="center"/>
    </xf>
    <xf numFmtId="195" fontId="106" fillId="5" borderId="0" xfId="17" applyFont="1" applyFill="1" applyBorder="1" applyAlignment="1" applyProtection="1"/>
    <xf numFmtId="195" fontId="80" fillId="5" borderId="0" xfId="17" applyFont="1" applyFill="1" applyBorder="1" applyAlignment="1" applyProtection="1"/>
    <xf numFmtId="195" fontId="80" fillId="5" borderId="0" xfId="17" applyFont="1" applyFill="1" applyBorder="1" applyAlignment="1" applyProtection="1">
      <alignment horizontal="center"/>
    </xf>
    <xf numFmtId="188" fontId="80" fillId="5" borderId="0" xfId="17" applyNumberFormat="1" applyFont="1" applyFill="1" applyBorder="1" applyAlignment="1" applyProtection="1">
      <alignment horizontal="center"/>
    </xf>
    <xf numFmtId="182" fontId="80" fillId="5" borderId="0" xfId="17" applyNumberFormat="1" applyFont="1" applyFill="1" applyBorder="1" applyAlignment="1" applyProtection="1"/>
    <xf numFmtId="195" fontId="80" fillId="5" borderId="0" xfId="17" applyFont="1" applyFill="1" applyBorder="1" applyAlignment="1" applyProtection="1">
      <protection locked="0"/>
    </xf>
    <xf numFmtId="9" fontId="67" fillId="5" borderId="0" xfId="17" applyNumberFormat="1" applyFont="1" applyFill="1" applyBorder="1" applyAlignment="1" applyProtection="1">
      <alignment horizontal="center" vertical="center" wrapText="1"/>
      <protection locked="0"/>
    </xf>
    <xf numFmtId="195" fontId="45" fillId="5" borderId="26" xfId="17" applyNumberFormat="1" applyFont="1" applyFill="1" applyBorder="1" applyAlignment="1" applyProtection="1">
      <alignment vertical="center"/>
    </xf>
    <xf numFmtId="195" fontId="71" fillId="5" borderId="58" xfId="17" applyNumberFormat="1" applyFont="1" applyFill="1" applyBorder="1" applyAlignment="1" applyProtection="1">
      <alignment vertical="center" wrapText="1"/>
    </xf>
    <xf numFmtId="195" fontId="67" fillId="5" borderId="42" xfId="17" applyNumberFormat="1" applyFont="1" applyFill="1" applyBorder="1" applyAlignment="1" applyProtection="1">
      <alignment horizontal="center" vertical="center" wrapText="1"/>
    </xf>
    <xf numFmtId="49" fontId="67" fillId="5" borderId="0" xfId="17" applyNumberFormat="1" applyFont="1" applyFill="1" applyBorder="1" applyAlignment="1" applyProtection="1">
      <alignment horizontal="center" vertical="center" wrapText="1"/>
      <protection locked="0"/>
    </xf>
    <xf numFmtId="49" fontId="67" fillId="5" borderId="0" xfId="17" applyNumberFormat="1" applyFont="1" applyFill="1" applyBorder="1" applyAlignment="1" applyProtection="1">
      <alignment horizontal="center" vertical="center"/>
      <protection locked="0"/>
    </xf>
    <xf numFmtId="49" fontId="67" fillId="5" borderId="0" xfId="17" applyNumberFormat="1" applyFont="1" applyFill="1" applyAlignment="1" applyProtection="1">
      <alignment horizontal="center" vertical="center"/>
      <protection locked="0"/>
    </xf>
    <xf numFmtId="49" fontId="67" fillId="0" borderId="0" xfId="17" applyNumberFormat="1" applyFont="1" applyFill="1" applyAlignment="1" applyProtection="1">
      <alignment horizontal="center" vertical="center"/>
    </xf>
    <xf numFmtId="195" fontId="45" fillId="5" borderId="11" xfId="17" applyNumberFormat="1" applyFont="1" applyFill="1" applyBorder="1" applyAlignment="1" applyProtection="1">
      <alignment horizontal="center" vertical="center" wrapText="1"/>
    </xf>
    <xf numFmtId="10" fontId="71" fillId="5" borderId="2" xfId="17" applyNumberFormat="1" applyFont="1" applyFill="1" applyBorder="1" applyAlignment="1" applyProtection="1">
      <alignment horizontal="center" vertical="center" wrapText="1"/>
    </xf>
    <xf numFmtId="195" fontId="67" fillId="5" borderId="2" xfId="17" applyNumberFormat="1" applyFont="1" applyFill="1" applyBorder="1" applyAlignment="1" applyProtection="1">
      <alignment horizontal="center" vertical="center" wrapText="1"/>
    </xf>
    <xf numFmtId="195" fontId="67" fillId="0" borderId="2" xfId="17" applyNumberFormat="1" applyFont="1" applyFill="1" applyBorder="1" applyAlignment="1" applyProtection="1">
      <alignment horizontal="center" vertical="center" wrapText="1"/>
      <protection locked="0"/>
    </xf>
    <xf numFmtId="195" fontId="67" fillId="5" borderId="0" xfId="17" applyNumberFormat="1" applyFont="1" applyFill="1" applyBorder="1" applyAlignment="1" applyProtection="1">
      <alignment horizontal="center" vertical="center" wrapText="1"/>
      <protection locked="0"/>
    </xf>
    <xf numFmtId="195" fontId="67" fillId="5" borderId="0" xfId="17" applyFont="1" applyFill="1" applyAlignment="1" applyProtection="1">
      <alignment horizontal="center" vertical="center"/>
      <protection locked="0"/>
    </xf>
    <xf numFmtId="195" fontId="71" fillId="5" borderId="54" xfId="17" applyNumberFormat="1" applyFont="1" applyFill="1" applyBorder="1" applyAlignment="1" applyProtection="1">
      <alignment vertical="center"/>
    </xf>
    <xf numFmtId="195" fontId="71" fillId="5" borderId="67" xfId="17" applyNumberFormat="1" applyFont="1" applyFill="1" applyBorder="1" applyAlignment="1" applyProtection="1">
      <alignment vertical="center" wrapText="1"/>
    </xf>
    <xf numFmtId="180" fontId="67" fillId="0" borderId="67" xfId="17" applyNumberFormat="1" applyFont="1" applyFill="1" applyBorder="1" applyAlignment="1" applyProtection="1">
      <alignment horizontal="center" vertical="center" wrapText="1"/>
      <protection locked="0"/>
    </xf>
    <xf numFmtId="180" fontId="67" fillId="0" borderId="55" xfId="17" applyNumberFormat="1" applyFont="1" applyFill="1" applyBorder="1" applyAlignment="1" applyProtection="1">
      <alignment horizontal="center" vertical="center" wrapText="1"/>
      <protection locked="0"/>
    </xf>
    <xf numFmtId="195" fontId="71" fillId="5" borderId="13" xfId="17" applyNumberFormat="1" applyFont="1" applyFill="1" applyBorder="1" applyAlignment="1" applyProtection="1">
      <alignment vertical="center" wrapText="1"/>
    </xf>
    <xf numFmtId="195" fontId="71" fillId="5" borderId="18" xfId="17" applyNumberFormat="1" applyFont="1" applyFill="1" applyBorder="1" applyAlignment="1" applyProtection="1">
      <alignment vertical="center" wrapText="1"/>
    </xf>
    <xf numFmtId="195" fontId="67" fillId="5" borderId="20" xfId="17" applyNumberFormat="1" applyFont="1" applyFill="1" applyBorder="1" applyAlignment="1" applyProtection="1">
      <alignment horizontal="center" vertical="center" wrapText="1"/>
    </xf>
    <xf numFmtId="195" fontId="67" fillId="0" borderId="21" xfId="17" applyNumberFormat="1" applyFont="1" applyFill="1" applyBorder="1" applyAlignment="1" applyProtection="1">
      <alignment horizontal="center" vertical="center" wrapText="1"/>
      <protection locked="0"/>
    </xf>
    <xf numFmtId="195" fontId="67" fillId="0" borderId="21" xfId="17" applyNumberFormat="1" applyFont="1" applyFill="1" applyBorder="1" applyAlignment="1" applyProtection="1">
      <alignment horizontal="left" vertical="center" wrapText="1"/>
      <protection locked="0"/>
    </xf>
    <xf numFmtId="195" fontId="67" fillId="0" borderId="51" xfId="17" applyNumberFormat="1" applyFont="1" applyFill="1" applyBorder="1" applyAlignment="1" applyProtection="1">
      <alignment horizontal="center" vertical="center" wrapText="1"/>
      <protection locked="0"/>
    </xf>
    <xf numFmtId="195" fontId="67" fillId="12" borderId="0" xfId="17" applyNumberFormat="1" applyFont="1" applyFill="1" applyBorder="1" applyAlignment="1" applyProtection="1">
      <alignment horizontal="center" vertical="center" wrapText="1"/>
      <protection locked="0"/>
    </xf>
    <xf numFmtId="195" fontId="145" fillId="5" borderId="0" xfId="17" applyFont="1" applyFill="1" applyBorder="1" applyAlignment="1" applyProtection="1">
      <alignment vertical="center"/>
      <protection locked="0"/>
    </xf>
    <xf numFmtId="195" fontId="67" fillId="5" borderId="32" xfId="17" applyNumberFormat="1" applyFont="1" applyFill="1" applyBorder="1" applyAlignment="1" applyProtection="1">
      <alignment horizontal="center" vertical="center" wrapText="1"/>
    </xf>
    <xf numFmtId="195" fontId="67" fillId="0" borderId="10" xfId="17" applyNumberFormat="1" applyFont="1" applyFill="1" applyBorder="1" applyAlignment="1" applyProtection="1">
      <alignment horizontal="center" vertical="center" wrapText="1"/>
      <protection locked="0"/>
    </xf>
    <xf numFmtId="195" fontId="67" fillId="0" borderId="25" xfId="17" applyNumberFormat="1" applyFont="1" applyFill="1" applyBorder="1" applyAlignment="1" applyProtection="1">
      <alignment horizontal="center" vertical="center" wrapText="1"/>
      <protection locked="0"/>
    </xf>
    <xf numFmtId="195" fontId="79" fillId="5" borderId="53" xfId="17" applyNumberFormat="1" applyFont="1" applyFill="1" applyBorder="1" applyAlignment="1" applyProtection="1">
      <alignment vertical="center" wrapText="1"/>
    </xf>
    <xf numFmtId="195" fontId="67" fillId="5" borderId="27" xfId="17" applyNumberFormat="1" applyFont="1" applyFill="1" applyBorder="1" applyAlignment="1" applyProtection="1">
      <alignment horizontal="center" vertical="center" wrapText="1"/>
    </xf>
    <xf numFmtId="195" fontId="140" fillId="0" borderId="6" xfId="17" applyNumberFormat="1" applyFont="1" applyFill="1" applyBorder="1" applyAlignment="1" applyProtection="1">
      <alignment horizontal="center" vertical="center" wrapText="1"/>
      <protection locked="0"/>
    </xf>
    <xf numFmtId="195" fontId="80" fillId="0" borderId="6" xfId="17" applyNumberFormat="1" applyFont="1" applyFill="1" applyBorder="1" applyAlignment="1" applyProtection="1">
      <alignment horizontal="center" vertical="center" wrapText="1"/>
      <protection locked="0"/>
    </xf>
    <xf numFmtId="195" fontId="101" fillId="0" borderId="6" xfId="17" applyNumberFormat="1" applyFont="1" applyFill="1" applyBorder="1" applyAlignment="1" applyProtection="1">
      <alignment horizontal="center" vertical="center" wrapText="1"/>
      <protection locked="0"/>
    </xf>
    <xf numFmtId="195" fontId="101" fillId="0" borderId="6" xfId="17" applyNumberFormat="1" applyFont="1" applyFill="1" applyBorder="1" applyAlignment="1" applyProtection="1">
      <alignment horizontal="left" vertical="center" wrapText="1"/>
      <protection locked="0"/>
    </xf>
    <xf numFmtId="195" fontId="101" fillId="0" borderId="7" xfId="17" applyNumberFormat="1" applyFont="1" applyFill="1" applyBorder="1" applyAlignment="1" applyProtection="1">
      <alignment horizontal="center" vertical="center" wrapText="1"/>
      <protection locked="0"/>
    </xf>
    <xf numFmtId="195" fontId="101" fillId="12" borderId="0" xfId="17" applyNumberFormat="1" applyFont="1" applyFill="1" applyBorder="1" applyAlignment="1" applyProtection="1">
      <alignment horizontal="center" vertical="center" wrapText="1"/>
      <protection locked="0"/>
    </xf>
    <xf numFmtId="195" fontId="101" fillId="5" borderId="0" xfId="17" applyNumberFormat="1" applyFont="1" applyFill="1" applyBorder="1" applyAlignment="1" applyProtection="1">
      <alignment horizontal="center" vertical="center" wrapText="1"/>
      <protection locked="0"/>
    </xf>
    <xf numFmtId="195" fontId="67" fillId="5" borderId="0" xfId="17" applyFont="1" applyFill="1" applyBorder="1" applyAlignment="1" applyProtection="1">
      <alignment horizontal="center" vertical="center" wrapText="1"/>
      <protection locked="0"/>
    </xf>
    <xf numFmtId="195" fontId="79" fillId="5" borderId="24" xfId="17" applyNumberFormat="1" applyFont="1" applyFill="1" applyBorder="1" applyAlignment="1" applyProtection="1">
      <alignment vertical="center" wrapText="1"/>
    </xf>
    <xf numFmtId="195" fontId="76" fillId="5" borderId="70" xfId="17" applyNumberFormat="1" applyFont="1" applyFill="1" applyBorder="1" applyAlignment="1" applyProtection="1">
      <alignment horizontal="center" vertical="center" wrapText="1"/>
    </xf>
    <xf numFmtId="195" fontId="80" fillId="0" borderId="71" xfId="17" applyNumberFormat="1" applyFont="1" applyFill="1" applyBorder="1" applyAlignment="1" applyProtection="1">
      <alignment horizontal="center" vertical="center" wrapText="1"/>
      <protection locked="0"/>
    </xf>
    <xf numFmtId="195" fontId="80" fillId="0" borderId="72" xfId="17" applyNumberFormat="1" applyFont="1" applyFill="1" applyBorder="1" applyAlignment="1" applyProtection="1">
      <alignment horizontal="center" vertical="center" wrapText="1"/>
      <protection locked="0"/>
    </xf>
    <xf numFmtId="195" fontId="80" fillId="12" borderId="0" xfId="17" applyNumberFormat="1" applyFont="1" applyFill="1" applyBorder="1" applyAlignment="1" applyProtection="1">
      <alignment horizontal="center" vertical="center" wrapText="1"/>
      <protection locked="0"/>
    </xf>
    <xf numFmtId="195" fontId="80" fillId="5" borderId="0" xfId="17" applyNumberFormat="1" applyFont="1" applyFill="1" applyBorder="1" applyAlignment="1" applyProtection="1">
      <alignment horizontal="center" vertical="center" wrapText="1"/>
      <protection locked="0"/>
    </xf>
    <xf numFmtId="195" fontId="67" fillId="5" borderId="73" xfId="17" applyNumberFormat="1" applyFont="1" applyFill="1" applyBorder="1" applyAlignment="1" applyProtection="1">
      <alignment horizontal="center" vertical="center" wrapText="1"/>
    </xf>
    <xf numFmtId="195" fontId="80" fillId="5" borderId="74" xfId="17" applyNumberFormat="1" applyFont="1" applyFill="1" applyBorder="1" applyAlignment="1" applyProtection="1">
      <alignment horizontal="center" vertical="center" wrapText="1"/>
    </xf>
    <xf numFmtId="195" fontId="101" fillId="5" borderId="74" xfId="17" applyNumberFormat="1" applyFont="1" applyFill="1" applyBorder="1" applyAlignment="1" applyProtection="1">
      <alignment horizontal="center" vertical="center" wrapText="1"/>
    </xf>
    <xf numFmtId="195" fontId="101" fillId="5" borderId="74" xfId="17" applyNumberFormat="1" applyFont="1" applyFill="1" applyBorder="1" applyAlignment="1" applyProtection="1">
      <alignment horizontal="left" vertical="center" wrapText="1"/>
    </xf>
    <xf numFmtId="195" fontId="101" fillId="5" borderId="75" xfId="17" applyNumberFormat="1" applyFont="1" applyFill="1" applyBorder="1" applyAlignment="1" applyProtection="1">
      <alignment horizontal="center" vertical="center" wrapText="1"/>
    </xf>
    <xf numFmtId="195" fontId="67" fillId="5" borderId="70" xfId="17" applyNumberFormat="1" applyFont="1" applyFill="1" applyBorder="1" applyAlignment="1" applyProtection="1">
      <alignment horizontal="center" vertical="center" wrapText="1"/>
    </xf>
    <xf numFmtId="195" fontId="80" fillId="5" borderId="71" xfId="17" applyNumberFormat="1" applyFont="1" applyFill="1" applyBorder="1" applyAlignment="1" applyProtection="1">
      <alignment horizontal="center" vertical="center" wrapText="1"/>
    </xf>
    <xf numFmtId="195" fontId="80" fillId="5" borderId="72" xfId="17" applyNumberFormat="1" applyFont="1" applyFill="1" applyBorder="1" applyAlignment="1" applyProtection="1">
      <alignment horizontal="center" vertical="center" wrapText="1"/>
    </xf>
    <xf numFmtId="195" fontId="67" fillId="5" borderId="3" xfId="17" applyNumberFormat="1" applyFont="1" applyFill="1" applyBorder="1" applyAlignment="1" applyProtection="1">
      <alignment horizontal="center" vertical="center" wrapText="1"/>
    </xf>
    <xf numFmtId="195" fontId="80" fillId="5" borderId="21" xfId="17" applyNumberFormat="1" applyFont="1" applyFill="1" applyBorder="1" applyAlignment="1" applyProtection="1">
      <alignment horizontal="center" vertical="center" wrapText="1"/>
    </xf>
    <xf numFmtId="195" fontId="80" fillId="5" borderId="51" xfId="17" applyNumberFormat="1" applyFont="1" applyFill="1" applyBorder="1" applyAlignment="1" applyProtection="1">
      <alignment horizontal="center" vertical="center" wrapText="1"/>
    </xf>
    <xf numFmtId="195" fontId="76" fillId="5" borderId="3" xfId="17" applyNumberFormat="1" applyFont="1" applyFill="1" applyBorder="1" applyAlignment="1" applyProtection="1">
      <alignment horizontal="center" vertical="center" wrapText="1"/>
    </xf>
    <xf numFmtId="195" fontId="80" fillId="0" borderId="2" xfId="17" applyNumberFormat="1" applyFont="1" applyFill="1" applyBorder="1" applyAlignment="1" applyProtection="1">
      <alignment horizontal="center" vertical="center" wrapText="1"/>
      <protection locked="0"/>
    </xf>
    <xf numFmtId="195" fontId="101" fillId="0" borderId="2" xfId="17" applyNumberFormat="1" applyFont="1" applyFill="1" applyBorder="1" applyAlignment="1" applyProtection="1">
      <alignment horizontal="center" vertical="center" wrapText="1"/>
      <protection locked="0"/>
    </xf>
    <xf numFmtId="195" fontId="101" fillId="0" borderId="2" xfId="17" applyNumberFormat="1" applyFont="1" applyFill="1" applyBorder="1" applyAlignment="1" applyProtection="1">
      <alignment horizontal="left" vertical="center" wrapText="1"/>
      <protection locked="0"/>
    </xf>
    <xf numFmtId="195" fontId="101" fillId="0" borderId="12" xfId="17" applyNumberFormat="1" applyFont="1" applyFill="1" applyBorder="1" applyAlignment="1" applyProtection="1">
      <alignment horizontal="center" vertical="center" wrapText="1"/>
      <protection locked="0"/>
    </xf>
    <xf numFmtId="195" fontId="96" fillId="5" borderId="24" xfId="17" applyNumberFormat="1" applyFont="1" applyFill="1" applyBorder="1" applyAlignment="1" applyProtection="1">
      <alignment vertical="center" wrapText="1"/>
    </xf>
    <xf numFmtId="195" fontId="67" fillId="0" borderId="74" xfId="17" applyNumberFormat="1" applyFont="1" applyFill="1" applyBorder="1" applyAlignment="1" applyProtection="1">
      <alignment horizontal="center" vertical="center" wrapText="1"/>
      <protection locked="0"/>
    </xf>
    <xf numFmtId="195" fontId="76" fillId="0" borderId="74" xfId="17" applyNumberFormat="1" applyFont="1" applyFill="1" applyBorder="1" applyAlignment="1" applyProtection="1">
      <alignment horizontal="center" vertical="center" wrapText="1"/>
      <protection locked="0"/>
    </xf>
    <xf numFmtId="195" fontId="76" fillId="0" borderId="74" xfId="17" applyNumberFormat="1" applyFont="1" applyFill="1" applyBorder="1" applyAlignment="1" applyProtection="1">
      <alignment horizontal="left" vertical="center" wrapText="1"/>
      <protection locked="0"/>
    </xf>
    <xf numFmtId="195" fontId="76" fillId="0" borderId="75" xfId="17" applyNumberFormat="1" applyFont="1" applyFill="1" applyBorder="1" applyAlignment="1" applyProtection="1">
      <alignment horizontal="center" vertical="center" wrapText="1"/>
      <protection locked="0"/>
    </xf>
    <xf numFmtId="195" fontId="76" fillId="12" borderId="0" xfId="17" applyNumberFormat="1" applyFont="1" applyFill="1" applyBorder="1" applyAlignment="1" applyProtection="1">
      <alignment horizontal="center" vertical="center" wrapText="1"/>
      <protection locked="0"/>
    </xf>
    <xf numFmtId="195" fontId="76" fillId="5" borderId="0" xfId="17" applyNumberFormat="1" applyFont="1" applyFill="1" applyBorder="1" applyAlignment="1" applyProtection="1">
      <alignment horizontal="center" vertical="center" wrapText="1"/>
      <protection locked="0"/>
    </xf>
    <xf numFmtId="195" fontId="76" fillId="5" borderId="0" xfId="17" applyFont="1" applyFill="1" applyBorder="1" applyAlignment="1" applyProtection="1">
      <alignment horizontal="center" vertical="center" wrapText="1"/>
      <protection locked="0"/>
    </xf>
    <xf numFmtId="9" fontId="76" fillId="5" borderId="0" xfId="17" applyNumberFormat="1" applyFont="1" applyFill="1" applyBorder="1" applyAlignment="1" applyProtection="1">
      <alignment horizontal="center" vertical="center" wrapText="1"/>
      <protection locked="0"/>
    </xf>
    <xf numFmtId="195" fontId="76" fillId="5" borderId="0" xfId="17" applyFont="1" applyFill="1" applyAlignment="1" applyProtection="1">
      <alignment horizontal="center" vertical="center"/>
      <protection locked="0"/>
    </xf>
    <xf numFmtId="195" fontId="67" fillId="0" borderId="71" xfId="17" applyNumberFormat="1" applyFont="1" applyFill="1" applyBorder="1" applyAlignment="1" applyProtection="1">
      <alignment horizontal="center" vertical="center" wrapText="1"/>
      <protection locked="0"/>
    </xf>
    <xf numFmtId="9" fontId="76" fillId="5" borderId="0" xfId="17" applyNumberFormat="1" applyFont="1" applyFill="1" applyBorder="1" applyAlignment="1" applyProtection="1">
      <alignment horizontal="center" vertical="center"/>
      <protection locked="0"/>
    </xf>
    <xf numFmtId="195" fontId="76" fillId="0" borderId="71" xfId="17" applyNumberFormat="1" applyFont="1" applyFill="1" applyBorder="1" applyAlignment="1" applyProtection="1">
      <alignment horizontal="center" vertical="center" wrapText="1"/>
      <protection locked="0"/>
    </xf>
    <xf numFmtId="195" fontId="76" fillId="0" borderId="72" xfId="17" applyNumberFormat="1" applyFont="1" applyFill="1" applyBorder="1" applyAlignment="1" applyProtection="1">
      <alignment horizontal="center" vertical="center" wrapText="1"/>
      <protection locked="0"/>
    </xf>
    <xf numFmtId="195" fontId="76" fillId="0" borderId="21" xfId="17" applyNumberFormat="1" applyFont="1" applyFill="1" applyBorder="1" applyAlignment="1" applyProtection="1">
      <alignment horizontal="center" vertical="center" wrapText="1"/>
      <protection locked="0"/>
    </xf>
    <xf numFmtId="195" fontId="76" fillId="0" borderId="21" xfId="17" applyNumberFormat="1" applyFont="1" applyFill="1" applyBorder="1" applyAlignment="1" applyProtection="1">
      <alignment horizontal="left" vertical="center" wrapText="1"/>
      <protection locked="0"/>
    </xf>
    <xf numFmtId="195" fontId="76" fillId="0" borderId="51" xfId="17" applyNumberFormat="1" applyFont="1" applyFill="1" applyBorder="1" applyAlignment="1" applyProtection="1">
      <alignment horizontal="center" vertical="center" wrapText="1"/>
      <protection locked="0"/>
    </xf>
    <xf numFmtId="195" fontId="76" fillId="5" borderId="0" xfId="17" applyFont="1" applyFill="1" applyBorder="1" applyAlignment="1" applyProtection="1">
      <alignment vertical="center" wrapText="1"/>
      <protection locked="0"/>
    </xf>
    <xf numFmtId="195" fontId="96" fillId="5" borderId="23" xfId="17" applyNumberFormat="1" applyFont="1" applyFill="1" applyBorder="1" applyAlignment="1" applyProtection="1">
      <alignment vertical="center" wrapText="1"/>
    </xf>
    <xf numFmtId="195" fontId="67" fillId="5" borderId="55" xfId="17" applyNumberFormat="1" applyFont="1" applyFill="1" applyBorder="1" applyAlignment="1" applyProtection="1">
      <alignment horizontal="center" vertical="center" wrapText="1"/>
    </xf>
    <xf numFmtId="195" fontId="67" fillId="0" borderId="44" xfId="17" applyNumberFormat="1" applyFont="1" applyFill="1" applyBorder="1" applyAlignment="1" applyProtection="1">
      <alignment horizontal="center" vertical="center" wrapText="1"/>
      <protection locked="0"/>
    </xf>
    <xf numFmtId="195" fontId="76" fillId="0" borderId="44" xfId="17" applyNumberFormat="1" applyFont="1" applyFill="1" applyBorder="1" applyAlignment="1" applyProtection="1">
      <alignment horizontal="center" vertical="center" wrapText="1"/>
      <protection locked="0"/>
    </xf>
    <xf numFmtId="195" fontId="76" fillId="0" borderId="46" xfId="17" applyNumberFormat="1" applyFont="1" applyFill="1" applyBorder="1" applyAlignment="1" applyProtection="1">
      <alignment horizontal="center" vertical="center" wrapText="1"/>
      <protection locked="0"/>
    </xf>
    <xf numFmtId="195" fontId="67" fillId="5" borderId="6" xfId="17" applyNumberFormat="1" applyFont="1" applyFill="1" applyBorder="1" applyAlignment="1" applyProtection="1">
      <alignment horizontal="center" vertical="center" wrapText="1"/>
    </xf>
    <xf numFmtId="195" fontId="80" fillId="5" borderId="6" xfId="17" applyNumberFormat="1" applyFont="1" applyFill="1" applyBorder="1" applyAlignment="1" applyProtection="1">
      <alignment horizontal="center" vertical="center" wrapText="1"/>
    </xf>
    <xf numFmtId="195" fontId="101" fillId="5" borderId="6" xfId="17" applyNumberFormat="1" applyFont="1" applyFill="1" applyBorder="1" applyAlignment="1" applyProtection="1">
      <alignment horizontal="center" vertical="center" wrapText="1"/>
    </xf>
    <xf numFmtId="195" fontId="101" fillId="5" borderId="6" xfId="17" applyNumberFormat="1" applyFont="1" applyFill="1" applyBorder="1" applyAlignment="1" applyProtection="1">
      <alignment horizontal="left" vertical="center" wrapText="1"/>
    </xf>
    <xf numFmtId="195" fontId="101" fillId="5" borderId="7" xfId="17" applyNumberFormat="1" applyFont="1" applyFill="1" applyBorder="1" applyAlignment="1" applyProtection="1">
      <alignment horizontal="center" vertical="center" wrapText="1"/>
    </xf>
    <xf numFmtId="195" fontId="67" fillId="5" borderId="0" xfId="17" applyFont="1" applyFill="1" applyBorder="1" applyAlignment="1" applyProtection="1">
      <alignment vertical="center" wrapText="1"/>
      <protection locked="0"/>
    </xf>
    <xf numFmtId="195" fontId="67" fillId="5" borderId="74" xfId="17" applyNumberFormat="1" applyFont="1" applyFill="1" applyBorder="1" applyAlignment="1" applyProtection="1">
      <alignment horizontal="center" vertical="center" wrapText="1"/>
    </xf>
    <xf numFmtId="195" fontId="71" fillId="5" borderId="24" xfId="17" applyNumberFormat="1" applyFont="1" applyFill="1" applyBorder="1" applyAlignment="1" applyProtection="1">
      <alignment vertical="center" wrapText="1"/>
    </xf>
    <xf numFmtId="195" fontId="67" fillId="5" borderId="74" xfId="17" applyNumberFormat="1" applyFont="1" applyFill="1" applyBorder="1" applyAlignment="1" applyProtection="1">
      <alignment horizontal="left" vertical="center" wrapText="1"/>
    </xf>
    <xf numFmtId="195" fontId="67" fillId="5" borderId="75" xfId="17" applyNumberFormat="1" applyFont="1" applyFill="1" applyBorder="1" applyAlignment="1" applyProtection="1">
      <alignment horizontal="center" vertical="center" wrapText="1"/>
    </xf>
    <xf numFmtId="195" fontId="67" fillId="5" borderId="71" xfId="17" applyNumberFormat="1" applyFont="1" applyFill="1" applyBorder="1" applyAlignment="1" applyProtection="1">
      <alignment horizontal="center" vertical="center" wrapText="1"/>
    </xf>
    <xf numFmtId="195" fontId="48" fillId="5" borderId="73" xfId="17" applyNumberFormat="1" applyFont="1" applyFill="1" applyBorder="1" applyAlignment="1" applyProtection="1">
      <alignment horizontal="center" vertical="center" wrapText="1"/>
    </xf>
    <xf numFmtId="195" fontId="76" fillId="5" borderId="74" xfId="17" applyNumberFormat="1" applyFont="1" applyFill="1" applyBorder="1" applyAlignment="1" applyProtection="1">
      <alignment horizontal="center" vertical="center" wrapText="1"/>
    </xf>
    <xf numFmtId="195" fontId="76" fillId="5" borderId="74" xfId="17" applyNumberFormat="1" applyFont="1" applyFill="1" applyBorder="1" applyAlignment="1" applyProtection="1">
      <alignment horizontal="left" vertical="center" wrapText="1"/>
    </xf>
    <xf numFmtId="195" fontId="76" fillId="5" borderId="75" xfId="17" applyNumberFormat="1" applyFont="1" applyFill="1" applyBorder="1" applyAlignment="1" applyProtection="1">
      <alignment horizontal="center" vertical="center" wrapText="1"/>
    </xf>
    <xf numFmtId="195" fontId="76" fillId="5" borderId="71" xfId="17" applyNumberFormat="1" applyFont="1" applyFill="1" applyBorder="1" applyAlignment="1" applyProtection="1">
      <alignment horizontal="center" vertical="center" wrapText="1"/>
    </xf>
    <xf numFmtId="195" fontId="76" fillId="5" borderId="72" xfId="17" applyNumberFormat="1" applyFont="1" applyFill="1" applyBorder="1" applyAlignment="1" applyProtection="1">
      <alignment horizontal="center" vertical="center" wrapText="1"/>
    </xf>
    <xf numFmtId="195" fontId="48" fillId="5" borderId="3" xfId="17" applyNumberFormat="1" applyFont="1" applyFill="1" applyBorder="1" applyAlignment="1" applyProtection="1">
      <alignment horizontal="center" vertical="center" wrapText="1"/>
    </xf>
    <xf numFmtId="195" fontId="54" fillId="5" borderId="3" xfId="17" applyNumberFormat="1" applyFont="1" applyFill="1" applyBorder="1" applyAlignment="1" applyProtection="1">
      <alignment horizontal="center" vertical="center" wrapText="1"/>
    </xf>
    <xf numFmtId="195" fontId="76" fillId="5" borderId="52" xfId="17" applyNumberFormat="1" applyFont="1" applyFill="1" applyBorder="1" applyAlignment="1" applyProtection="1">
      <alignment horizontal="center" vertical="center" wrapText="1"/>
    </xf>
    <xf numFmtId="195" fontId="80" fillId="0" borderId="74" xfId="17" applyNumberFormat="1" applyFont="1" applyFill="1" applyBorder="1" applyAlignment="1" applyProtection="1">
      <alignment horizontal="center" vertical="center" wrapText="1"/>
      <protection locked="0"/>
    </xf>
    <xf numFmtId="195" fontId="101" fillId="0" borderId="74" xfId="17" applyNumberFormat="1" applyFont="1" applyFill="1" applyBorder="1" applyAlignment="1" applyProtection="1">
      <alignment horizontal="center" vertical="center" wrapText="1"/>
      <protection locked="0"/>
    </xf>
    <xf numFmtId="195" fontId="101" fillId="0" borderId="74" xfId="17" applyNumberFormat="1" applyFont="1" applyFill="1" applyBorder="1" applyAlignment="1" applyProtection="1">
      <alignment horizontal="left" vertical="center" wrapText="1"/>
      <protection locked="0"/>
    </xf>
    <xf numFmtId="195" fontId="101" fillId="0" borderId="75" xfId="17" applyNumberFormat="1" applyFont="1" applyFill="1" applyBorder="1" applyAlignment="1" applyProtection="1">
      <alignment horizontal="center" vertical="center" wrapText="1"/>
      <protection locked="0"/>
    </xf>
    <xf numFmtId="195" fontId="140" fillId="0" borderId="74" xfId="17" applyNumberFormat="1" applyFont="1" applyFill="1" applyBorder="1" applyAlignment="1" applyProtection="1">
      <alignment horizontal="center" vertical="center" wrapText="1"/>
      <protection locked="0"/>
    </xf>
    <xf numFmtId="195" fontId="80" fillId="0" borderId="21" xfId="17" applyNumberFormat="1" applyFont="1" applyFill="1" applyBorder="1" applyAlignment="1" applyProtection="1">
      <alignment horizontal="center" vertical="center" wrapText="1"/>
      <protection locked="0"/>
    </xf>
    <xf numFmtId="195" fontId="101" fillId="0" borderId="21" xfId="17" applyNumberFormat="1" applyFont="1" applyFill="1" applyBorder="1" applyAlignment="1" applyProtection="1">
      <alignment horizontal="center" vertical="center" wrapText="1"/>
      <protection locked="0"/>
    </xf>
    <xf numFmtId="195" fontId="101" fillId="0" borderId="21" xfId="17" applyNumberFormat="1" applyFont="1" applyFill="1" applyBorder="1" applyAlignment="1" applyProtection="1">
      <alignment horizontal="left" vertical="center" wrapText="1"/>
      <protection locked="0"/>
    </xf>
    <xf numFmtId="195" fontId="101" fillId="0" borderId="51" xfId="17" applyNumberFormat="1" applyFont="1" applyFill="1" applyBorder="1" applyAlignment="1" applyProtection="1">
      <alignment horizontal="center" vertical="center" wrapText="1"/>
      <protection locked="0"/>
    </xf>
    <xf numFmtId="195" fontId="80" fillId="0" borderId="44" xfId="17" applyNumberFormat="1" applyFont="1" applyFill="1" applyBorder="1" applyAlignment="1" applyProtection="1">
      <alignment horizontal="center" vertical="center" wrapText="1"/>
      <protection locked="0"/>
    </xf>
    <xf numFmtId="195" fontId="80" fillId="0" borderId="46" xfId="17" applyNumberFormat="1" applyFont="1" applyFill="1" applyBorder="1" applyAlignment="1" applyProtection="1">
      <alignment horizontal="center" vertical="center" wrapText="1"/>
      <protection locked="0"/>
    </xf>
    <xf numFmtId="195" fontId="80" fillId="5" borderId="31" xfId="17" applyFont="1" applyFill="1" applyBorder="1" applyAlignment="1" applyProtection="1">
      <alignment horizontal="center" vertical="center"/>
    </xf>
    <xf numFmtId="195" fontId="96" fillId="5" borderId="24" xfId="17" applyNumberFormat="1" applyFont="1" applyFill="1" applyBorder="1" applyAlignment="1" applyProtection="1">
      <alignment vertical="center" textRotation="255" wrapText="1"/>
    </xf>
    <xf numFmtId="195" fontId="67" fillId="5" borderId="13" xfId="17" applyNumberFormat="1" applyFont="1" applyFill="1" applyBorder="1" applyAlignment="1" applyProtection="1">
      <alignment horizontal="center" vertical="center"/>
    </xf>
    <xf numFmtId="195" fontId="76" fillId="0" borderId="2" xfId="17" applyNumberFormat="1" applyFont="1" applyFill="1" applyBorder="1" applyAlignment="1" applyProtection="1">
      <alignment horizontal="center" vertical="center" wrapText="1"/>
      <protection locked="0"/>
    </xf>
    <xf numFmtId="195" fontId="76" fillId="0" borderId="2" xfId="17" applyNumberFormat="1" applyFont="1" applyFill="1" applyBorder="1" applyAlignment="1" applyProtection="1">
      <alignment horizontal="left" vertical="center" wrapText="1"/>
      <protection locked="0"/>
    </xf>
    <xf numFmtId="195" fontId="76" fillId="0" borderId="12" xfId="17" applyNumberFormat="1" applyFont="1" applyFill="1" applyBorder="1" applyAlignment="1" applyProtection="1">
      <alignment horizontal="center" vertical="center" wrapText="1"/>
      <protection locked="0"/>
    </xf>
    <xf numFmtId="195" fontId="80" fillId="0" borderId="10" xfId="17" applyNumberFormat="1" applyFont="1" applyFill="1" applyBorder="1" applyAlignment="1" applyProtection="1">
      <alignment horizontal="center" vertical="center" wrapText="1"/>
      <protection locked="0"/>
    </xf>
    <xf numFmtId="195" fontId="80" fillId="0" borderId="25" xfId="17" applyNumberFormat="1" applyFont="1" applyFill="1" applyBorder="1" applyAlignment="1" applyProtection="1">
      <alignment horizontal="center" vertical="center" wrapText="1"/>
      <protection locked="0"/>
    </xf>
    <xf numFmtId="195" fontId="145" fillId="5" borderId="6" xfId="17" applyNumberFormat="1" applyFont="1" applyFill="1" applyBorder="1" applyAlignment="1" applyProtection="1">
      <alignment horizontal="center" vertical="center" wrapText="1"/>
    </xf>
    <xf numFmtId="195" fontId="145" fillId="5" borderId="6" xfId="17" applyNumberFormat="1" applyFont="1" applyFill="1" applyBorder="1" applyAlignment="1" applyProtection="1">
      <alignment horizontal="left" vertical="center" wrapText="1"/>
    </xf>
    <xf numFmtId="195" fontId="145" fillId="5" borderId="7" xfId="17" applyNumberFormat="1" applyFont="1" applyFill="1" applyBorder="1" applyAlignment="1" applyProtection="1">
      <alignment horizontal="center" vertical="center" wrapText="1"/>
    </xf>
    <xf numFmtId="195" fontId="79" fillId="5" borderId="24" xfId="17" applyNumberFormat="1" applyFont="1" applyFill="1" applyBorder="1" applyAlignment="1" applyProtection="1">
      <alignment vertical="center" textRotation="255" wrapText="1"/>
    </xf>
    <xf numFmtId="195" fontId="48" fillId="0" borderId="74" xfId="17" applyNumberFormat="1" applyFont="1" applyFill="1" applyBorder="1" applyAlignment="1" applyProtection="1">
      <alignment horizontal="center" vertical="center" wrapText="1"/>
      <protection locked="0"/>
    </xf>
    <xf numFmtId="195" fontId="77" fillId="0" borderId="74" xfId="17" applyNumberFormat="1" applyFont="1" applyFill="1" applyBorder="1" applyAlignment="1" applyProtection="1">
      <alignment horizontal="center" vertical="center" wrapText="1"/>
      <protection locked="0"/>
    </xf>
    <xf numFmtId="195" fontId="76" fillId="5" borderId="55" xfId="17" applyNumberFormat="1" applyFont="1" applyFill="1" applyBorder="1" applyAlignment="1" applyProtection="1">
      <alignment horizontal="center" vertical="center" wrapText="1"/>
    </xf>
    <xf numFmtId="195" fontId="80" fillId="0" borderId="0" xfId="17" applyFont="1" applyFill="1" applyAlignment="1" applyProtection="1">
      <alignment horizontal="center" vertical="center"/>
      <protection locked="0"/>
    </xf>
    <xf numFmtId="188" fontId="80" fillId="0" borderId="0" xfId="17" applyNumberFormat="1" applyFont="1" applyFill="1" applyAlignment="1" applyProtection="1">
      <alignment horizontal="center" vertical="center"/>
      <protection locked="0"/>
    </xf>
    <xf numFmtId="182" fontId="80" fillId="0" borderId="0" xfId="17" applyNumberFormat="1" applyFont="1" applyFill="1" applyAlignment="1" applyProtection="1">
      <alignment horizontal="center" vertical="center"/>
      <protection locked="0"/>
    </xf>
    <xf numFmtId="188" fontId="80" fillId="0" borderId="0" xfId="17" applyNumberFormat="1" applyFont="1" applyFill="1" applyAlignment="1" applyProtection="1">
      <alignment horizontal="center" vertical="center"/>
    </xf>
    <xf numFmtId="182" fontId="80" fillId="0" borderId="0" xfId="17" applyNumberFormat="1" applyFont="1" applyFill="1" applyAlignment="1" applyProtection="1">
      <alignment horizontal="center" vertical="center"/>
    </xf>
    <xf numFmtId="14" fontId="141" fillId="24" borderId="2" xfId="17" applyNumberFormat="1" applyFill="1" applyBorder="1" applyAlignment="1">
      <alignment horizontal="center" vertical="center"/>
    </xf>
    <xf numFmtId="14" fontId="141" fillId="8" borderId="2" xfId="17" applyNumberFormat="1" applyFill="1" applyBorder="1" applyAlignment="1">
      <alignment horizontal="center" vertical="center"/>
    </xf>
    <xf numFmtId="14" fontId="141" fillId="25" borderId="2" xfId="17" applyNumberFormat="1" applyFill="1" applyBorder="1" applyAlignment="1">
      <alignment horizontal="center" vertical="center"/>
    </xf>
    <xf numFmtId="14" fontId="141" fillId="0" borderId="2" xfId="17" applyNumberFormat="1" applyBorder="1" applyAlignment="1">
      <alignment horizontal="center" vertical="center"/>
    </xf>
    <xf numFmtId="14" fontId="67" fillId="0" borderId="62" xfId="17" applyNumberFormat="1" applyFont="1" applyFill="1" applyBorder="1" applyAlignment="1" applyProtection="1">
      <alignment horizontal="center" vertical="center" wrapText="1"/>
      <protection locked="0"/>
    </xf>
    <xf numFmtId="14" fontId="67" fillId="0" borderId="33" xfId="17" applyNumberFormat="1" applyFont="1" applyFill="1" applyBorder="1" applyAlignment="1" applyProtection="1">
      <alignment horizontal="center" vertical="center" wrapText="1"/>
      <protection locked="0"/>
    </xf>
    <xf numFmtId="14" fontId="67" fillId="5" borderId="33" xfId="17" applyNumberFormat="1" applyFont="1" applyFill="1" applyBorder="1" applyAlignment="1" applyProtection="1">
      <alignment horizontal="center" vertical="center" wrapText="1"/>
    </xf>
    <xf numFmtId="14" fontId="141" fillId="0" borderId="0" xfId="17" applyNumberFormat="1">
      <alignment vertical="center"/>
    </xf>
    <xf numFmtId="0" fontId="140" fillId="0" borderId="74" xfId="0" applyNumberFormat="1" applyFont="1" applyFill="1" applyBorder="1" applyAlignment="1" applyProtection="1">
      <alignment horizontal="center" vertical="center" wrapText="1"/>
      <protection locked="0"/>
    </xf>
    <xf numFmtId="179" fontId="67" fillId="0" borderId="67" xfId="0" applyNumberFormat="1" applyFont="1" applyFill="1" applyBorder="1" applyAlignment="1" applyProtection="1">
      <alignment horizontal="center" vertical="center" wrapText="1"/>
      <protection locked="0"/>
    </xf>
    <xf numFmtId="179" fontId="67" fillId="0" borderId="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41" fillId="0" borderId="0" xfId="17" applyNumberFormat="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195" fontId="80" fillId="5" borderId="3" xfId="17" applyFont="1" applyFill="1" applyBorder="1" applyAlignment="1" applyProtection="1">
      <alignment horizontal="center" vertical="center"/>
    </xf>
    <xf numFmtId="195" fontId="80" fillId="5" borderId="21" xfId="17" applyFont="1" applyFill="1" applyBorder="1" applyAlignment="1" applyProtection="1">
      <alignment horizontal="center" vertical="center"/>
    </xf>
    <xf numFmtId="195" fontId="80" fillId="5" borderId="10" xfId="17" applyFont="1" applyFill="1" applyBorder="1" applyAlignment="1" applyProtection="1">
      <alignment horizontal="center" vertical="center"/>
    </xf>
    <xf numFmtId="0" fontId="80" fillId="5" borderId="1" xfId="17" applyNumberFormat="1" applyFont="1" applyFill="1" applyBorder="1" applyAlignment="1" applyProtection="1">
      <alignment horizontal="center" vertical="center" wrapText="1"/>
    </xf>
    <xf numFmtId="0" fontId="80" fillId="5" borderId="7" xfId="17" applyNumberFormat="1" applyFont="1" applyFill="1" applyBorder="1" applyAlignment="1" applyProtection="1">
      <alignment horizontal="center" vertical="center" wrapText="1"/>
    </xf>
    <xf numFmtId="0" fontId="80" fillId="5" borderId="42" xfId="17" applyNumberFormat="1" applyFont="1" applyFill="1" applyBorder="1" applyAlignment="1" applyProtection="1">
      <alignment horizontal="center" vertical="center" wrapText="1"/>
    </xf>
    <xf numFmtId="0" fontId="80" fillId="5" borderId="29" xfId="17" applyNumberFormat="1" applyFont="1" applyFill="1" applyBorder="1" applyAlignment="1" applyProtection="1">
      <alignment horizontal="center" vertical="center" wrapText="1"/>
    </xf>
    <xf numFmtId="195" fontId="80" fillId="5" borderId="4" xfId="17" applyFont="1" applyFill="1" applyBorder="1" applyAlignment="1" applyProtection="1">
      <alignment horizontal="center" vertical="center" wrapText="1"/>
    </xf>
    <xf numFmtId="195" fontId="80" fillId="5" borderId="32" xfId="17" applyFont="1" applyFill="1" applyBorder="1" applyAlignment="1" applyProtection="1">
      <alignment horizontal="center" vertical="center" wrapText="1"/>
    </xf>
    <xf numFmtId="195" fontId="80" fillId="5" borderId="13" xfId="17" applyFont="1" applyFill="1" applyBorder="1" applyAlignment="1" applyProtection="1">
      <alignment horizontal="center" vertical="center" wrapText="1"/>
    </xf>
    <xf numFmtId="195" fontId="80" fillId="5" borderId="18" xfId="17" applyFont="1" applyFill="1" applyBorder="1" applyAlignment="1" applyProtection="1">
      <alignment horizontal="center" vertical="center" wrapText="1"/>
    </xf>
    <xf numFmtId="195" fontId="80" fillId="5" borderId="17" xfId="17" applyFont="1" applyFill="1" applyBorder="1" applyAlignment="1" applyProtection="1">
      <alignment horizontal="center" vertical="center" wrapText="1"/>
    </xf>
    <xf numFmtId="195" fontId="80" fillId="5" borderId="20" xfId="17" applyFont="1" applyFill="1" applyBorder="1" applyAlignment="1" applyProtection="1">
      <alignment horizontal="center" vertical="center" wrapText="1"/>
    </xf>
    <xf numFmtId="195" fontId="80" fillId="5" borderId="4" xfId="17" applyFont="1" applyFill="1" applyBorder="1" applyAlignment="1" applyProtection="1">
      <alignment horizontal="center" vertical="center"/>
    </xf>
    <xf numFmtId="195" fontId="80" fillId="5" borderId="32" xfId="17" applyFont="1" applyFill="1" applyBorder="1" applyAlignment="1" applyProtection="1">
      <alignment horizontal="center" vertical="center"/>
    </xf>
    <xf numFmtId="195" fontId="80" fillId="5" borderId="13" xfId="17" applyFont="1" applyFill="1" applyBorder="1" applyAlignment="1" applyProtection="1">
      <alignment horizontal="center" vertical="center"/>
    </xf>
    <xf numFmtId="195" fontId="80" fillId="5" borderId="18" xfId="17" applyFont="1" applyFill="1" applyBorder="1" applyAlignment="1" applyProtection="1">
      <alignment horizontal="center" vertical="center"/>
    </xf>
    <xf numFmtId="0" fontId="256" fillId="0" borderId="11" xfId="17" applyNumberFormat="1" applyFont="1" applyFill="1" applyBorder="1" applyAlignment="1" applyProtection="1">
      <alignment horizontal="center" vertical="center" wrapText="1"/>
      <protection locked="0"/>
    </xf>
    <xf numFmtId="0" fontId="256" fillId="0" borderId="12" xfId="17" applyNumberFormat="1" applyFont="1" applyFill="1" applyBorder="1" applyAlignment="1" applyProtection="1">
      <alignment horizontal="center" vertical="center" wrapText="1"/>
      <protection locked="0"/>
    </xf>
    <xf numFmtId="0" fontId="256" fillId="0" borderId="9" xfId="17" applyNumberFormat="1" applyFont="1" applyFill="1" applyBorder="1" applyAlignment="1" applyProtection="1">
      <alignment horizontal="center" vertical="center" wrapText="1"/>
      <protection locked="0"/>
    </xf>
    <xf numFmtId="0" fontId="256" fillId="0" borderId="5" xfId="17" applyNumberFormat="1" applyFont="1" applyFill="1" applyBorder="1" applyAlignment="1" applyProtection="1">
      <alignment horizontal="center" vertical="center" wrapText="1"/>
      <protection locked="0"/>
    </xf>
    <xf numFmtId="195" fontId="67" fillId="5" borderId="5" xfId="17" applyFont="1" applyFill="1" applyBorder="1" applyAlignment="1" applyProtection="1">
      <alignment horizontal="center" vertical="center"/>
    </xf>
    <xf numFmtId="195" fontId="67" fillId="5" borderId="9" xfId="17" applyFont="1" applyFill="1" applyBorder="1" applyAlignment="1" applyProtection="1">
      <alignment horizontal="center" vertical="center"/>
    </xf>
    <xf numFmtId="195" fontId="80" fillId="5" borderId="17" xfId="17" applyFont="1" applyFill="1" applyBorder="1" applyAlignment="1" applyProtection="1">
      <alignment horizontal="center" vertical="center"/>
    </xf>
    <xf numFmtId="195" fontId="80" fillId="5" borderId="20" xfId="17" applyFont="1" applyFill="1" applyBorder="1" applyAlignment="1" applyProtection="1">
      <alignment horizontal="center" vertical="center"/>
    </xf>
    <xf numFmtId="195" fontId="80" fillId="5" borderId="2" xfId="17" applyFont="1" applyFill="1" applyBorder="1" applyAlignment="1" applyProtection="1">
      <alignment horizontal="center" vertical="center"/>
    </xf>
    <xf numFmtId="0" fontId="256" fillId="0" borderId="22" xfId="17" applyNumberFormat="1" applyFont="1" applyFill="1" applyBorder="1" applyAlignment="1" applyProtection="1">
      <alignment horizontal="center" vertical="center" wrapText="1"/>
      <protection locked="0"/>
    </xf>
    <xf numFmtId="0" fontId="256" fillId="0" borderId="25" xfId="17" applyNumberFormat="1" applyFont="1" applyFill="1" applyBorder="1" applyAlignment="1" applyProtection="1">
      <alignment horizontal="center" vertical="center" wrapText="1"/>
      <protection locked="0"/>
    </xf>
    <xf numFmtId="0" fontId="255" fillId="0" borderId="32" xfId="17" applyNumberFormat="1" applyFont="1" applyFill="1" applyBorder="1" applyAlignment="1" applyProtection="1">
      <alignment horizontal="center" vertical="center" wrapText="1"/>
      <protection locked="0"/>
    </xf>
    <xf numFmtId="0" fontId="256" fillId="0" borderId="4" xfId="17" applyNumberFormat="1" applyFont="1" applyFill="1" applyBorder="1" applyAlignment="1" applyProtection="1">
      <alignment horizontal="center" vertical="center" wrapText="1"/>
      <protection locked="0"/>
    </xf>
    <xf numFmtId="0" fontId="255" fillId="0" borderId="22" xfId="17" applyNumberFormat="1" applyFont="1" applyFill="1" applyBorder="1" applyAlignment="1" applyProtection="1">
      <alignment horizontal="center" vertical="center" wrapText="1"/>
      <protection locked="0"/>
    </xf>
    <xf numFmtId="195" fontId="67" fillId="5" borderId="8" xfId="17" applyFont="1" applyFill="1" applyBorder="1" applyAlignment="1" applyProtection="1">
      <alignment horizontal="center" vertical="center"/>
    </xf>
    <xf numFmtId="195" fontId="80" fillId="5" borderId="2" xfId="17" applyFont="1" applyFill="1" applyBorder="1" applyAlignment="1" applyProtection="1">
      <alignment horizontal="center" vertical="center" wrapText="1"/>
    </xf>
    <xf numFmtId="195" fontId="67" fillId="5" borderId="2" xfId="17" applyFont="1" applyFill="1" applyBorder="1" applyAlignment="1" applyProtection="1">
      <alignment horizontal="center" vertical="center" wrapText="1"/>
    </xf>
    <xf numFmtId="195" fontId="80" fillId="5" borderId="10" xfId="17" applyFont="1" applyFill="1" applyBorder="1" applyAlignment="1" applyProtection="1">
      <alignment horizontal="center" vertical="center" wrapText="1"/>
    </xf>
    <xf numFmtId="195" fontId="80" fillId="5" borderId="3" xfId="17" applyFont="1" applyFill="1" applyBorder="1" applyAlignment="1" applyProtection="1">
      <alignment horizontal="center" vertical="center" wrapText="1"/>
    </xf>
    <xf numFmtId="195" fontId="80" fillId="5" borderId="10" xfId="17" applyFont="1" applyFill="1" applyBorder="1" applyAlignment="1" applyProtection="1">
      <alignment horizontal="center" vertical="center" textRotation="255" wrapText="1"/>
    </xf>
    <xf numFmtId="195" fontId="80" fillId="5" borderId="3" xfId="17" applyFont="1" applyFill="1" applyBorder="1" applyAlignment="1" applyProtection="1">
      <alignment horizontal="center" vertical="center" textRotation="255" wrapText="1"/>
    </xf>
    <xf numFmtId="195" fontId="145" fillId="5" borderId="26" xfId="17" applyFont="1" applyFill="1" applyBorder="1" applyAlignment="1" applyProtection="1">
      <alignment horizontal="center" vertical="center" wrapText="1"/>
    </xf>
    <xf numFmtId="195" fontId="145" fillId="5" borderId="39" xfId="17" applyFont="1" applyFill="1" applyBorder="1" applyAlignment="1" applyProtection="1">
      <alignment horizontal="center" vertical="center" wrapText="1"/>
    </xf>
    <xf numFmtId="195" fontId="145" fillId="5" borderId="87" xfId="17" applyFont="1" applyFill="1" applyBorder="1" applyAlignment="1" applyProtection="1">
      <alignment horizontal="center" vertical="center" wrapText="1"/>
    </xf>
    <xf numFmtId="195" fontId="145" fillId="5" borderId="63" xfId="17" applyFont="1" applyFill="1" applyBorder="1" applyAlignment="1" applyProtection="1">
      <alignment horizontal="center" vertical="center" wrapText="1"/>
    </xf>
    <xf numFmtId="185" fontId="80" fillId="5" borderId="2" xfId="17" applyNumberFormat="1" applyFont="1" applyFill="1" applyBorder="1" applyAlignment="1" applyProtection="1">
      <alignment horizontal="center" vertical="center"/>
    </xf>
    <xf numFmtId="195" fontId="80" fillId="5" borderId="5" xfId="17" applyFont="1" applyFill="1" applyBorder="1" applyAlignment="1" applyProtection="1">
      <alignment horizontal="center" vertical="center" wrapText="1"/>
    </xf>
    <xf numFmtId="195" fontId="80" fillId="5" borderId="9" xfId="17" applyFont="1" applyFill="1" applyBorder="1" applyAlignment="1" applyProtection="1">
      <alignment horizontal="center" vertical="center" wrapText="1"/>
    </xf>
    <xf numFmtId="185" fontId="79" fillId="5" borderId="2" xfId="17" applyNumberFormat="1" applyFont="1" applyFill="1" applyBorder="1" applyAlignment="1" applyProtection="1">
      <alignment horizontal="center"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1" fillId="0" borderId="0" xfId="17" applyNumberFormat="1" applyFont="1" applyAlignment="1">
      <alignment horizontal="center" vertical="center"/>
    </xf>
    <xf numFmtId="0" fontId="141" fillId="0" borderId="2" xfId="17" applyNumberFormat="1" applyFont="1" applyBorder="1" applyAlignment="1">
      <alignment horizontal="center" vertical="center"/>
    </xf>
    <xf numFmtId="0" fontId="141" fillId="0" borderId="2" xfId="17" applyNumberFormat="1" applyBorder="1" applyAlignment="1">
      <alignment horizontal="center" vertical="center"/>
    </xf>
    <xf numFmtId="0" fontId="141" fillId="0" borderId="10" xfId="17" applyNumberFormat="1" applyFont="1" applyBorder="1" applyAlignment="1">
      <alignment horizontal="center" vertical="center" wrapText="1"/>
    </xf>
    <xf numFmtId="0" fontId="141" fillId="0" borderId="21" xfId="17" applyNumberFormat="1" applyBorder="1" applyAlignment="1">
      <alignment horizontal="center" vertical="center" wrapText="1"/>
    </xf>
  </cellXfs>
  <cellStyles count="20">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2 3" xfId="19"/>
    <cellStyle name="常规 3" xfId="4"/>
    <cellStyle name="常规 3 2" xfId="5"/>
    <cellStyle name="常规 4" xfId="6"/>
    <cellStyle name="常规 5" xfId="7"/>
    <cellStyle name="常规 6" xfId="8"/>
    <cellStyle name="常规 6 2" xfId="10"/>
    <cellStyle name="常规 6 2 2" xfId="13"/>
    <cellStyle name="常规 6 2 2 2" xfId="18"/>
    <cellStyle name="常规 7" xfId="9"/>
    <cellStyle name="常规 8" xfId="15"/>
    <cellStyle name="常规 9" xfId="14"/>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47019</xdr:colOff>
      <xdr:row>25</xdr:row>
      <xdr:rowOff>75655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47619" cy="43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23</xdr:row>
      <xdr:rowOff>76200</xdr:rowOff>
    </xdr:from>
    <xdr:to>
      <xdr:col>4</xdr:col>
      <xdr:colOff>666021</xdr:colOff>
      <xdr:row>49</xdr:row>
      <xdr:rowOff>85164</xdr:rowOff>
    </xdr:to>
    <xdr:pic>
      <xdr:nvPicPr>
        <xdr:cNvPr id="2" name="图片 1">
          <a:extLst>
            <a:ext uri="{FF2B5EF4-FFF2-40B4-BE49-F238E27FC236}">
              <a16:creationId xmlns="" xmlns:a16="http://schemas.microsoft.com/office/drawing/2014/main" id="{3B68C089-E3A0-4488-9864-299E5CE74347}"/>
            </a:ext>
          </a:extLst>
        </xdr:cNvPr>
        <xdr:cNvPicPr>
          <a:picLocks noChangeAspect="1"/>
        </xdr:cNvPicPr>
      </xdr:nvPicPr>
      <xdr:blipFill>
        <a:blip xmlns:r="http://schemas.openxmlformats.org/officeDocument/2006/relationships" r:embed="rId1"/>
        <a:stretch>
          <a:fillRect/>
        </a:stretch>
      </xdr:blipFill>
      <xdr:spPr>
        <a:xfrm>
          <a:off x="0" y="5057775"/>
          <a:ext cx="5828571" cy="44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253;&#21578;&#20204;/&#22303;&#22320;/2023/2023-1-0672&#21271;&#20140;&#24066;&#39034;&#20041;&#21306;&#21335;&#27861;&#20449;&#21306;&#21016;&#23478;&#27827;&#26449;&#39034;&#20313;&#19996;&#36335;1&#21495;/2023-1-0672&#21271;&#20140;&#24066;&#39034;&#20041;&#21306;&#21335;&#27861;&#20449;&#21306;&#21016;&#23478;&#27827;&#26449;&#39034;&#20313;&#19996;&#36335;1&#21495;&#26368;&#32456;/&#27979;&#31639;&#8212;&#8212;&#21335;&#27861;&#20449;11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22/2022-1-0272&#21271;&#20140;&#24066;&#39034;&#20041;&#21306;&#21335;&#27861;&#20449;&#21306;&#21016;&#23478;&#27827;&#26449;&#39034;&#20313;&#19996;&#36335;1&#21495;/&#27979;&#31639;-&#22303;&#22320;20230131&#65288;&#25442;&#26696;&#20363;&#65289;07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Sheet4"/>
      <sheetName val="剩余法-现房"/>
      <sheetName val="不动产收益法"/>
      <sheetName val="比较法-住宅、综合"/>
      <sheetName val="比较法-公开"/>
      <sheetName val="比较法-特殊（何金峰）"/>
      <sheetName val="比较法-划拨"/>
      <sheetName val="新案例整理1024"/>
      <sheetName val="Sheet5"/>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v>0</v>
          </cell>
        </row>
        <row r="43">
          <cell r="B43"/>
          <cell r="C43"/>
          <cell r="D43"/>
          <cell r="E43" t="str">
            <v>八级</v>
          </cell>
        </row>
      </sheetData>
      <sheetData sheetId="10"/>
      <sheetData sheetId="11">
        <row r="3">
          <cell r="D3">
            <v>22121.8</v>
          </cell>
          <cell r="E3">
            <v>22121.8</v>
          </cell>
        </row>
        <row r="8">
          <cell r="E8">
            <v>22121.8</v>
          </cell>
        </row>
        <row r="9">
          <cell r="E9">
            <v>0</v>
          </cell>
        </row>
        <row r="11">
          <cell r="E11">
            <v>0</v>
          </cell>
        </row>
        <row r="12">
          <cell r="E12">
            <v>0</v>
          </cell>
        </row>
        <row r="13">
          <cell r="E13">
            <v>0</v>
          </cell>
        </row>
        <row r="14">
          <cell r="E14">
            <v>0</v>
          </cell>
        </row>
        <row r="15">
          <cell r="E15">
            <v>0</v>
          </cell>
        </row>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2">
        <row r="16">
          <cell r="G16">
            <v>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3">
        <row r="15">
          <cell r="G15" t="str">
            <v>估价对象现状周边以产业用地为主，邻近周边有乐铁设备（北京）有限公司、综合信兴物流（南法信卫生院东北）、安博北京首都机场第二物流中心等，物流企业较多，产业集聚程度较好</v>
          </cell>
        </row>
        <row r="16">
          <cell r="G16" t="str">
            <v>估价对象临近城市次干道——顺于路、周边有顺2路、顺27路、顺28路、顺38路、顺43路、顺59路、顺60路等多条公交线路，距地铁15号线（南法信站）约500米，综合评价交通便捷度较好。</v>
          </cell>
        </row>
        <row r="17">
          <cell r="G17" t="str">
            <v>周边以产业用地为主，零星有其他用地，基本不影响本宗地。</v>
          </cell>
        </row>
        <row r="18">
          <cell r="G18" t="str">
            <v>估价对象周边有小中河等自然景观；国家新闻出版广电总局研修学院等人文设施，综合评价环境状况一般。</v>
          </cell>
        </row>
        <row r="19">
          <cell r="G19" t="str">
            <v>估价对象所处区域目前已拥有较完善的基础设施配套保障，区内大部分区域基础设施配套目前可达到“五通”（通路、通电、通上水、通下水、通讯）条件，保证程度一般。</v>
          </cell>
        </row>
        <row r="20">
          <cell r="G20" t="str">
            <v>估价对象所在区域基础设施水平</v>
          </cell>
        </row>
        <row r="22">
          <cell r="G22" t="str">
            <v>城市次干道——顺于路</v>
          </cell>
        </row>
        <row r="23">
          <cell r="G23" t="str">
            <v>八级</v>
          </cell>
        </row>
      </sheetData>
      <sheetData sheetId="14"/>
      <sheetData sheetId="15"/>
      <sheetData sheetId="16"/>
      <sheetData sheetId="17">
        <row r="16">
          <cell r="D16">
            <v>9903.3107</v>
          </cell>
        </row>
      </sheetData>
      <sheetData sheetId="18"/>
      <sheetData sheetId="19"/>
      <sheetData sheetId="20"/>
      <sheetData sheetId="21"/>
      <sheetData sheetId="22">
        <row r="74">
          <cell r="A74" t="str">
            <v>交易情况</v>
          </cell>
          <cell r="B74"/>
          <cell r="C74" t="str">
            <v>正常</v>
          </cell>
          <cell r="D74"/>
          <cell r="E74"/>
          <cell r="F74"/>
          <cell r="G74"/>
          <cell r="H74"/>
          <cell r="I74"/>
          <cell r="J74"/>
          <cell r="K74"/>
          <cell r="L74"/>
          <cell r="M74"/>
        </row>
        <row r="76">
          <cell r="B76" t="str">
            <v>用途</v>
          </cell>
          <cell r="C76"/>
          <cell r="D76"/>
          <cell r="E76"/>
          <cell r="F76"/>
          <cell r="G76"/>
          <cell r="H76"/>
          <cell r="I76"/>
          <cell r="J76"/>
          <cell r="K76"/>
          <cell r="L76"/>
          <cell r="M76"/>
        </row>
        <row r="107">
          <cell r="B107" t="str">
            <v>毗邻道路的类型与等级</v>
          </cell>
          <cell r="C107"/>
          <cell r="D107"/>
          <cell r="E107"/>
          <cell r="F107"/>
          <cell r="G107"/>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cell r="D120"/>
          <cell r="E120"/>
          <cell r="F120"/>
          <cell r="G120"/>
          <cell r="H120"/>
          <cell r="I120"/>
          <cell r="J120"/>
          <cell r="K120"/>
          <cell r="L120"/>
          <cell r="M120"/>
        </row>
        <row r="122">
          <cell r="B122" t="str">
            <v>临街宽度及深度</v>
          </cell>
          <cell r="C122"/>
          <cell r="D122"/>
          <cell r="E122"/>
          <cell r="F122"/>
          <cell r="G122"/>
          <cell r="H122"/>
          <cell r="I122"/>
          <cell r="J122"/>
          <cell r="K122"/>
          <cell r="L122"/>
          <cell r="M122"/>
        </row>
        <row r="124">
          <cell r="B124" t="str">
            <v>宗地开发程度</v>
          </cell>
          <cell r="C124"/>
          <cell r="D124"/>
          <cell r="E124"/>
          <cell r="F124"/>
          <cell r="G124"/>
          <cell r="H124"/>
          <cell r="I124"/>
          <cell r="J124"/>
          <cell r="K124"/>
          <cell r="L124"/>
          <cell r="M124"/>
        </row>
        <row r="126">
          <cell r="B126" t="str">
            <v>工程地质条件</v>
          </cell>
          <cell r="C126"/>
          <cell r="D126"/>
          <cell r="E126"/>
          <cell r="F126"/>
          <cell r="G126"/>
          <cell r="H126"/>
          <cell r="I126"/>
          <cell r="J126"/>
          <cell r="K126"/>
          <cell r="L126"/>
          <cell r="M126"/>
        </row>
      </sheetData>
      <sheetData sheetId="23">
        <row r="71">
          <cell r="B71" t="str">
            <v>用途</v>
          </cell>
          <cell r="C71" t="str">
            <v>工业</v>
          </cell>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t="str">
            <v>八级</v>
          </cell>
          <cell r="D100" t="str">
            <v>九级</v>
          </cell>
          <cell r="E100"/>
          <cell r="F100"/>
          <cell r="G100"/>
          <cell r="H100"/>
          <cell r="I100"/>
          <cell r="J100"/>
          <cell r="K100"/>
          <cell r="L100"/>
          <cell r="M100"/>
        </row>
        <row r="111">
          <cell r="B111" t="str">
            <v>宗地形状</v>
          </cell>
          <cell r="C111" t="str">
            <v>较规则</v>
          </cell>
          <cell r="D111"/>
          <cell r="E111"/>
          <cell r="F111"/>
          <cell r="G111"/>
          <cell r="H111"/>
          <cell r="I111"/>
          <cell r="J111"/>
          <cell r="K111"/>
          <cell r="L111"/>
          <cell r="M111"/>
        </row>
        <row r="113">
          <cell r="B113" t="str">
            <v>宗地开发程度</v>
          </cell>
          <cell r="C113" t="str">
            <v>五通一平</v>
          </cell>
          <cell r="D113" t="str">
            <v>四通一平</v>
          </cell>
          <cell r="E113" t="str">
            <v>三通一平</v>
          </cell>
          <cell r="F113"/>
          <cell r="G113"/>
          <cell r="H113"/>
          <cell r="I113"/>
          <cell r="J113"/>
          <cell r="K113"/>
          <cell r="L113"/>
          <cell r="M113"/>
        </row>
        <row r="115">
          <cell r="B115" t="str">
            <v>工程地质条件</v>
          </cell>
          <cell r="C115" t="str">
            <v>较好</v>
          </cell>
          <cell r="D115"/>
          <cell r="E115"/>
          <cell r="F115"/>
          <cell r="G115"/>
          <cell r="H115"/>
          <cell r="I115"/>
          <cell r="J115"/>
          <cell r="K115"/>
          <cell r="L115"/>
          <cell r="M115"/>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1">
          <cell r="Q11">
            <v>0.68259999999999998</v>
          </cell>
        </row>
      </sheetData>
      <sheetData sheetId="39">
        <row r="28">
          <cell r="P28">
            <v>0</v>
          </cell>
        </row>
      </sheetData>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41"/>
      <sheetData sheetId="42"/>
      <sheetData sheetId="43"/>
      <sheetData sheetId="44"/>
      <sheetData sheetId="45"/>
      <sheetData sheetId="46">
        <row r="6">
          <cell r="H6">
            <v>0.43</v>
          </cell>
        </row>
        <row r="7">
          <cell r="H7">
            <v>0.71</v>
          </cell>
        </row>
        <row r="8">
          <cell r="H8">
            <v>0.5</v>
          </cell>
        </row>
        <row r="9">
          <cell r="H9">
            <v>0.53</v>
          </cell>
        </row>
        <row r="10">
          <cell r="H10">
            <v>0.63</v>
          </cell>
        </row>
        <row r="11">
          <cell r="H11">
            <v>1.08</v>
          </cell>
        </row>
        <row r="12">
          <cell r="H12">
            <v>0.64</v>
          </cell>
        </row>
        <row r="13">
          <cell r="H13">
            <v>0.55000000000000004</v>
          </cell>
        </row>
        <row r="14">
          <cell r="H14">
            <v>0.48</v>
          </cell>
        </row>
        <row r="15">
          <cell r="H15">
            <v>1.01</v>
          </cell>
        </row>
        <row r="16">
          <cell r="H16">
            <v>0.36</v>
          </cell>
        </row>
      </sheetData>
      <sheetData sheetId="47"/>
      <sheetData sheetId="48"/>
      <sheetData sheetId="49"/>
      <sheetData sheetId="50">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51">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52">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53">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54">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55">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56">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57"/>
      <sheetData sheetId="58">
        <row r="2">
          <cell r="K2" t="str">
            <v>总用地面积（公顷）</v>
          </cell>
          <cell r="O2" t="str">
            <v>建设用地面积（公顷）</v>
          </cell>
          <cell r="R2" t="str">
            <v>征地补偿及相关税费</v>
          </cell>
          <cell r="S2" t="str">
            <v>收购补偿费、房屋征收（拆迁）补偿费及相关费用</v>
          </cell>
        </row>
        <row r="3">
          <cell r="F3" t="str">
            <v xml:space="preserve">北京天竺综合保税区保税功能二区工业用地项目
</v>
          </cell>
          <cell r="K3">
            <v>177.34</v>
          </cell>
          <cell r="O3">
            <v>78.44</v>
          </cell>
          <cell r="R3">
            <v>28969.83</v>
          </cell>
          <cell r="S3">
            <v>98344.44</v>
          </cell>
          <cell r="AD3">
            <v>0.21245034300755861</v>
          </cell>
        </row>
        <row r="4">
          <cell r="F4" t="str">
            <v xml:space="preserve">中关村临空国际高新技术产业基地工业用地
</v>
          </cell>
          <cell r="K4">
            <v>113.57</v>
          </cell>
          <cell r="O4">
            <v>83.53</v>
          </cell>
          <cell r="R4">
            <v>23802.01</v>
          </cell>
          <cell r="S4">
            <v>50480.46</v>
          </cell>
          <cell r="AD4">
            <v>0.12997069134445727</v>
          </cell>
        </row>
        <row r="5">
          <cell r="F5" t="str">
            <v xml:space="preserve">北京市顺义区空港木林高端制造业基地一期工业用地项目
</v>
          </cell>
          <cell r="K5">
            <v>17.36</v>
          </cell>
          <cell r="O5">
            <v>13.09</v>
          </cell>
          <cell r="R5">
            <v>3173.01</v>
          </cell>
          <cell r="S5">
            <v>644.98</v>
          </cell>
          <cell r="AD5">
            <v>0.23078699879459832</v>
          </cell>
        </row>
        <row r="6">
          <cell r="F6" t="str">
            <v>顺义新城30街区控规范围内剩余工业用地土地一级开发项目（30-27-02地块）</v>
          </cell>
          <cell r="K6">
            <v>56.75</v>
          </cell>
          <cell r="O6">
            <v>38.92</v>
          </cell>
          <cell r="R6">
            <v>11601.87</v>
          </cell>
          <cell r="S6">
            <v>4320.93</v>
          </cell>
          <cell r="AD6">
            <v>2.9173718916180459E-2</v>
          </cell>
        </row>
        <row r="9">
          <cell r="F9" t="str">
            <v>顺义区M15号线顺西路-府前街站土地一级开发项目</v>
          </cell>
          <cell r="K9">
            <v>151.51</v>
          </cell>
          <cell r="O9">
            <v>103.45</v>
          </cell>
          <cell r="R9">
            <v>78200.91</v>
          </cell>
          <cell r="S9">
            <v>971721.13</v>
          </cell>
          <cell r="AD9">
            <v>0.16022459096076208</v>
          </cell>
        </row>
        <row r="14">
          <cell r="F14" t="str">
            <v xml:space="preserve">顺义区国展预留地剩余地块 土地一级开发项目 </v>
          </cell>
          <cell r="K14">
            <v>12.9</v>
          </cell>
          <cell r="O14">
            <v>10.44</v>
          </cell>
          <cell r="R14">
            <v>5061.88</v>
          </cell>
          <cell r="S14">
            <v>31557.84</v>
          </cell>
          <cell r="AD14">
            <v>0</v>
          </cell>
        </row>
        <row r="16">
          <cell r="F16" t="str">
            <v>顺义区后沙峪镇后沙峪村A地块</v>
          </cell>
          <cell r="K16">
            <v>29.09</v>
          </cell>
          <cell r="O16">
            <v>21.819299999999998</v>
          </cell>
          <cell r="R16">
            <v>12773.36</v>
          </cell>
          <cell r="S16">
            <v>207435.6</v>
          </cell>
          <cell r="AD16">
            <v>0.17435965912139925</v>
          </cell>
        </row>
        <row r="17">
          <cell r="F17" t="str">
            <v>顺义区M15号线后沙峪站ABC地块</v>
          </cell>
          <cell r="K17">
            <v>84.72</v>
          </cell>
          <cell r="O17">
            <v>44.73</v>
          </cell>
          <cell r="R17">
            <v>36436.78</v>
          </cell>
          <cell r="S17">
            <v>98258.5</v>
          </cell>
          <cell r="AD17">
            <v>0.18007912877011065</v>
          </cell>
        </row>
        <row r="18">
          <cell r="F18" t="str">
            <v>顺义区薛大人庄村剩余1、2号地块</v>
          </cell>
          <cell r="K18">
            <v>24.25</v>
          </cell>
          <cell r="O18">
            <v>7.26</v>
          </cell>
          <cell r="R18">
            <v>3879.88</v>
          </cell>
          <cell r="S18">
            <v>20568.54</v>
          </cell>
          <cell r="AD18">
            <v>1.2334725731683311E-2</v>
          </cell>
        </row>
        <row r="20">
          <cell r="F20" t="str">
            <v>顺义区仁和镇平各庄村B 地块土地一级开发项目</v>
          </cell>
          <cell r="K20">
            <v>36.15</v>
          </cell>
          <cell r="O20">
            <v>16.55</v>
          </cell>
          <cell r="R20">
            <v>41086.400000000001</v>
          </cell>
          <cell r="S20">
            <v>47612.92</v>
          </cell>
          <cell r="AD20">
            <v>0.13029387526745143</v>
          </cell>
        </row>
      </sheetData>
      <sheetData sheetId="59"/>
      <sheetData sheetId="60"/>
      <sheetData sheetId="61"/>
      <sheetData sheetId="62"/>
      <sheetData sheetId="63"/>
      <sheetData sheetId="64"/>
      <sheetData sheetId="65"/>
      <sheetData sheetId="6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商业)"/>
      <sheetName val="基准地价"/>
      <sheetName val="比较法-住宅、综合"/>
      <sheetName val="剩余法-现房"/>
      <sheetName val="不动产收益法"/>
      <sheetName val="成本逼近法"/>
      <sheetName val="比较法-工业"/>
      <sheetName val="案例F顺义"/>
      <sheetName val="换案例F"/>
      <sheetName val="土地案例"/>
      <sheetName val="征地"/>
      <sheetName val="Sheet2"/>
      <sheetName val="比较法-工业（旧）"/>
      <sheetName val="土地案例（旧）"/>
      <sheetName val="修正"/>
      <sheetName val="区片价"/>
      <sheetName val="容积率修正"/>
      <sheetName val="因素修正幅度"/>
      <sheetName val="报告粘粘"/>
      <sheetName val="比较法4案例"/>
      <sheetName val="地价"/>
      <sheetName val="Sheet1"/>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D1" t="str">
            <v>判定</v>
          </cell>
        </row>
        <row r="2">
          <cell r="D2" t="str">
            <v>是</v>
          </cell>
        </row>
        <row r="3">
          <cell r="D3" t="str">
            <v>否</v>
          </cell>
        </row>
        <row r="4">
          <cell r="D4"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北京市划拨国有建设用地使用权预评估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受贵公司委托，我公司对北京市划拨国有建设用地使用权进行了预评估。</v>
      </c>
      <c r="AM6" s="2382"/>
    </row>
    <row r="7" spans="1:55" s="2356" customFormat="1">
      <c r="A7" s="2357" t="s">
        <v>1939</v>
      </c>
      <c r="B7" s="2358" t="str">
        <f>'预评函-1'!A6</f>
        <v>估价对象为使用的、位于北京市划拨国有建设用地使用权。根据《国有土地使用证》[]，估价对象（分摊）划拨国有建设用地使用权面积为59218.34平方米。根据《建设工程规划许可证》[]、《出让合同》[]，估价对象规划建筑面积为59218.34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本次评估为委托估价方了解标的物之市场价格提供参考依据而评估划拨国有建设用地使用权市场价格。</v>
      </c>
    </row>
    <row r="10" spans="1:55" s="2356" customFormat="1">
      <c r="A10" s="2357" t="s">
        <v>1941</v>
      </c>
      <c r="B10" s="2358" t="str">
        <f>'预评函-1'!A11</f>
        <v>2024年3月31日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根据《国有土地使用证》[]，估价对象（分摊）出让国有建设用地使用权面积为59218.34平方米。根据《建设工程规划许可证》[]、《出让合同》[]，估价对象规划建筑面积为59218.34平方米。</v>
      </c>
    </row>
    <row r="16" spans="1:55" s="2356" customFormat="1">
      <c r="A16" s="2357" t="s">
        <v>1951</v>
      </c>
      <c r="B16" s="2358" t="str">
        <f>'预评函-1'!A22</f>
        <v>本次估价对象国有建设用地使用权类型为划拨，无土地使用年限限制。</v>
      </c>
    </row>
    <row r="17" spans="1:48" s="2356" customFormat="1">
      <c r="A17" s="2357" t="s">
        <v>1952</v>
      </c>
      <c r="B17" s="2358" t="str">
        <f>'预评函-1'!A23</f>
        <v/>
      </c>
    </row>
    <row r="18" spans="1:48" s="2356" customFormat="1">
      <c r="A18" s="2357" t="s">
        <v>1953</v>
      </c>
      <c r="B18" s="2358" t="str">
        <f>'预评函-1'!A25</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19" spans="1:48" s="2356" customFormat="1">
      <c r="A19" s="2357" t="s">
        <v>1954</v>
      </c>
      <c r="B19" s="2358" t="str">
        <f>'预评函-1'!A26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0" spans="1:48" s="2356" customFormat="1">
      <c r="A20" s="2357" t="s">
        <v>1955</v>
      </c>
      <c r="B20" s="2358" t="str">
        <f>'预评函-1'!A27</f>
        <v>——</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7" t="s">
        <v>1958</v>
      </c>
      <c r="B23" s="2358" t="str">
        <f>'预评函-2'!K2</f>
        <v>估价期日：2024年3月31日</v>
      </c>
    </row>
    <row r="24" spans="1:48">
      <c r="A24" s="2357" t="s">
        <v>1959</v>
      </c>
      <c r="B24" s="2358" t="str">
        <f>'预评函-2'!R2</f>
        <v>估价期日的国有建设用地使用权性质：划拨</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t="str">
        <f>'预评函-2'!M5</f>
        <v>——</v>
      </c>
    </row>
    <row r="42" spans="1:2">
      <c r="A42" s="2357" t="s">
        <v>2021</v>
      </c>
      <c r="B42" s="2358" t="str">
        <f>'预评函-2'!N3</f>
        <v>（分摊）划拨国有建设用地使用权面积/㎡</v>
      </c>
    </row>
    <row r="43" spans="1:2">
      <c r="A43" s="2357" t="s">
        <v>2003</v>
      </c>
      <c r="B43" s="2358">
        <f>'预评函-2'!N5</f>
        <v>59218.34</v>
      </c>
    </row>
    <row r="44" spans="1:2">
      <c r="A44" s="2357" t="s">
        <v>2022</v>
      </c>
      <c r="B44" s="2358" t="str">
        <f>'预评函-2'!O3</f>
        <v>规划建筑面积/㎡</v>
      </c>
    </row>
    <row r="45" spans="1:2">
      <c r="A45" s="2357" t="s">
        <v>2004</v>
      </c>
      <c r="B45" s="2358">
        <f>'预评函-2'!O5</f>
        <v>59218.34</v>
      </c>
    </row>
    <row r="46" spans="1:2">
      <c r="A46" s="2357" t="s">
        <v>2005</v>
      </c>
      <c r="B46" s="2358">
        <f ca="1">'预评函-2'!P5</f>
        <v>4129</v>
      </c>
    </row>
    <row r="47" spans="1:2">
      <c r="A47" s="2357" t="s">
        <v>2006</v>
      </c>
      <c r="B47" s="2358">
        <f ca="1">'预评函-2'!Q5</f>
        <v>4129</v>
      </c>
    </row>
    <row r="48" spans="1:2">
      <c r="A48" s="2357" t="s">
        <v>2007</v>
      </c>
      <c r="B48" s="2358">
        <f ca="1">'预评函-2'!R5</f>
        <v>24451</v>
      </c>
    </row>
    <row r="49" spans="1:2">
      <c r="A49" s="2357" t="s">
        <v>2023</v>
      </c>
      <c r="B49" s="2358" t="str">
        <f>'预评函-2'!A6</f>
        <v>抵押价格</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2677</v>
      </c>
      <c r="B1" s="3284"/>
      <c r="C1" s="3284"/>
      <c r="D1" s="3284"/>
      <c r="E1" s="3284"/>
      <c r="F1" s="3285"/>
    </row>
    <row r="2" spans="1:6">
      <c r="A2" s="3287"/>
      <c r="B2" s="3288"/>
      <c r="C2" s="3288"/>
      <c r="D2" s="3288"/>
      <c r="E2" s="3288"/>
      <c r="F2" s="3289"/>
    </row>
    <row r="3" spans="1:6">
      <c r="A3" s="3290" t="s">
        <v>2678</v>
      </c>
      <c r="B3" s="3291">
        <v>45382</v>
      </c>
      <c r="C3" s="3292"/>
      <c r="D3" s="3292"/>
      <c r="E3" s="3292"/>
      <c r="F3" s="3289"/>
    </row>
    <row r="4" spans="1:6">
      <c r="A4" s="3290" t="s">
        <v>2679</v>
      </c>
      <c r="B4" s="3293" t="s">
        <v>2680</v>
      </c>
      <c r="C4" s="3293" t="s">
        <v>2681</v>
      </c>
      <c r="D4" s="3293" t="s">
        <v>2682</v>
      </c>
      <c r="E4" s="3293" t="s">
        <v>2683</v>
      </c>
      <c r="F4" s="3289"/>
    </row>
    <row r="5" spans="1:6">
      <c r="A5" s="3294"/>
      <c r="B5" s="3291"/>
      <c r="C5" s="3293">
        <f>ROUNDDOWN(MIN((B5-B3)/365,A5),2)</f>
        <v>-124.33</v>
      </c>
      <c r="D5" s="3295">
        <f>IF(ISERROR(ROUND(POWER(1+E5,A5-C5)*(POWER(1+E5,C5)-1)/(POWER(1+E5,A5)-1),3)),0,ROUND(POWER(1+E5,A5-C5)*(POWER(1+E5,C5)-1)/(POWER(1+E5,A5)-1),4))</f>
        <v>0</v>
      </c>
      <c r="E5" s="3296"/>
      <c r="F5" s="3289"/>
    </row>
    <row r="6" spans="1:6">
      <c r="A6" s="3294"/>
      <c r="B6" s="3291"/>
      <c r="C6" s="3293">
        <f>ROUNDDOWN(MIN((B6-B3)/365,A6),2)</f>
        <v>-124.33</v>
      </c>
      <c r="D6" s="3295">
        <f>IF(ISERROR(ROUND(POWER(1+E6,A6-C6)*(POWER(1+E6,C6)-1)/(POWER(1+E6,A6)-1),3)),0,ROUND(POWER(1+E6,A6-C6)*(POWER(1+E6,C6)-1)/(POWER(1+E6,A6)-1),4))</f>
        <v>0</v>
      </c>
      <c r="E6" s="3296"/>
      <c r="F6" s="3289"/>
    </row>
    <row r="7" spans="1:6">
      <c r="A7" s="3294"/>
      <c r="B7" s="3291"/>
      <c r="C7" s="3293">
        <f>ROUNDDOWN(MIN((B7-B3)/365,A7),2)</f>
        <v>-124.33</v>
      </c>
      <c r="D7" s="3295">
        <f>IF(ISERROR(ROUND(POWER(1+E7,A7-C7)*(POWER(1+E7,C7)-1)/(POWER(1+E7,A7)-1),3)),0,ROUND(POWER(1+E7,A7-C7)*(POWER(1+E7,C7)-1)/(POWER(1+E7,A7)-1),4))</f>
        <v>0</v>
      </c>
      <c r="E7" s="3296"/>
      <c r="F7" s="3289"/>
    </row>
    <row r="8" spans="1:6">
      <c r="A8" s="3287"/>
      <c r="B8" s="3288"/>
      <c r="C8" s="3288"/>
      <c r="D8" s="3288"/>
      <c r="E8" s="3288"/>
      <c r="F8" s="3289"/>
    </row>
    <row r="9" spans="1:6">
      <c r="A9" s="3290" t="s">
        <v>2684</v>
      </c>
      <c r="B9" s="3293"/>
      <c r="C9" s="3293"/>
      <c r="D9" s="3293"/>
      <c r="E9" s="3293"/>
      <c r="F9" s="3297"/>
    </row>
    <row r="10" spans="1:6">
      <c r="A10" s="3290" t="s">
        <v>2685</v>
      </c>
      <c r="B10" s="3293"/>
      <c r="C10" s="3293"/>
      <c r="D10" s="3293" t="s">
        <v>2683</v>
      </c>
      <c r="E10" s="3293"/>
      <c r="F10" s="3297" t="s">
        <v>2682</v>
      </c>
    </row>
    <row r="11" spans="1:6">
      <c r="A11" s="3290" t="s">
        <v>2686</v>
      </c>
      <c r="B11" s="3298"/>
      <c r="C11" s="3293" t="s">
        <v>2687</v>
      </c>
      <c r="D11" s="3299"/>
      <c r="E11" s="3293" t="s">
        <v>2688</v>
      </c>
      <c r="F11" s="3300">
        <f>ROUND(1-(1/(POWER(1+D11,B11))),4)</f>
        <v>0</v>
      </c>
    </row>
    <row r="12" spans="1:6">
      <c r="A12" s="3290" t="s">
        <v>2689</v>
      </c>
      <c r="B12" s="3298"/>
      <c r="C12" s="3293" t="s">
        <v>2690</v>
      </c>
      <c r="D12" s="3299"/>
      <c r="E12" s="3293" t="s">
        <v>2691</v>
      </c>
      <c r="F12" s="3300">
        <f>ROUND(1-(1/(POWER(1+D12,B12))),4)</f>
        <v>0</v>
      </c>
    </row>
    <row r="13" spans="1:6">
      <c r="A13" s="3290" t="s">
        <v>2692</v>
      </c>
      <c r="B13" s="3293"/>
      <c r="C13" s="3292"/>
      <c r="D13" s="3288"/>
      <c r="E13" s="3288"/>
      <c r="F13" s="3289"/>
    </row>
    <row r="14" spans="1:6">
      <c r="A14" s="3290" t="s">
        <v>2693</v>
      </c>
      <c r="B14" s="3298"/>
      <c r="C14" s="3292"/>
      <c r="D14" s="3288"/>
      <c r="E14" s="3288"/>
      <c r="F14" s="3289"/>
    </row>
    <row r="15" spans="1:6">
      <c r="A15" s="3290" t="s">
        <v>2694</v>
      </c>
      <c r="B15" s="3293" t="e">
        <f>ROUND(B14*F12/F11,2)</f>
        <v>#DIV/0!</v>
      </c>
      <c r="C15" s="3293" t="e">
        <f>ROUND(F12/F11,4)</f>
        <v>#DIV/0!</v>
      </c>
      <c r="D15" s="3288"/>
      <c r="E15" s="3288"/>
      <c r="F15" s="3289"/>
    </row>
    <row r="16" spans="1:6">
      <c r="A16" s="3290" t="s">
        <v>2695</v>
      </c>
      <c r="B16" s="3293"/>
      <c r="C16" s="3292"/>
      <c r="D16" s="3288"/>
      <c r="E16" s="3288"/>
      <c r="F16" s="3289"/>
    </row>
    <row r="17" spans="1:7">
      <c r="A17" s="3290" t="s">
        <v>2694</v>
      </c>
      <c r="B17" s="3299"/>
      <c r="C17" s="3292"/>
      <c r="D17" s="3288"/>
      <c r="E17" s="3288"/>
      <c r="F17" s="3289"/>
    </row>
    <row r="18" spans="1:7" ht="14.25" thickBot="1">
      <c r="A18" s="3301" t="s">
        <v>2693</v>
      </c>
      <c r="B18" s="3302" t="e">
        <f>ROUND(B17*F11/F12,2)</f>
        <v>#DIV/0!</v>
      </c>
      <c r="C18" s="3302" t="e">
        <f>ROUND(F11/F12,4)</f>
        <v>#DIV/0!</v>
      </c>
      <c r="D18" s="3303"/>
      <c r="E18" s="3303"/>
      <c r="F18" s="3304"/>
    </row>
    <row r="19" spans="1:7" ht="14.25" thickBot="1"/>
    <row r="20" spans="1:7">
      <c r="A20" s="3305" t="s">
        <v>2696</v>
      </c>
      <c r="B20" s="3306"/>
      <c r="C20" s="3306"/>
      <c r="D20" s="3306"/>
      <c r="E20" s="3306"/>
      <c r="F20" s="3306"/>
      <c r="G20" s="3307"/>
    </row>
    <row r="21" spans="1:7">
      <c r="A21" s="3308"/>
      <c r="B21" s="3309" t="s">
        <v>2697</v>
      </c>
      <c r="C21" s="3309" t="s">
        <v>2698</v>
      </c>
      <c r="D21" s="3309" t="s">
        <v>2699</v>
      </c>
      <c r="E21" s="3309" t="s">
        <v>2700</v>
      </c>
      <c r="F21" s="3309" t="s">
        <v>2701</v>
      </c>
      <c r="G21" s="3310" t="s">
        <v>2702</v>
      </c>
    </row>
    <row r="22" spans="1:7">
      <c r="A22" s="3308" t="s">
        <v>2703</v>
      </c>
      <c r="B22" s="3311">
        <v>50</v>
      </c>
      <c r="C22" s="3311">
        <v>32</v>
      </c>
      <c r="D22" s="3312">
        <v>0.05</v>
      </c>
      <c r="E22" s="3309">
        <f>ROUND(POWER(1+D22,B22-C22)*(POWER(1+D22,C22)-1)/(POWER(1+D22,B22)-1),3)</f>
        <v>0.86599999999999999</v>
      </c>
      <c r="F22" s="3312">
        <v>0.6</v>
      </c>
      <c r="G22" s="3310">
        <f>ROUND(100*(1-(1-E22)*F22),1)</f>
        <v>92</v>
      </c>
    </row>
    <row r="23" spans="1:7">
      <c r="A23" s="3313" t="s">
        <v>2704</v>
      </c>
      <c r="B23" s="3311">
        <v>50</v>
      </c>
      <c r="C23" s="3311">
        <v>35</v>
      </c>
      <c r="D23" s="3312">
        <v>0.05</v>
      </c>
      <c r="E23" s="3309">
        <f>ROUND(POWER(1+D23,B23-C23)*(POWER(1+D23,C23)-1)/(POWER(1+D23,B23)-1),3)</f>
        <v>0.89700000000000002</v>
      </c>
      <c r="F23" s="3312">
        <f>F22</f>
        <v>0.6</v>
      </c>
      <c r="G23" s="3310">
        <f>ROUND(100*(1-(1-E23)*F23),1)</f>
        <v>93.8</v>
      </c>
    </row>
    <row r="24" spans="1:7">
      <c r="A24" s="3313" t="s">
        <v>2705</v>
      </c>
      <c r="B24" s="3311">
        <v>50</v>
      </c>
      <c r="C24" s="3311">
        <v>25</v>
      </c>
      <c r="D24" s="3312">
        <v>0.05</v>
      </c>
      <c r="E24" s="3309">
        <f>ROUND(POWER(1+D24,B24-C24)*(POWER(1+D24,C24)-1)/(POWER(1+D24,B24)-1),3)</f>
        <v>0.77200000000000002</v>
      </c>
      <c r="F24" s="3312">
        <f>F23</f>
        <v>0.6</v>
      </c>
      <c r="G24" s="3310">
        <f>ROUND(100*(1-(1-E24)*F24),1)</f>
        <v>86.3</v>
      </c>
    </row>
    <row r="25" spans="1:7">
      <c r="A25" s="3313" t="s">
        <v>2706</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2707</v>
      </c>
      <c r="B27" s="3318"/>
      <c r="C27" s="3318"/>
      <c r="D27" s="3318"/>
      <c r="E27" s="3318"/>
      <c r="F27" s="3318"/>
      <c r="G27" s="3319"/>
    </row>
    <row r="28" spans="1:7">
      <c r="A28" s="3317" t="s">
        <v>2708</v>
      </c>
      <c r="B28" s="3318"/>
      <c r="C28" s="3318"/>
      <c r="D28" s="3318"/>
      <c r="E28" s="3318"/>
      <c r="F28" s="3318"/>
      <c r="G28" s="3319"/>
    </row>
    <row r="29" spans="1:7">
      <c r="A29" s="3317" t="s">
        <v>2709</v>
      </c>
      <c r="B29" s="3318"/>
      <c r="C29" s="3318"/>
      <c r="D29" s="3318"/>
      <c r="E29" s="3318"/>
      <c r="F29" s="3318"/>
      <c r="G29" s="3319"/>
    </row>
    <row r="30" spans="1:7">
      <c r="A30" s="3317" t="s">
        <v>2710</v>
      </c>
      <c r="B30" s="3318"/>
      <c r="C30" s="3318"/>
      <c r="D30" s="3318"/>
      <c r="E30" s="3318"/>
      <c r="F30" s="3318"/>
      <c r="G30" s="3319"/>
    </row>
    <row r="31" spans="1:7">
      <c r="A31" s="3317" t="s">
        <v>2711</v>
      </c>
      <c r="B31" s="3318"/>
      <c r="C31" s="3318"/>
      <c r="D31" s="3318"/>
      <c r="E31" s="3318"/>
      <c r="F31" s="3318"/>
      <c r="G31" s="3319"/>
    </row>
    <row r="32" spans="1:7">
      <c r="A32" s="3317" t="s">
        <v>2712</v>
      </c>
      <c r="B32" s="3318"/>
      <c r="C32" s="3318"/>
      <c r="D32" s="3318"/>
      <c r="E32" s="3318"/>
      <c r="F32" s="3318"/>
      <c r="G32" s="3319"/>
    </row>
    <row r="33" spans="1:7">
      <c r="A33" s="3317" t="s">
        <v>2713</v>
      </c>
      <c r="B33" s="3318"/>
      <c r="C33" s="3318"/>
      <c r="D33" s="3318"/>
      <c r="E33" s="3318"/>
      <c r="F33" s="3318"/>
      <c r="G33" s="3319"/>
    </row>
    <row r="34" spans="1:7">
      <c r="A34" s="3317" t="s">
        <v>2714</v>
      </c>
      <c r="B34" s="3318"/>
      <c r="C34" s="3318"/>
      <c r="D34" s="3318"/>
      <c r="E34" s="3318"/>
      <c r="F34" s="3318"/>
      <c r="G34" s="3319"/>
    </row>
    <row r="35" spans="1:7">
      <c r="A35" s="3317" t="s">
        <v>2715</v>
      </c>
      <c r="B35" s="3318"/>
      <c r="C35" s="3318"/>
      <c r="D35" s="3318"/>
      <c r="E35" s="3318"/>
      <c r="F35" s="3318"/>
      <c r="G35" s="3319"/>
    </row>
    <row r="36" spans="1:7">
      <c r="A36" s="3317" t="s">
        <v>2716</v>
      </c>
      <c r="B36" s="3318"/>
      <c r="C36" s="3318"/>
      <c r="D36" s="3318"/>
      <c r="E36" s="3318"/>
      <c r="F36" s="3318"/>
      <c r="G36" s="3319"/>
    </row>
    <row r="37" spans="1:7">
      <c r="A37" s="3317" t="s">
        <v>2717</v>
      </c>
      <c r="B37" s="3318"/>
      <c r="C37" s="3318"/>
      <c r="D37" s="3318"/>
      <c r="E37" s="3318"/>
      <c r="F37" s="3318"/>
      <c r="G37" s="3319"/>
    </row>
    <row r="38" spans="1:7">
      <c r="A38" s="3317" t="s">
        <v>2718</v>
      </c>
      <c r="B38" s="3318"/>
      <c r="C38" s="3318"/>
      <c r="D38" s="3318"/>
      <c r="E38" s="3318"/>
      <c r="F38" s="3318"/>
      <c r="G38" s="3319"/>
    </row>
    <row r="39" spans="1:7">
      <c r="A39" s="3317"/>
      <c r="B39" s="3318"/>
      <c r="C39" s="3318"/>
      <c r="D39" s="3318"/>
      <c r="E39" s="3318"/>
      <c r="F39" s="3318"/>
      <c r="G39" s="3319"/>
    </row>
    <row r="40" spans="1:7">
      <c r="A40" s="3320" t="s">
        <v>2719</v>
      </c>
      <c r="B40" s="3321"/>
      <c r="C40" s="3321"/>
      <c r="D40" s="3321"/>
      <c r="E40" s="3321"/>
      <c r="F40" s="3321"/>
      <c r="G40" s="3322"/>
    </row>
    <row r="41" spans="1:7">
      <c r="A41" s="3323" t="s">
        <v>2720</v>
      </c>
      <c r="B41" s="3324" t="s">
        <v>2721</v>
      </c>
      <c r="C41" s="3325" t="s">
        <v>2722</v>
      </c>
      <c r="D41" s="3325" t="s">
        <v>2723</v>
      </c>
      <c r="E41" s="3326"/>
      <c r="F41" s="3327"/>
      <c r="G41" s="3328"/>
    </row>
    <row r="42" spans="1:7">
      <c r="A42" s="3323" t="s">
        <v>2724</v>
      </c>
      <c r="B42" s="3324" t="s">
        <v>2725</v>
      </c>
      <c r="C42" s="3325" t="s">
        <v>2725</v>
      </c>
      <c r="D42" s="3329" t="s">
        <v>2726</v>
      </c>
      <c r="E42" s="3321" t="s">
        <v>2727</v>
      </c>
      <c r="F42" s="3321"/>
      <c r="G42" s="3322"/>
    </row>
    <row r="43" spans="1:7">
      <c r="A43" s="3323" t="s">
        <v>2728</v>
      </c>
      <c r="B43" s="3324" t="s">
        <v>2729</v>
      </c>
      <c r="C43" s="3325" t="s">
        <v>2730</v>
      </c>
      <c r="D43" s="3325" t="s">
        <v>2731</v>
      </c>
      <c r="E43" s="3326" t="s">
        <v>2732</v>
      </c>
      <c r="F43" s="3327"/>
      <c r="G43" s="3328"/>
    </row>
    <row r="44" spans="1:7">
      <c r="A44" s="3323" t="s">
        <v>2733</v>
      </c>
      <c r="B44" s="3324" t="s">
        <v>2734</v>
      </c>
      <c r="C44" s="3325" t="s">
        <v>2735</v>
      </c>
      <c r="D44" s="3329">
        <v>0.5</v>
      </c>
      <c r="E44" s="3326" t="s">
        <v>2736</v>
      </c>
      <c r="F44" s="3327"/>
      <c r="G44" s="3328"/>
    </row>
    <row r="45" spans="1:7" ht="14.25" thickBot="1">
      <c r="A45" s="3330" t="s">
        <v>2737</v>
      </c>
      <c r="B45" s="3331" t="s">
        <v>2725</v>
      </c>
      <c r="C45" s="3332" t="s">
        <v>2725</v>
      </c>
      <c r="D45" s="3332" t="s">
        <v>2738</v>
      </c>
      <c r="E45" s="3333" t="s">
        <v>2739</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85" zoomScaleNormal="100" zoomScaleSheetLayoutView="85" workbookViewId="0">
      <selection activeCell="D15" sqref="D14:D15"/>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4139" t="str">
        <f>IF(B10="北京市","北京市",C10)&amp;F10&amp;A17&amp;"国有建设用地使用权"&amp;B9&amp;"预评估"</f>
        <v>北京市划拨国有建设用地使用权预评估</v>
      </c>
      <c r="C1" s="4140"/>
      <c r="D1" s="4140"/>
      <c r="E1" s="4140"/>
      <c r="F1" s="4140"/>
      <c r="G1" s="4140"/>
      <c r="H1" s="4140"/>
      <c r="I1" s="4141"/>
      <c r="J1" s="2816"/>
      <c r="K1" s="2107" t="str">
        <f>IF(B10="北京市","北京市",C10)&amp;F10&amp;A17&amp;"国有建设用地使用权"&amp;B9</f>
        <v>北京市划拨国有建设用地使用权</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北京市划拨国有建设用地使用权</v>
      </c>
      <c r="L2" s="2795"/>
      <c r="M2" s="2795"/>
      <c r="N2" s="2796"/>
      <c r="O2" s="2797"/>
      <c r="P2" s="2796"/>
      <c r="Q2" s="2796"/>
      <c r="R2" s="2796"/>
      <c r="S2" s="2796"/>
      <c r="T2" s="2796"/>
      <c r="U2" s="2796"/>
    </row>
    <row r="3" spans="1:21">
      <c r="A3" s="1464" t="s">
        <v>1459</v>
      </c>
      <c r="B3" s="1465"/>
      <c r="C3" s="2739" t="s">
        <v>1513</v>
      </c>
      <c r="D3" s="1465">
        <v>45382</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3268</v>
      </c>
      <c r="C8" s="1474"/>
      <c r="D8" s="4145"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c r="C9" s="1477"/>
      <c r="D9" s="4146"/>
      <c r="E9" s="1476"/>
      <c r="F9" s="1536"/>
      <c r="G9" s="2821"/>
      <c r="H9" s="2821"/>
      <c r="I9" s="2822"/>
      <c r="J9" s="2816"/>
      <c r="K9" s="2799"/>
      <c r="L9" s="2795"/>
      <c r="M9" s="2795"/>
      <c r="N9" s="2796"/>
      <c r="O9" s="2797"/>
      <c r="P9" s="2796"/>
      <c r="Q9" s="2796"/>
      <c r="R9" s="2796"/>
      <c r="S9" s="2796"/>
      <c r="T9" s="2796"/>
      <c r="U9" s="2796"/>
    </row>
    <row r="10" spans="1:21" ht="29.25" thickTop="1">
      <c r="A10" s="2742" t="s">
        <v>1517</v>
      </c>
      <c r="B10" s="1513" t="s">
        <v>1465</v>
      </c>
      <c r="C10" s="1478" t="s">
        <v>3409</v>
      </c>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4142"/>
      <c r="C12" s="4143"/>
      <c r="D12" s="4144"/>
      <c r="E12" s="1494" t="s">
        <v>1579</v>
      </c>
      <c r="F12" s="4160" t="s">
        <v>2163</v>
      </c>
      <c r="G12" s="4161"/>
      <c r="H12" s="4161"/>
      <c r="I12" s="4162"/>
      <c r="J12" s="2816"/>
      <c r="K12" s="2799"/>
      <c r="L12" s="2795"/>
      <c r="M12" s="2795"/>
      <c r="N12" s="2796"/>
      <c r="O12" s="2797"/>
      <c r="P12" s="2796"/>
      <c r="Q12" s="2796"/>
      <c r="R12" s="2796"/>
      <c r="S12" s="2796"/>
      <c r="T12" s="2796"/>
      <c r="U12" s="2796"/>
    </row>
    <row r="13" spans="1:21">
      <c r="A13" s="1485" t="s">
        <v>1577</v>
      </c>
      <c r="B13" s="4142"/>
      <c r="C13" s="4143"/>
      <c r="D13" s="4144"/>
      <c r="E13" s="1494" t="s">
        <v>1579</v>
      </c>
      <c r="F13" s="4160" t="s">
        <v>2164</v>
      </c>
      <c r="G13" s="4161"/>
      <c r="H13" s="4161"/>
      <c r="I13" s="4162"/>
      <c r="J13" s="2816"/>
      <c r="K13" s="2799"/>
      <c r="L13" s="2795"/>
      <c r="M13" s="2795"/>
      <c r="N13" s="2796"/>
      <c r="O13" s="2797"/>
      <c r="P13" s="2796"/>
      <c r="Q13" s="2796"/>
      <c r="R13" s="2796"/>
      <c r="S13" s="2796"/>
      <c r="T13" s="2796"/>
      <c r="U13" s="2796"/>
    </row>
    <row r="14" spans="1:21">
      <c r="A14" s="1464" t="s">
        <v>1580</v>
      </c>
      <c r="B14" s="1494"/>
      <c r="C14" s="1629" t="s">
        <v>3269</v>
      </c>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2741</v>
      </c>
      <c r="J15" s="2816"/>
      <c r="K15" s="2799"/>
      <c r="L15" s="2795"/>
      <c r="M15" s="2795"/>
      <c r="N15" s="2796"/>
      <c r="O15" s="2797"/>
      <c r="P15" s="2796"/>
      <c r="Q15" s="2796"/>
      <c r="R15" s="2796"/>
      <c r="S15" s="2796"/>
      <c r="T15" s="2796"/>
      <c r="U15" s="2796"/>
    </row>
    <row r="16" spans="1:21">
      <c r="A16" s="2744" t="s">
        <v>1467</v>
      </c>
      <c r="B16" s="1494" t="s">
        <v>1468</v>
      </c>
      <c r="C16" s="3282" t="s">
        <v>1469</v>
      </c>
      <c r="D16" s="1516" t="s">
        <v>2742</v>
      </c>
      <c r="E16" s="1516" t="s">
        <v>1212</v>
      </c>
      <c r="F16" s="1516" t="s">
        <v>2743</v>
      </c>
      <c r="G16" s="1516" t="s">
        <v>2744</v>
      </c>
      <c r="H16" s="1484" t="s">
        <v>776</v>
      </c>
      <c r="I16" s="1484" t="s">
        <v>2741</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3264</v>
      </c>
      <c r="B17" s="2745" t="s">
        <v>1473</v>
      </c>
      <c r="C17" s="3335"/>
      <c r="D17" s="3335"/>
      <c r="E17" s="3335"/>
      <c r="F17" s="3335"/>
      <c r="G17" s="3335"/>
      <c r="H17" s="3335"/>
      <c r="I17" s="3335"/>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c r="H18" s="1482">
        <v>50</v>
      </c>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0</v>
      </c>
      <c r="H19" s="1483">
        <f>IF(A17="出让",IF(H17="","",ROUNDDOWN(MIN((H17-$D$3)/365,H18),2)),H18)</f>
        <v>50</v>
      </c>
      <c r="I19" s="1483">
        <f>IF(A17="出让",IF(I17="","",ROUNDDOWN(MIN((I17-$D$3)/365,I18),2)),I18)</f>
        <v>0</v>
      </c>
      <c r="J19" s="2816"/>
      <c r="K19" s="2799"/>
      <c r="L19" s="2795"/>
      <c r="M19" s="2795"/>
      <c r="N19" s="2796"/>
      <c r="O19" s="2797"/>
      <c r="P19" s="2796"/>
      <c r="Q19" s="2796"/>
      <c r="R19" s="2796"/>
      <c r="S19" s="2796"/>
      <c r="T19" s="2796"/>
      <c r="U19" s="2796"/>
    </row>
    <row r="20" spans="1:21">
      <c r="A20" s="1572"/>
      <c r="B20" s="1573"/>
      <c r="C20" s="1574" t="s">
        <v>1578</v>
      </c>
      <c r="D20" s="4157"/>
      <c r="E20" s="4158"/>
      <c r="F20" s="4158"/>
      <c r="G20" s="4158"/>
      <c r="H20" s="4158"/>
      <c r="I20" s="4159"/>
      <c r="J20" s="2816"/>
      <c r="K20" s="2799"/>
      <c r="L20" s="2795"/>
      <c r="M20" s="2795"/>
      <c r="N20" s="2796"/>
      <c r="O20" s="2797"/>
      <c r="P20" s="2796"/>
      <c r="Q20" s="2796"/>
      <c r="R20" s="2796"/>
      <c r="S20" s="2796"/>
      <c r="T20" s="2796"/>
      <c r="U20" s="2796"/>
    </row>
    <row r="21" spans="1:21">
      <c r="A21" s="1552" t="s">
        <v>1476</v>
      </c>
      <c r="B21" s="1553" t="s">
        <v>1477</v>
      </c>
      <c r="C21" s="1548">
        <f>'数据-汇总表'!E3</f>
        <v>59218.34</v>
      </c>
      <c r="D21" s="1549" t="s">
        <v>1478</v>
      </c>
      <c r="E21" s="4147" t="s">
        <v>1516</v>
      </c>
      <c r="F21" s="4148"/>
      <c r="G21" s="4148"/>
      <c r="H21" s="4148"/>
      <c r="I21" s="4149"/>
      <c r="J21" s="2816"/>
      <c r="K21" s="2799"/>
      <c r="L21" s="2795"/>
      <c r="M21" s="2795"/>
      <c r="N21" s="2796"/>
      <c r="O21" s="2797"/>
      <c r="P21" s="2796"/>
      <c r="Q21" s="2796"/>
      <c r="R21" s="2796"/>
      <c r="S21" s="2796"/>
      <c r="T21" s="2796"/>
      <c r="U21" s="2796"/>
    </row>
    <row r="22" spans="1:21">
      <c r="A22" s="2556" t="s">
        <v>877</v>
      </c>
      <c r="B22" s="1464" t="s">
        <v>1479</v>
      </c>
      <c r="C22" s="1484">
        <f>'数据-汇总表'!D3</f>
        <v>59218.34</v>
      </c>
      <c r="D22" s="1485" t="s">
        <v>1478</v>
      </c>
      <c r="E22" s="4147" t="s">
        <v>2165</v>
      </c>
      <c r="F22" s="4148"/>
      <c r="G22" s="4148"/>
      <c r="H22" s="4148"/>
      <c r="I22" s="4149"/>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4150" t="s">
        <v>1484</v>
      </c>
      <c r="C24" s="4151"/>
      <c r="D24" s="4152" t="s">
        <v>1485</v>
      </c>
      <c r="E24" s="4153"/>
      <c r="F24" s="1502" t="s">
        <v>1486</v>
      </c>
      <c r="G24" s="2816"/>
      <c r="H24" s="2816"/>
      <c r="I24" s="2820"/>
      <c r="J24" s="2816"/>
      <c r="K24" s="4138"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4138"/>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4138"/>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4124" t="s">
        <v>1519</v>
      </c>
      <c r="B31" s="1553" t="s">
        <v>1520</v>
      </c>
      <c r="C31" s="4163"/>
      <c r="D31" s="4164"/>
      <c r="E31" s="2816"/>
      <c r="F31" s="2816"/>
      <c r="G31" s="2816"/>
      <c r="H31" s="2816"/>
      <c r="I31" s="2820"/>
      <c r="J31" s="2816"/>
      <c r="K31" s="2802"/>
      <c r="L31" s="2796"/>
      <c r="M31" s="2796"/>
      <c r="N31" s="2796"/>
      <c r="O31" s="2796"/>
      <c r="P31" s="2796"/>
      <c r="Q31" s="2796"/>
      <c r="R31" s="2796"/>
      <c r="S31" s="2796"/>
      <c r="T31" s="2796"/>
      <c r="U31" s="2796"/>
    </row>
    <row r="32" spans="1:21">
      <c r="A32" s="4124"/>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4124"/>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4125"/>
      <c r="B34" s="1464" t="s">
        <v>1523</v>
      </c>
      <c r="C34" s="4126"/>
      <c r="D34" s="4127"/>
      <c r="E34" s="2816"/>
      <c r="F34" s="2816"/>
      <c r="G34" s="2816"/>
      <c r="H34" s="2816"/>
      <c r="I34" s="2820"/>
      <c r="J34" s="2816"/>
      <c r="K34" s="2802"/>
      <c r="L34" s="2796"/>
      <c r="M34" s="2796"/>
      <c r="N34" s="2796"/>
      <c r="O34" s="2796"/>
      <c r="P34" s="2796"/>
      <c r="Q34" s="2796"/>
      <c r="R34" s="2796"/>
      <c r="S34" s="2796"/>
      <c r="T34" s="2796"/>
      <c r="U34" s="2796"/>
    </row>
    <row r="35" spans="1:28">
      <c r="A35" s="4128" t="s">
        <v>785</v>
      </c>
      <c r="B35" s="1516"/>
      <c r="C35" s="1562" t="str">
        <f>IF(B35="场地平整","——","具体情况：")</f>
        <v>具体情况：</v>
      </c>
      <c r="D35" s="4130"/>
      <c r="E35" s="4131"/>
      <c r="F35" s="4131"/>
      <c r="G35" s="4131"/>
      <c r="H35" s="4131"/>
      <c r="I35" s="4132"/>
      <c r="J35" s="2816"/>
      <c r="K35" s="2803"/>
      <c r="L35" s="2795"/>
      <c r="M35" s="2795"/>
      <c r="N35" s="2796"/>
      <c r="O35" s="2797"/>
      <c r="P35" s="2796"/>
      <c r="Q35" s="2796"/>
      <c r="R35" s="2796"/>
      <c r="S35" s="2796"/>
      <c r="T35" s="2796"/>
      <c r="U35" s="2796"/>
    </row>
    <row r="36" spans="1:28">
      <c r="A36" s="4124"/>
      <c r="B36" s="4133" t="s">
        <v>1572</v>
      </c>
      <c r="C36" s="4134"/>
      <c r="D36" s="1578"/>
      <c r="E36" s="4135"/>
      <c r="F36" s="4135"/>
      <c r="G36" s="1485" t="str">
        <f>IF(B35="场地未平整","估价结果处理","")</f>
        <v/>
      </c>
      <c r="H36" s="4136"/>
      <c r="I36" s="4136"/>
      <c r="J36" s="2816"/>
      <c r="K36" s="2803"/>
      <c r="L36" s="2795"/>
      <c r="M36" s="2795"/>
      <c r="N36" s="2796"/>
      <c r="O36" s="2797"/>
      <c r="P36" s="2796"/>
      <c r="Q36" s="2796"/>
      <c r="R36" s="2796"/>
      <c r="S36" s="2796"/>
      <c r="T36" s="2796"/>
      <c r="U36" s="2796"/>
    </row>
    <row r="37" spans="1:28" ht="28.5">
      <c r="A37" s="4124"/>
      <c r="B37" s="4154"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4124"/>
      <c r="B38" s="4155"/>
      <c r="C38" s="1472" t="s">
        <v>788</v>
      </c>
      <c r="D38" s="1577">
        <f>ROUNDDOWN(MIN(('数据-取费表'!$B$2-D37)/365,D34),1)</f>
        <v>124.3</v>
      </c>
      <c r="E38" s="1521" t="s">
        <v>789</v>
      </c>
      <c r="F38" s="2816"/>
      <c r="G38" s="2816"/>
      <c r="H38" s="2816"/>
      <c r="I38" s="2820"/>
      <c r="J38" s="2816"/>
      <c r="K38" s="2803"/>
      <c r="L38" s="2796"/>
      <c r="M38" s="2796"/>
      <c r="N38" s="2796"/>
      <c r="O38" s="2796"/>
      <c r="P38" s="2796"/>
      <c r="Q38" s="2796"/>
      <c r="R38" s="2796"/>
      <c r="S38" s="2796"/>
      <c r="T38" s="2796"/>
      <c r="U38" s="2796"/>
    </row>
    <row r="39" spans="1:28">
      <c r="A39" s="4125"/>
      <c r="B39" s="4156"/>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4137" t="s">
        <v>1503</v>
      </c>
      <c r="T40" s="1525" t="str">
        <f>NUMBERSTRING(7-K40,1)&amp;"通"</f>
        <v>七通</v>
      </c>
      <c r="U40" s="2796"/>
    </row>
    <row r="41" spans="1:28" ht="28.5">
      <c r="A41" s="1466"/>
      <c r="B41" s="4129" t="s">
        <v>1250</v>
      </c>
      <c r="C41" s="4129"/>
      <c r="D41" s="4129"/>
      <c r="E41" s="4129"/>
      <c r="F41" s="1526" t="str">
        <f>C10</f>
        <v>昌平区沙河镇北沙河北</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4137"/>
      <c r="T41" s="1527" t="str">
        <f>IF(T40="一通",L41,IF(T40="二通",M41,IF(T40="三通",N41,IF(T40="四通",O41,IF(T40="五通",P41,IF(T40="六通",Q41,R41))))))</f>
        <v>、、、、、、</v>
      </c>
      <c r="U41" s="2796"/>
    </row>
    <row r="42" spans="1:28">
      <c r="A42" s="1529"/>
      <c r="B42" s="1555" t="s">
        <v>1422</v>
      </c>
      <c r="C42" s="1555" t="s">
        <v>1423</v>
      </c>
      <c r="D42" s="1555" t="s">
        <v>1424</v>
      </c>
      <c r="E42" s="3282" t="s">
        <v>2745</v>
      </c>
      <c r="F42" s="3282" t="s">
        <v>2746</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t="s">
        <v>1155</v>
      </c>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t="s">
        <v>1135</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1" sqref="J21:J22"/>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I13</f>
        <v>59218.34</v>
      </c>
      <c r="B3" s="20">
        <f>IF(C3="否",G5-AT5,G5)</f>
        <v>59218.34</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59218.34</v>
      </c>
      <c r="H5" s="25">
        <f t="shared" ref="H5:AT5" si="0">SUM(H13:H641)</f>
        <v>59218.34</v>
      </c>
      <c r="I5" s="25">
        <f t="shared" si="0"/>
        <v>59218.34</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59218.34</v>
      </c>
      <c r="BA5" s="27">
        <f t="shared" si="1"/>
        <v>59218.34</v>
      </c>
      <c r="BB5" s="27">
        <f t="shared" si="1"/>
        <v>59218.34</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59218.34</v>
      </c>
      <c r="F6" s="25" t="s">
        <v>0</v>
      </c>
      <c r="G6" s="25" t="s">
        <v>1</v>
      </c>
      <c r="H6" s="31">
        <f>SUMIF(I$12:AB$12,"总值",I6:AB6)</f>
        <v>59218.34</v>
      </c>
      <c r="I6" s="25">
        <f t="shared" ref="I6:AB6" si="2">ROUND($A$3*I5/$B$3,2)</f>
        <v>59218.34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59218.34</v>
      </c>
      <c r="AZ6" s="25" t="s">
        <v>2</v>
      </c>
      <c r="BA6" s="25">
        <f>ROUND($AY$6*BA5/$AZ$5,2)</f>
        <v>59218.34</v>
      </c>
      <c r="BB6" s="25">
        <f>ROUND($AY$6*BB5/$AZ$5,2)</f>
        <v>59218.34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3265</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f>I10</f>
        <v>0</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3266</v>
      </c>
      <c r="E13" s="25">
        <f t="shared" ref="E13:E20" si="6">IF($C$3="是",ROUND($A$3*G13/$B$3,2),ROUND($A$3*(G13-AT13)/$B$3,2))</f>
        <v>59218.34</v>
      </c>
      <c r="F13" s="78"/>
      <c r="G13" s="79">
        <f t="shared" ref="G13:G20" si="7">H13+AC13+AT13</f>
        <v>59218.34</v>
      </c>
      <c r="H13" s="31">
        <f t="shared" ref="H13:H20" si="8">SUMIF(I$12:AB$12,"总值",I13:AB13)</f>
        <v>59218.34</v>
      </c>
      <c r="I13" s="2490">
        <v>59218.34</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59218.34</v>
      </c>
      <c r="AZ13" s="25">
        <f t="shared" ref="AZ13:AZ20" si="12">BA13+BL13</f>
        <v>59218.34</v>
      </c>
      <c r="BA13" s="25">
        <f t="shared" ref="BA13:BA20" si="13">SUM(BB13:BK13)</f>
        <v>59218.34</v>
      </c>
      <c r="BB13" s="25">
        <f t="shared" ref="BB13:BB20" si="14">IF($D13="是",I13-J13,0)</f>
        <v>59218.34</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4174" t="s">
        <v>169</v>
      </c>
      <c r="B2" s="4174"/>
      <c r="C2" s="4174"/>
      <c r="D2" s="1729" t="s">
        <v>170</v>
      </c>
      <c r="E2" s="102" t="s">
        <v>171</v>
      </c>
      <c r="F2" s="2825"/>
      <c r="G2" s="1096"/>
      <c r="H2" s="1097"/>
      <c r="I2" s="1098" t="s">
        <v>795</v>
      </c>
      <c r="J2" s="2825"/>
      <c r="K2" s="2825"/>
      <c r="L2" s="2825"/>
      <c r="M2" s="2825"/>
      <c r="N2" s="2825"/>
      <c r="O2" s="2825"/>
      <c r="P2" s="2825"/>
    </row>
    <row r="3" spans="1:16" ht="15.75" thickBot="1">
      <c r="A3" s="4175" t="s">
        <v>172</v>
      </c>
      <c r="B3" s="4175"/>
      <c r="C3" s="4175"/>
      <c r="D3" s="103">
        <f>'数据-基础表'!AY6</f>
        <v>59218.34</v>
      </c>
      <c r="E3" s="103">
        <f>'数据-基础表'!AZ5</f>
        <v>59218.34</v>
      </c>
      <c r="F3" s="2825"/>
      <c r="G3" s="271" t="s">
        <v>796</v>
      </c>
      <c r="H3" s="266" t="s">
        <v>797</v>
      </c>
      <c r="I3" s="1730">
        <f>ROUND('数据-基础表'!B3/'数据-基础表'!A3,2)</f>
        <v>1</v>
      </c>
      <c r="J3" s="2825"/>
      <c r="K3" s="2825"/>
      <c r="L3" s="2825"/>
      <c r="M3" s="2825"/>
      <c r="N3" s="2825"/>
      <c r="O3" s="2825"/>
      <c r="P3" s="2825"/>
    </row>
    <row r="4" spans="1:16" ht="15">
      <c r="A4" s="4176"/>
      <c r="B4" s="4177"/>
      <c r="C4" s="4178"/>
      <c r="D4" s="104" t="s">
        <v>170</v>
      </c>
      <c r="E4" s="105" t="s">
        <v>171</v>
      </c>
      <c r="F4" s="2825"/>
      <c r="G4" s="1099"/>
      <c r="H4" s="266" t="s">
        <v>798</v>
      </c>
      <c r="I4" s="1730">
        <f>ROUND(SUMIF('数据-基础表'!I9:AS9,"地上",'数据-基础表'!I5:AS5)/'数据-基础表'!A3,2)</f>
        <v>1</v>
      </c>
      <c r="J4" s="2825"/>
      <c r="K4" s="2825"/>
      <c r="L4" s="2825"/>
      <c r="M4" s="2825"/>
      <c r="N4" s="2825"/>
      <c r="O4" s="2825"/>
      <c r="P4" s="2825"/>
    </row>
    <row r="5" spans="1:16">
      <c r="A5" s="106" t="s">
        <v>173</v>
      </c>
      <c r="B5" s="4179" t="s">
        <v>196</v>
      </c>
      <c r="C5" s="4179"/>
      <c r="D5" s="107">
        <f>ROUND($D$3*E5/$E$3,2)</f>
        <v>0</v>
      </c>
      <c r="E5" s="108">
        <f>SUMIF('数据-基础表'!$11:$11,"住宅",'数据-基础表'!$5:$5)</f>
        <v>0</v>
      </c>
      <c r="F5" s="2825"/>
      <c r="G5" s="271" t="s">
        <v>799</v>
      </c>
      <c r="H5" s="266" t="s">
        <v>797</v>
      </c>
      <c r="I5" s="1730">
        <f>ROUND(E31/D31,2)</f>
        <v>1</v>
      </c>
      <c r="J5" s="2825"/>
      <c r="K5" s="2825"/>
      <c r="L5" s="2825"/>
      <c r="M5" s="2825"/>
      <c r="N5" s="2825"/>
      <c r="O5" s="2825"/>
      <c r="P5" s="2825"/>
    </row>
    <row r="6" spans="1:16" ht="15" thickBot="1">
      <c r="A6" s="109"/>
      <c r="B6" s="4179" t="s">
        <v>174</v>
      </c>
      <c r="C6" s="4179"/>
      <c r="D6" s="107">
        <f>ROUND($D$3*E6/$E$3,2)</f>
        <v>59218.34</v>
      </c>
      <c r="E6" s="108">
        <f>E3-E5</f>
        <v>59218.34</v>
      </c>
      <c r="F6" s="2825"/>
      <c r="G6" s="1099"/>
      <c r="H6" s="266" t="s">
        <v>798</v>
      </c>
      <c r="I6" s="1730">
        <f>ROUND(F31/D31,2)</f>
        <v>1</v>
      </c>
      <c r="J6" s="2825"/>
      <c r="K6" s="2825"/>
      <c r="L6" s="2825"/>
      <c r="M6" s="2825"/>
      <c r="N6" s="2825"/>
      <c r="O6" s="2825"/>
      <c r="P6" s="2825"/>
    </row>
    <row r="7" spans="1:16" ht="15">
      <c r="A7" s="4171"/>
      <c r="B7" s="4172"/>
      <c r="C7" s="4173"/>
      <c r="D7" s="104" t="s">
        <v>170</v>
      </c>
      <c r="E7" s="110" t="s">
        <v>197</v>
      </c>
      <c r="F7" s="2825"/>
      <c r="G7" s="1055" t="s">
        <v>1180</v>
      </c>
      <c r="H7" s="1056"/>
      <c r="I7" s="1631">
        <v>1</v>
      </c>
      <c r="J7" s="2825"/>
      <c r="K7" s="2825"/>
      <c r="L7" s="2825"/>
      <c r="M7" s="2825"/>
      <c r="N7" s="2825"/>
      <c r="O7" s="2825"/>
      <c r="P7" s="2825"/>
    </row>
    <row r="8" spans="1:16">
      <c r="A8" s="106" t="s">
        <v>175</v>
      </c>
      <c r="B8" s="111" t="s">
        <v>176</v>
      </c>
      <c r="C8" s="107" t="s">
        <v>177</v>
      </c>
      <c r="D8" s="107">
        <f t="shared" ref="D8:D15" si="0">ROUND($D$3*E8/$E$3,2)</f>
        <v>59218.34</v>
      </c>
      <c r="E8" s="112">
        <f>SUMIF('数据-基础表'!BB10:BK10,"地上",'数据-基础表'!BB5:BK5)</f>
        <v>59218.34</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59218.34</v>
      </c>
      <c r="E16" s="116">
        <f>SUM(E8:E15)</f>
        <v>59218.34</v>
      </c>
      <c r="F16" s="2825"/>
      <c r="G16" s="2826"/>
      <c r="H16" s="930" t="s">
        <v>185</v>
      </c>
      <c r="I16" s="931"/>
      <c r="J16" s="1738"/>
      <c r="K16" s="4165" t="s">
        <v>1849</v>
      </c>
      <c r="L16" s="4166"/>
      <c r="M16" s="4166"/>
      <c r="N16" s="4166"/>
      <c r="O16" s="4166"/>
      <c r="P16" s="4167"/>
    </row>
    <row r="17" spans="1:19" ht="15">
      <c r="A17" s="117" t="s">
        <v>182</v>
      </c>
      <c r="B17" s="118" t="s">
        <v>183</v>
      </c>
      <c r="C17" s="2016" t="s">
        <v>1670</v>
      </c>
      <c r="D17" s="104" t="s">
        <v>170</v>
      </c>
      <c r="E17" s="120" t="s">
        <v>171</v>
      </c>
      <c r="F17" s="121"/>
      <c r="G17" s="1225"/>
      <c r="H17" s="932" t="s">
        <v>184</v>
      </c>
      <c r="I17" s="933" t="s">
        <v>1669</v>
      </c>
      <c r="J17" s="1738"/>
      <c r="K17" s="4168" t="s">
        <v>1850</v>
      </c>
      <c r="L17" s="4169"/>
      <c r="M17" s="4170"/>
      <c r="N17" s="4168" t="s">
        <v>1851</v>
      </c>
      <c r="O17" s="4169"/>
      <c r="P17" s="4170"/>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3272</v>
      </c>
      <c r="D19" s="107">
        <f t="shared" ref="D19:D26" si="1">ROUND($D$3*E19/$E$3,2)</f>
        <v>59218.34</v>
      </c>
      <c r="E19" s="130">
        <f t="shared" ref="E19:E26" si="2">SUM(F19:G19)</f>
        <v>59218.34</v>
      </c>
      <c r="F19" s="2827">
        <f>'数据-基础表'!I13</f>
        <v>59218.34</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59218.34</v>
      </c>
      <c r="S19" s="2019">
        <f t="shared" si="5"/>
        <v>59218.34</v>
      </c>
    </row>
    <row r="20" spans="1:19">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59218.34</v>
      </c>
      <c r="E27" s="136">
        <f>IF(SUM(E19:E26)='数据-基础表'!BA5,SUM(E19:E26),IF(F27="地上面积有误","面积有误","地下面积有误"))</f>
        <v>59218.34</v>
      </c>
      <c r="F27" s="130">
        <f>IF(SUM(F19:F26)=E8,SUM(F19:F26),"地上面积有误")</f>
        <v>59218.34</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59218.34</v>
      </c>
      <c r="S27" s="266">
        <f>IF(SUM(S19:S26)=$E$3,SUM(S19:S26),SUM(S19:S26)&amp;"误差"&amp;ROUND(SUM(S19:S26)-E3,2))</f>
        <v>59218.34</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59218.34</v>
      </c>
      <c r="E31" s="1229">
        <f>E27+E30</f>
        <v>59218.34</v>
      </c>
      <c r="F31" s="1230">
        <f>F27+F30</f>
        <v>59218.34</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B2" sqref="B2"/>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45382</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3247</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工业</v>
      </c>
      <c r="B6" s="2055" t="str">
        <f>IF(A6=0,"","经营性")</f>
        <v>经营性</v>
      </c>
      <c r="C6" s="166" t="s">
        <v>905</v>
      </c>
      <c r="D6" s="2026">
        <f>SUMIF(项目基本情况!C$15:I$15,C6,项目基本情况!C$18:I$18)</f>
        <v>50</v>
      </c>
      <c r="E6" s="2027">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8">
        <v>0.04</v>
      </c>
      <c r="I6" s="2498">
        <v>4.4999999999999998E-2</v>
      </c>
      <c r="J6" s="169">
        <v>0.05</v>
      </c>
      <c r="K6" s="172">
        <f>SUMIF('数据-汇总表'!C$19:C$33,'数据-取费表'!A6,'数据-汇总表'!E$19:E$33)</f>
        <v>59218.34</v>
      </c>
      <c r="L6" s="2499"/>
      <c r="M6" s="170">
        <f t="shared" ref="M6:M14" si="1">ROUND(K6*L6/10000,0)</f>
        <v>0</v>
      </c>
      <c r="N6" s="2500"/>
      <c r="O6" s="170">
        <f>IF($N$5="成新度","——",ROUND(M6*N6,0))</f>
        <v>0</v>
      </c>
      <c r="P6" s="171">
        <f>IF($N$5="成新度","——",M6-O6)</f>
        <v>0</v>
      </c>
      <c r="Q6" s="2501"/>
      <c r="R6" s="172">
        <f>SUMIF('数据-汇总表'!C$19:C$33,A6,'数据-汇总表'!R$19:R$33)</f>
        <v>59218.34</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0.85899999999999999</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59218.34</v>
      </c>
      <c r="L16" s="197">
        <f>ROUND(M16*10000/SUM(K6:K14),0)</f>
        <v>0</v>
      </c>
      <c r="M16" s="197">
        <f>SUM(M6:M14)</f>
        <v>0</v>
      </c>
      <c r="N16" s="198" t="e">
        <f>ROUND(SUMPRODUCT(M6:M14,N6:N14)/M16,3)</f>
        <v>#DIV/0!</v>
      </c>
      <c r="O16" s="197">
        <f>SUM(O6:O14)</f>
        <v>0</v>
      </c>
      <c r="P16" s="197">
        <f>SUM(P6:P14)</f>
        <v>0</v>
      </c>
      <c r="Q16" s="199" t="e">
        <f>ROUND(SUMPRODUCT(Q6:Q13,K6:K13)/SUMPRODUCT((Q6:Q13&gt;0)*(K6:K13)),2)</f>
        <v>#DIV/0!</v>
      </c>
      <c r="R16" s="2029">
        <f>SUM(R6:R13)</f>
        <v>59218.34</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0.85899999999999999</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1</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0.5</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0.5</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1.5</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1.5</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185</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f>ROUND(B28*'数据-基础表'!A3/10000,4)</f>
        <v>1095.5392999999999</v>
      </c>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185</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2291</v>
      </c>
      <c r="B40" s="2129">
        <f ca="1">IF(A40="利息：取LPR",存贷款利率!E2,存贷款利率!E2+C40)</f>
        <v>3.4500000000000003E-2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4180" t="s">
        <v>1198</v>
      </c>
      <c r="B1" s="4181"/>
      <c r="C1" s="4181"/>
      <c r="D1" s="4181"/>
      <c r="E1" s="4181"/>
      <c r="F1" s="4181"/>
      <c r="G1" s="4181"/>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45382</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N10" sqref="N10"/>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4226" t="str">
        <f>项目基本情况!K2</f>
        <v>北京市划拨国有建设用地使用权</v>
      </c>
      <c r="B2" s="4227"/>
      <c r="C2" s="4228"/>
      <c r="D2" s="4228"/>
      <c r="E2" s="4228"/>
      <c r="F2" s="4228"/>
      <c r="G2" s="4227"/>
      <c r="H2" s="4227"/>
      <c r="I2" s="4229"/>
      <c r="J2" s="1753"/>
      <c r="K2" s="1752"/>
      <c r="L2" s="1752"/>
      <c r="M2" s="1752"/>
      <c r="N2" s="1752"/>
      <c r="O2" s="1752"/>
      <c r="P2" s="1752"/>
      <c r="Q2" s="1752"/>
      <c r="R2" s="1752"/>
      <c r="S2" s="1752"/>
      <c r="T2" s="1752"/>
      <c r="U2" s="1752"/>
      <c r="V2" s="1752"/>
    </row>
    <row r="3" spans="1:22" ht="14.25">
      <c r="A3" s="4219" t="s">
        <v>264</v>
      </c>
      <c r="B3" s="4220"/>
      <c r="C3" s="4220"/>
      <c r="D3" s="4220"/>
      <c r="E3" s="4220"/>
      <c r="F3" s="4220"/>
      <c r="G3" s="4220"/>
      <c r="H3" s="4220"/>
      <c r="I3" s="4220"/>
      <c r="J3" s="1753"/>
      <c r="K3" s="1752"/>
      <c r="L3" s="1752"/>
      <c r="M3" s="1752"/>
      <c r="N3" s="1752"/>
      <c r="O3" s="1752"/>
      <c r="P3" s="1752"/>
      <c r="Q3" s="1752"/>
      <c r="R3" s="1752"/>
      <c r="S3" s="1752"/>
      <c r="T3" s="1752"/>
      <c r="U3" s="1752"/>
      <c r="V3" s="1752"/>
    </row>
    <row r="4" spans="1:22" ht="14.25">
      <c r="A4" s="249" t="s">
        <v>265</v>
      </c>
      <c r="B4" s="250" t="s">
        <v>266</v>
      </c>
      <c r="C4" s="251" t="s">
        <v>3407</v>
      </c>
      <c r="D4" s="251" t="s">
        <v>3408</v>
      </c>
      <c r="E4" s="4185" t="s">
        <v>267</v>
      </c>
      <c r="F4" s="4186"/>
      <c r="G4" s="4186"/>
      <c r="H4" s="4186"/>
      <c r="I4" s="4221"/>
      <c r="J4" s="1753"/>
      <c r="K4" s="1752"/>
      <c r="L4" s="2939"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4184" t="s">
        <v>268</v>
      </c>
      <c r="B5" s="4213">
        <v>25</v>
      </c>
      <c r="C5" s="4211">
        <v>7</v>
      </c>
      <c r="D5" s="4215">
        <f>10-C5</f>
        <v>3</v>
      </c>
      <c r="E5" s="252" t="s">
        <v>269</v>
      </c>
      <c r="F5" s="253"/>
      <c r="G5" s="253"/>
      <c r="H5" s="253"/>
      <c r="I5" s="254"/>
      <c r="J5" s="1753"/>
      <c r="K5" s="1752"/>
      <c r="L5" s="1752"/>
      <c r="M5" s="1752"/>
      <c r="N5" s="1752"/>
      <c r="O5" s="1752"/>
      <c r="P5" s="1752"/>
      <c r="Q5" s="1752"/>
      <c r="R5" s="1752"/>
      <c r="S5" s="1752"/>
      <c r="T5" s="1752"/>
      <c r="U5" s="1752"/>
      <c r="V5" s="1752"/>
    </row>
    <row r="6" spans="1:22" ht="14.25">
      <c r="A6" s="4184"/>
      <c r="B6" s="4213"/>
      <c r="C6" s="4214"/>
      <c r="D6" s="4215"/>
      <c r="E6" s="252" t="s">
        <v>270</v>
      </c>
      <c r="F6" s="253"/>
      <c r="G6" s="253"/>
      <c r="H6" s="253"/>
      <c r="I6" s="254"/>
      <c r="J6" s="1753"/>
      <c r="K6" s="1752"/>
      <c r="L6" s="1752"/>
      <c r="M6" s="1752"/>
      <c r="N6" s="1752"/>
      <c r="O6" s="1752"/>
      <c r="P6" s="1752"/>
      <c r="Q6" s="1752"/>
      <c r="R6" s="1752"/>
      <c r="S6" s="1752"/>
      <c r="T6" s="1752"/>
      <c r="U6" s="1752"/>
      <c r="V6" s="1752"/>
    </row>
    <row r="7" spans="1:22" ht="14.25">
      <c r="A7" s="4184"/>
      <c r="B7" s="4213"/>
      <c r="C7" s="4212"/>
      <c r="D7" s="4215"/>
      <c r="E7" s="252" t="s">
        <v>271</v>
      </c>
      <c r="F7" s="253"/>
      <c r="G7" s="253"/>
      <c r="H7" s="253"/>
      <c r="I7" s="254"/>
      <c r="J7" s="1753"/>
      <c r="K7" s="1752"/>
      <c r="L7" s="1752"/>
      <c r="M7" s="1752"/>
      <c r="N7" s="1752"/>
      <c r="O7" s="1752"/>
      <c r="P7" s="1752"/>
      <c r="Q7" s="1752"/>
      <c r="R7" s="1752"/>
      <c r="S7" s="1752"/>
      <c r="T7" s="1752"/>
      <c r="U7" s="1752"/>
      <c r="V7" s="1752"/>
    </row>
    <row r="8" spans="1:22" ht="14.25">
      <c r="A8" s="4184" t="s">
        <v>272</v>
      </c>
      <c r="B8" s="4213">
        <v>15</v>
      </c>
      <c r="C8" s="4211"/>
      <c r="D8" s="4215"/>
      <c r="E8" s="252" t="s">
        <v>273</v>
      </c>
      <c r="F8" s="253"/>
      <c r="G8" s="253"/>
      <c r="H8" s="253"/>
      <c r="I8" s="254"/>
      <c r="J8" s="1753"/>
      <c r="K8" s="1752"/>
      <c r="L8" s="1752"/>
      <c r="M8" s="1752"/>
      <c r="N8" s="1752"/>
      <c r="O8" s="1752"/>
      <c r="P8" s="1752"/>
      <c r="Q8" s="1752"/>
      <c r="R8" s="1752"/>
      <c r="S8" s="1752"/>
      <c r="T8" s="1752"/>
      <c r="U8" s="1752"/>
      <c r="V8" s="1752"/>
    </row>
    <row r="9" spans="1:22" ht="14.25">
      <c r="A9" s="4184"/>
      <c r="B9" s="4213"/>
      <c r="C9" s="4212"/>
      <c r="D9" s="4215"/>
      <c r="E9" s="252" t="s">
        <v>274</v>
      </c>
      <c r="F9" s="253"/>
      <c r="G9" s="253"/>
      <c r="H9" s="253"/>
      <c r="I9" s="254"/>
      <c r="J9" s="1753"/>
      <c r="K9" s="1752"/>
      <c r="L9" s="1752"/>
      <c r="M9" s="1752"/>
      <c r="N9" s="1752"/>
      <c r="O9" s="1752"/>
      <c r="P9" s="1752"/>
      <c r="Q9" s="1752"/>
      <c r="R9" s="1752"/>
      <c r="S9" s="1752"/>
      <c r="T9" s="1752"/>
      <c r="U9" s="1752"/>
      <c r="V9" s="1752"/>
    </row>
    <row r="10" spans="1:22" ht="14.25">
      <c r="A10" s="4184" t="s">
        <v>275</v>
      </c>
      <c r="B10" s="4213">
        <v>15</v>
      </c>
      <c r="C10" s="4211"/>
      <c r="D10" s="4215"/>
      <c r="E10" s="252" t="s">
        <v>276</v>
      </c>
      <c r="F10" s="253"/>
      <c r="G10" s="253"/>
      <c r="H10" s="253"/>
      <c r="I10" s="254"/>
      <c r="J10" s="1753"/>
      <c r="K10" s="1752"/>
      <c r="L10" s="1752"/>
      <c r="M10" s="1752"/>
      <c r="N10" s="1752"/>
      <c r="O10" s="1752"/>
      <c r="P10" s="1752"/>
      <c r="Q10" s="1752"/>
      <c r="R10" s="1752"/>
      <c r="S10" s="1752"/>
      <c r="T10" s="1752"/>
      <c r="U10" s="1752"/>
      <c r="V10" s="1752"/>
    </row>
    <row r="11" spans="1:22" ht="14.25">
      <c r="A11" s="4184"/>
      <c r="B11" s="4213"/>
      <c r="C11" s="4212"/>
      <c r="D11" s="4215"/>
      <c r="E11" s="252" t="s">
        <v>277</v>
      </c>
      <c r="F11" s="253"/>
      <c r="G11" s="253"/>
      <c r="H11" s="253"/>
      <c r="I11" s="254"/>
      <c r="J11" s="1753"/>
      <c r="K11" s="1752"/>
      <c r="L11" s="1752"/>
      <c r="M11" s="1752"/>
      <c r="N11" s="1752"/>
      <c r="O11" s="1752"/>
      <c r="P11" s="1752"/>
      <c r="Q11" s="1752"/>
      <c r="R11" s="1752"/>
      <c r="S11" s="1752"/>
      <c r="T11" s="1752"/>
      <c r="U11" s="1752"/>
      <c r="V11" s="1752"/>
    </row>
    <row r="12" spans="1:22" ht="14.25">
      <c r="A12" s="4184" t="s">
        <v>278</v>
      </c>
      <c r="B12" s="4213">
        <v>15</v>
      </c>
      <c r="C12" s="4211"/>
      <c r="D12" s="4215"/>
      <c r="E12" s="252" t="s">
        <v>279</v>
      </c>
      <c r="F12" s="253"/>
      <c r="G12" s="253"/>
      <c r="H12" s="253"/>
      <c r="I12" s="254"/>
      <c r="J12" s="1753"/>
      <c r="K12" s="1752"/>
      <c r="L12" s="1752"/>
      <c r="M12" s="1752"/>
      <c r="N12" s="1752"/>
      <c r="O12" s="1752"/>
      <c r="P12" s="1752"/>
      <c r="Q12" s="1752"/>
      <c r="R12" s="1752"/>
      <c r="S12" s="1752"/>
      <c r="T12" s="1752"/>
      <c r="U12" s="1752"/>
      <c r="V12" s="1752"/>
    </row>
    <row r="13" spans="1:22" ht="14.25">
      <c r="A13" s="4184"/>
      <c r="B13" s="4213"/>
      <c r="C13" s="4212"/>
      <c r="D13" s="4215"/>
      <c r="E13" s="252" t="s">
        <v>280</v>
      </c>
      <c r="F13" s="253"/>
      <c r="G13" s="253"/>
      <c r="H13" s="253"/>
      <c r="I13" s="254"/>
      <c r="J13" s="1753"/>
      <c r="K13" s="1752"/>
      <c r="L13" s="1752"/>
      <c r="M13" s="1752"/>
      <c r="N13" s="1752"/>
      <c r="O13" s="1752"/>
      <c r="P13" s="1752"/>
      <c r="Q13" s="1752"/>
      <c r="R13" s="1752"/>
      <c r="S13" s="1752"/>
      <c r="T13" s="1752"/>
      <c r="U13" s="1752"/>
      <c r="V13" s="1752"/>
    </row>
    <row r="14" spans="1:22" ht="14.25">
      <c r="A14" s="4184" t="s">
        <v>281</v>
      </c>
      <c r="B14" s="4213">
        <v>30</v>
      </c>
      <c r="C14" s="4211"/>
      <c r="D14" s="4215"/>
      <c r="E14" s="252" t="s">
        <v>282</v>
      </c>
      <c r="F14" s="253"/>
      <c r="G14" s="253"/>
      <c r="H14" s="253"/>
      <c r="I14" s="254"/>
      <c r="J14" s="1753"/>
      <c r="K14" s="1752"/>
      <c r="L14" s="1752"/>
      <c r="M14" s="1752"/>
      <c r="N14" s="1752"/>
      <c r="O14" s="1752"/>
      <c r="P14" s="1752"/>
      <c r="Q14" s="1752"/>
      <c r="R14" s="1752"/>
      <c r="S14" s="1752"/>
      <c r="T14" s="1752"/>
      <c r="U14" s="1752"/>
      <c r="V14" s="1752"/>
    </row>
    <row r="15" spans="1:22" ht="14.25">
      <c r="A15" s="4184"/>
      <c r="B15" s="4213"/>
      <c r="C15" s="4214"/>
      <c r="D15" s="4215"/>
      <c r="E15" s="252" t="s">
        <v>283</v>
      </c>
      <c r="F15" s="253"/>
      <c r="G15" s="253"/>
      <c r="H15" s="253"/>
      <c r="I15" s="254"/>
      <c r="J15" s="1753"/>
      <c r="K15" s="1752"/>
      <c r="L15" s="1752"/>
      <c r="M15" s="1752"/>
      <c r="N15" s="1752"/>
      <c r="O15" s="1752"/>
      <c r="P15" s="1752"/>
      <c r="Q15" s="1752"/>
      <c r="R15" s="1752"/>
      <c r="S15" s="1752"/>
      <c r="T15" s="1752"/>
      <c r="U15" s="1752"/>
      <c r="V15" s="1752"/>
    </row>
    <row r="16" spans="1:22" ht="14.25">
      <c r="A16" s="4184"/>
      <c r="B16" s="4213"/>
      <c r="C16" s="4212"/>
      <c r="D16" s="4215"/>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0.7</v>
      </c>
      <c r="D18" s="258">
        <f>1-C18</f>
        <v>0.30000000000000004</v>
      </c>
      <c r="E18" s="4216" t="s">
        <v>2254</v>
      </c>
      <c r="F18" s="4217"/>
      <c r="G18" s="4217"/>
      <c r="H18" s="4217"/>
      <c r="I18" s="4217"/>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27258</v>
      </c>
      <c r="D19" s="262">
        <f ca="1">SUMIF(INDIRECT("'"&amp;D4&amp;"'"&amp;"!A:A"),结果表!B19,INDIRECT("'"&amp;D4&amp;"'"&amp;"!B:B"))</f>
        <v>17902</v>
      </c>
      <c r="E19" s="259" t="s">
        <v>289</v>
      </c>
      <c r="F19" s="260" t="s">
        <v>288</v>
      </c>
      <c r="G19" s="263">
        <f ca="1">ROUND(C19*$C$18+D19*$D$18,0)</f>
        <v>24451</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4603</v>
      </c>
      <c r="D20" s="268">
        <f ca="1">SUMIF(INDIRECT("'"&amp;D4&amp;"'"&amp;"!A:A"),结果表!B20,INDIRECT("'"&amp;D4&amp;"'"&amp;"!B:B"))</f>
        <v>3023</v>
      </c>
      <c r="E20" s="265"/>
      <c r="F20" s="266" t="s">
        <v>291</v>
      </c>
      <c r="G20" s="269">
        <f ca="1">ROUND(C20*$C$18+D20*$D$18,0)</f>
        <v>4129</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4603</v>
      </c>
      <c r="D21" s="144">
        <f ca="1">SUMIF(INDIRECT("'"&amp;D4&amp;"'"&amp;"!A:A"),结果表!B21,INDIRECT("'"&amp;D4&amp;"'"&amp;"!B:B"))</f>
        <v>3023</v>
      </c>
      <c r="E21" s="265"/>
      <c r="F21" s="271" t="s">
        <v>293</v>
      </c>
      <c r="G21" s="273">
        <f ca="1">ROUND(C21*$C$18+D21*$D$18,0)</f>
        <v>4129</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0.52262317059546426</v>
      </c>
      <c r="E22" s="275"/>
      <c r="F22" s="276"/>
      <c r="G22" s="277">
        <f ca="1">ROUND(G19/('数据-汇总表'!D3/666.67),0)</f>
        <v>275</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4190"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4191"/>
      <c r="B25" s="1190" t="s">
        <v>297</v>
      </c>
      <c r="C25" s="281">
        <f>IF(B30=0,0,C30)</f>
        <v>0</v>
      </c>
      <c r="D25" s="282"/>
      <c r="E25" s="302"/>
      <c r="F25" s="302"/>
      <c r="G25" s="302"/>
      <c r="H25" s="302"/>
      <c r="I25" s="302"/>
      <c r="J25" s="1752"/>
      <c r="K25" s="1124" t="str">
        <f ca="1">项目基本情况!A17&amp;"国有建设用地使用权价格："&amp;O38&amp;"万元"</f>
        <v>划拨国有建设用地使用权价格：24451万元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大写金额：人民币贰亿肆仟肆佰伍拾壹万元整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单位面积地价：4129元/平方米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楼面地价：4129元/平方米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4218" t="s">
        <v>2256</v>
      </c>
      <c r="B31" s="4218"/>
      <c r="C31" s="4218"/>
      <c r="D31" s="4218"/>
      <c r="E31" s="4218"/>
      <c r="F31" s="4218"/>
      <c r="G31" s="4218"/>
      <c r="H31" s="4218"/>
      <c r="I31" s="4218"/>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f ca="1">G19-C24</f>
        <v>24451</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4129</v>
      </c>
      <c r="D33" s="1240" t="s">
        <v>1224</v>
      </c>
      <c r="E33" s="4190"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4129</v>
      </c>
      <c r="D34" s="1242" t="s">
        <v>1224</v>
      </c>
      <c r="E34" s="4234"/>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275</v>
      </c>
      <c r="D35" s="1245" t="s">
        <v>1226</v>
      </c>
      <c r="E35" s="4235"/>
      <c r="F35" s="292" t="s">
        <v>308</v>
      </c>
      <c r="G35" s="944"/>
      <c r="H35" s="943" t="s">
        <v>309</v>
      </c>
      <c r="I35" s="302"/>
      <c r="J35" s="1752"/>
      <c r="K35" s="4208" t="s">
        <v>316</v>
      </c>
      <c r="L35" s="4208" t="s">
        <v>317</v>
      </c>
      <c r="M35" s="1133" t="s">
        <v>318</v>
      </c>
      <c r="N35" s="4208" t="s">
        <v>319</v>
      </c>
      <c r="O35" s="4208" t="s">
        <v>320</v>
      </c>
      <c r="P35" s="1752"/>
      <c r="V35" s="1752"/>
    </row>
    <row r="36" spans="1:26" ht="16.5" customHeight="1">
      <c r="A36" s="294" t="s">
        <v>310</v>
      </c>
      <c r="B36" s="295" t="s">
        <v>299</v>
      </c>
      <c r="C36" s="296" t="s">
        <v>311</v>
      </c>
      <c r="D36" s="296" t="s">
        <v>312</v>
      </c>
      <c r="E36" s="297" t="s">
        <v>313</v>
      </c>
      <c r="F36" s="302"/>
      <c r="G36" s="302"/>
      <c r="H36" s="302"/>
      <c r="I36" s="302"/>
      <c r="J36" s="1754"/>
      <c r="K36" s="4209"/>
      <c r="L36" s="4209"/>
      <c r="M36" s="1135" t="s">
        <v>321</v>
      </c>
      <c r="N36" s="4209"/>
      <c r="O36" s="4209"/>
      <c r="P36" s="1752"/>
      <c r="V36" s="1752"/>
    </row>
    <row r="37" spans="1:26" ht="16.5" customHeight="1" thickBot="1">
      <c r="A37" s="1129" t="s">
        <v>314</v>
      </c>
      <c r="B37" s="298"/>
      <c r="C37" s="285"/>
      <c r="D37" s="285"/>
      <c r="E37" s="286"/>
      <c r="F37" s="302"/>
      <c r="G37" s="302"/>
      <c r="H37" s="302"/>
      <c r="I37" s="302"/>
      <c r="J37" s="1754"/>
      <c r="K37" s="4210"/>
      <c r="L37" s="4210"/>
      <c r="M37" s="1136"/>
      <c r="N37" s="4210"/>
      <c r="O37" s="4210"/>
      <c r="P37" s="1752"/>
      <c r="V37" s="1752"/>
    </row>
    <row r="38" spans="1:26" ht="16.5" customHeight="1" thickBot="1">
      <c r="A38" s="1129" t="s">
        <v>315</v>
      </c>
      <c r="B38" s="298"/>
      <c r="C38" s="285"/>
      <c r="D38" s="285"/>
      <c r="E38" s="286"/>
      <c r="F38" s="302"/>
      <c r="G38" s="302"/>
      <c r="H38" s="302"/>
      <c r="I38" s="302"/>
      <c r="J38" s="1754"/>
      <c r="K38" s="1137">
        <f>'数据-汇总表'!D3</f>
        <v>59218.34</v>
      </c>
      <c r="L38" s="1138">
        <f>'数据-汇总表'!E3</f>
        <v>59218.34</v>
      </c>
      <c r="M38" s="1138">
        <f ca="1">C34</f>
        <v>4129</v>
      </c>
      <c r="N38" s="1138">
        <f ca="1">C33</f>
        <v>4129</v>
      </c>
      <c r="O38" s="1139">
        <f ca="1">C32</f>
        <v>24451</v>
      </c>
      <c r="P38" s="1752"/>
      <c r="V38" s="1752"/>
    </row>
    <row r="39" spans="1:26" ht="16.5" customHeight="1" thickBot="1">
      <c r="A39" s="1134"/>
      <c r="B39" s="299"/>
      <c r="C39" s="300"/>
      <c r="D39" s="300"/>
      <c r="E39" s="301"/>
      <c r="F39" s="302"/>
      <c r="G39" s="302"/>
      <c r="H39" s="302"/>
      <c r="I39" s="302"/>
      <c r="J39" s="1754"/>
      <c r="K39" s="4248" t="str">
        <f>MID(A44,3,LEN(A44)-2)</f>
        <v/>
      </c>
      <c r="L39" s="4249"/>
      <c r="M39" s="4249"/>
      <c r="N39" s="4250"/>
      <c r="O39" s="1247" t="str">
        <f>C44</f>
        <v>——</v>
      </c>
      <c r="P39" s="1752"/>
      <c r="V39" s="1752"/>
    </row>
    <row r="40" spans="1:26" ht="19.5" thickBot="1">
      <c r="A40" s="100" t="s">
        <v>810</v>
      </c>
      <c r="B40" s="302"/>
      <c r="C40" s="302"/>
      <c r="D40" s="302"/>
      <c r="E40" s="302"/>
      <c r="F40" s="302"/>
      <c r="G40" s="302"/>
      <c r="H40" s="302"/>
      <c r="I40" s="302"/>
      <c r="J40" s="1754"/>
      <c r="K40" s="4248" t="str">
        <f>MID(A45,3,LEN(A45)-2)</f>
        <v/>
      </c>
      <c r="L40" s="4249"/>
      <c r="M40" s="4249"/>
      <c r="N40" s="4250"/>
      <c r="O40" s="1247" t="str">
        <f>C45</f>
        <v>——</v>
      </c>
      <c r="P40" s="1752"/>
      <c r="V40" s="1752"/>
    </row>
    <row r="41" spans="1:26" ht="16.5" thickBot="1">
      <c r="A41" s="303" t="s">
        <v>322</v>
      </c>
      <c r="B41" s="304"/>
      <c r="C41" s="305" t="s">
        <v>323</v>
      </c>
      <c r="D41" s="306" t="s">
        <v>324</v>
      </c>
      <c r="E41" s="306" t="s">
        <v>325</v>
      </c>
      <c r="F41" s="307" t="s">
        <v>326</v>
      </c>
      <c r="G41" s="302"/>
      <c r="H41" s="302"/>
      <c r="I41" s="302"/>
      <c r="J41" s="1754"/>
      <c r="K41" s="4248" t="str">
        <f>MID(A46,3,LEN(A46)-2)</f>
        <v/>
      </c>
      <c r="L41" s="4249"/>
      <c r="M41" s="4249"/>
      <c r="N41" s="4250"/>
      <c r="O41" s="1247" t="str">
        <f>C46</f>
        <v>——</v>
      </c>
      <c r="P41" s="1752"/>
      <c r="V41" s="1752"/>
    </row>
    <row r="42" spans="1:26" ht="29.25">
      <c r="A42" s="4192" t="s">
        <v>1585</v>
      </c>
      <c r="B42" s="4193"/>
      <c r="C42" s="255">
        <f ca="1">C32</f>
        <v>24451</v>
      </c>
      <c r="D42" s="308">
        <f ca="1">C33</f>
        <v>4129</v>
      </c>
      <c r="E42" s="308">
        <f ca="1">C34</f>
        <v>4129</v>
      </c>
      <c r="F42" s="309">
        <f ca="1">C35</f>
        <v>275</v>
      </c>
      <c r="G42" s="302"/>
      <c r="H42" s="302"/>
      <c r="I42" s="310"/>
      <c r="J42" s="1754"/>
      <c r="K42" s="1140" t="s">
        <v>327</v>
      </c>
      <c r="L42" s="1771" t="s">
        <v>328</v>
      </c>
      <c r="M42" s="1141" t="s">
        <v>329</v>
      </c>
      <c r="N42" s="1772" t="s">
        <v>330</v>
      </c>
      <c r="O42" s="1773" t="s">
        <v>331</v>
      </c>
      <c r="P42" s="1752"/>
      <c r="V42" s="1752"/>
    </row>
    <row r="43" spans="1:26" ht="18">
      <c r="A43" s="4203" t="s">
        <v>2012</v>
      </c>
      <c r="B43" s="4204"/>
      <c r="C43" s="255">
        <f>IF(H33="正常操作",G33+G34+G35,G34+G35)</f>
        <v>0</v>
      </c>
      <c r="D43" s="308" t="s">
        <v>17</v>
      </c>
      <c r="E43" s="308" t="s">
        <v>18</v>
      </c>
      <c r="F43" s="309" t="s">
        <v>18</v>
      </c>
      <c r="G43" s="2346" t="s">
        <v>877</v>
      </c>
      <c r="H43" s="302"/>
      <c r="I43" s="310"/>
      <c r="J43" s="1754"/>
      <c r="K43" s="1142" t="str">
        <f>C4</f>
        <v>比较法-工业</v>
      </c>
      <c r="L43" s="1143">
        <f ca="1">IF(L42="估价结果/万元",C19,C20)</f>
        <v>27258</v>
      </c>
      <c r="M43" s="1144">
        <f>C18</f>
        <v>0.7</v>
      </c>
      <c r="N43" s="1145">
        <f ca="1">IF(N42="测算结果/万元",G19,G20)</f>
        <v>24451</v>
      </c>
      <c r="O43" s="1146">
        <f ca="1">IF(O42="最终结果/万元",C32,C33)</f>
        <v>24451</v>
      </c>
      <c r="P43" s="1752"/>
      <c r="V43" s="1752"/>
    </row>
    <row r="44" spans="1:26" ht="18.75" thickBot="1">
      <c r="A44" s="4192" t="str">
        <f>IF(OR(项目基本情况!E8="抵押价格",项目基本情况!E8="已注销及未注销"),"3.抵押价格","——")</f>
        <v>——</v>
      </c>
      <c r="B44" s="4193"/>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成本逼近法</v>
      </c>
      <c r="L44" s="1148">
        <f ca="1">IF(L42="估价结果/万元",D19,D20)</f>
        <v>17902</v>
      </c>
      <c r="M44" s="1149">
        <f>D18</f>
        <v>0.30000000000000004</v>
      </c>
      <c r="N44" s="1150"/>
      <c r="O44" s="1151"/>
      <c r="P44" s="1752"/>
      <c r="V44" s="1752"/>
    </row>
    <row r="45" spans="1:26" ht="15">
      <c r="A45" s="4198" t="str">
        <f>IF(项目基本情况!E8="已注销及未注销","4.抵押担保权已注销时的抵押价格",IF(项目基本情况!E8="已注销","3.抵押担保权已注销时的抵押价格","——"))</f>
        <v>——</v>
      </c>
      <c r="B45" s="4199"/>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4194" t="str">
        <f>IF(项目基本情况!E9="抵押净值",IF(A45="——","4.抵押净值","5.抵押净值"),"——")</f>
        <v>——</v>
      </c>
      <c r="B46" s="4195"/>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4242" t="s">
        <v>340</v>
      </c>
      <c r="B63" s="4243"/>
      <c r="C63" s="4244"/>
      <c r="D63" s="332">
        <f ca="1">ROUND(C42*F63,0)</f>
        <v>24451</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4200" t="s">
        <v>344</v>
      </c>
      <c r="B64" s="4201"/>
      <c r="C64" s="4201"/>
      <c r="D64" s="4201"/>
      <c r="E64" s="4201"/>
      <c r="F64" s="4201"/>
      <c r="G64" s="4202"/>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4196" t="s">
        <v>352</v>
      </c>
      <c r="B66" s="4197"/>
      <c r="C66" s="4197"/>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4257" t="s">
        <v>351</v>
      </c>
      <c r="M66" s="4258"/>
      <c r="N66" s="2110"/>
      <c r="O66" s="2111"/>
      <c r="P66" s="2112"/>
      <c r="Q66" s="1752"/>
      <c r="R66" s="1752"/>
      <c r="S66" s="1752"/>
      <c r="T66" s="1752"/>
      <c r="U66" s="1752"/>
      <c r="V66" s="1752"/>
    </row>
    <row r="67" spans="1:22" ht="25.5" customHeight="1">
      <c r="A67" s="343" t="s">
        <v>355</v>
      </c>
      <c r="B67" s="4187" t="s">
        <v>356</v>
      </c>
      <c r="C67" s="4187"/>
      <c r="D67" s="344">
        <v>0</v>
      </c>
      <c r="E67" s="39" t="s">
        <v>357</v>
      </c>
      <c r="F67" s="60" t="s">
        <v>15</v>
      </c>
      <c r="G67" s="4245"/>
      <c r="H67" s="2749" t="s">
        <v>2257</v>
      </c>
      <c r="I67" s="2751"/>
      <c r="J67" s="1759"/>
      <c r="K67" s="1731">
        <v>2</v>
      </c>
      <c r="L67" s="4251" t="s">
        <v>354</v>
      </c>
      <c r="M67" s="4251"/>
      <c r="N67" s="1194">
        <f>'数据-取费表'!B2</f>
        <v>45382</v>
      </c>
      <c r="O67" s="1194"/>
      <c r="P67" s="1194"/>
      <c r="Q67" s="1752"/>
      <c r="R67" s="1752"/>
      <c r="S67" s="1752"/>
      <c r="T67" s="1752"/>
      <c r="U67" s="1752"/>
      <c r="V67" s="1752"/>
    </row>
    <row r="68" spans="1:22" ht="25.5" customHeight="1">
      <c r="A68" s="345"/>
      <c r="B68" s="4187" t="s">
        <v>359</v>
      </c>
      <c r="C68" s="4187"/>
      <c r="D68" s="346"/>
      <c r="E68" s="75"/>
      <c r="F68" s="347"/>
      <c r="G68" s="4246"/>
      <c r="H68" s="2750" t="s">
        <v>2258</v>
      </c>
      <c r="I68" s="2751"/>
      <c r="J68" s="1759"/>
      <c r="K68" s="1731">
        <v>3</v>
      </c>
      <c r="L68" s="4251" t="s">
        <v>358</v>
      </c>
      <c r="M68" s="4251"/>
      <c r="N68" s="1162">
        <f ca="1">C42</f>
        <v>24451</v>
      </c>
      <c r="O68" s="1162"/>
      <c r="P68" s="1162"/>
      <c r="Q68" s="1752"/>
      <c r="R68" s="1752"/>
      <c r="S68" s="1752"/>
      <c r="T68" s="1752"/>
      <c r="U68" s="1752"/>
      <c r="V68" s="1752"/>
    </row>
    <row r="69" spans="1:22" ht="23.45" customHeight="1">
      <c r="A69" s="348"/>
      <c r="B69" s="4187" t="s">
        <v>360</v>
      </c>
      <c r="C69" s="4187"/>
      <c r="D69" s="349"/>
      <c r="E69" s="71"/>
      <c r="F69" s="347"/>
      <c r="G69" s="4247"/>
      <c r="H69" s="2750" t="s">
        <v>2259</v>
      </c>
      <c r="I69" s="2751"/>
      <c r="J69" s="1759"/>
      <c r="K69" s="1163">
        <v>4</v>
      </c>
      <c r="L69" s="4261" t="s">
        <v>2157</v>
      </c>
      <c r="M69" s="4262"/>
      <c r="N69" s="1164" t="str">
        <f>C44</f>
        <v>——</v>
      </c>
      <c r="O69" s="1164"/>
      <c r="P69" s="1164"/>
      <c r="Q69" s="1752"/>
      <c r="R69" s="1752"/>
      <c r="S69" s="1752"/>
      <c r="T69" s="1752"/>
      <c r="U69" s="1752"/>
      <c r="V69" s="1752"/>
    </row>
    <row r="70" spans="1:22" ht="24" customHeight="1">
      <c r="A70" s="350" t="s">
        <v>361</v>
      </c>
      <c r="B70" s="4187" t="s">
        <v>362</v>
      </c>
      <c r="C70" s="4187"/>
      <c r="D70" s="349">
        <f ca="1">ROUND(D63*'数据-取费表'!B41/(1+'数据-取费表'!C42),0)</f>
        <v>1281</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4188" t="s">
        <v>2286</v>
      </c>
      <c r="C71" s="4189"/>
      <c r="D71" s="349">
        <f ca="1">ROUND(D63*'数据-取费表'!B41/(1+'数据-取费表'!C42),0)</f>
        <v>1281</v>
      </c>
      <c r="E71" s="15" t="s">
        <v>363</v>
      </c>
      <c r="F71" s="351">
        <f>'数据-取费表'!B41</f>
        <v>5.5000000000000007E-2</v>
      </c>
      <c r="G71" s="352"/>
      <c r="H71" s="302"/>
      <c r="I71" s="1161"/>
      <c r="J71" s="1759"/>
      <c r="K71" s="2521" t="s">
        <v>364</v>
      </c>
      <c r="L71" s="4263" t="s">
        <v>365</v>
      </c>
      <c r="M71" s="4263"/>
      <c r="N71" s="2521" t="s">
        <v>366</v>
      </c>
      <c r="O71" s="2521" t="s">
        <v>367</v>
      </c>
      <c r="P71" s="2521" t="s">
        <v>368</v>
      </c>
      <c r="Q71" s="1752"/>
      <c r="R71" s="1752"/>
      <c r="S71" s="1752"/>
      <c r="T71" s="1752"/>
      <c r="U71" s="1752"/>
      <c r="V71" s="1752"/>
    </row>
    <row r="72" spans="1:22" ht="12" customHeight="1">
      <c r="A72" s="350" t="s">
        <v>371</v>
      </c>
      <c r="B72" s="4188" t="s">
        <v>2287</v>
      </c>
      <c r="C72" s="4189"/>
      <c r="D72" s="349">
        <f ca="1">C86</f>
        <v>1281</v>
      </c>
      <c r="E72" s="71" t="s">
        <v>372</v>
      </c>
      <c r="F72" s="351">
        <f>'数据-取费表'!B41</f>
        <v>5.5000000000000007E-2</v>
      </c>
      <c r="G72" s="352"/>
      <c r="H72" s="1167"/>
      <c r="I72" s="1161"/>
      <c r="J72" s="1759"/>
      <c r="K72" s="1731">
        <v>1</v>
      </c>
      <c r="L72" s="4238" t="s">
        <v>370</v>
      </c>
      <c r="M72" s="4238"/>
      <c r="N72" s="1165" t="b">
        <f>D66</f>
        <v>0</v>
      </c>
      <c r="O72" s="1636" t="str">
        <f>E66</f>
        <v>销售额×税（费）率</v>
      </c>
      <c r="P72" s="1166">
        <f>F66</f>
        <v>5.5000000000000007E-2</v>
      </c>
      <c r="Q72" s="1752"/>
      <c r="R72" s="1752"/>
      <c r="S72" s="1752"/>
      <c r="T72" s="1752"/>
      <c r="U72" s="1752"/>
      <c r="V72" s="1752"/>
    </row>
    <row r="73" spans="1:22" ht="24" customHeight="1">
      <c r="A73" s="4233" t="s">
        <v>374</v>
      </c>
      <c r="B73" s="4197"/>
      <c r="C73" s="4197"/>
      <c r="D73" s="353">
        <f ca="1">IF(H73="个人住宅",0,ROUND(D63*I73,0))</f>
        <v>12</v>
      </c>
      <c r="E73" s="15" t="s">
        <v>375</v>
      </c>
      <c r="F73" s="351" t="str">
        <f>IF(H73="正常",I73,"免征")</f>
        <v>免征</v>
      </c>
      <c r="G73" s="352"/>
      <c r="H73" s="184"/>
      <c r="I73" s="351">
        <f>'数据-取费表'!B49</f>
        <v>5.0000000000000001E-4</v>
      </c>
      <c r="J73" s="1759"/>
      <c r="K73" s="1731">
        <v>2</v>
      </c>
      <c r="L73" s="4238" t="s">
        <v>373</v>
      </c>
      <c r="M73" s="4238"/>
      <c r="N73" s="1165">
        <f t="shared" ref="N73:P74" ca="1" si="0">D73</f>
        <v>12</v>
      </c>
      <c r="O73" s="1636" t="str">
        <f t="shared" si="0"/>
        <v>销售额×税（费）率</v>
      </c>
      <c r="P73" s="1166" t="str">
        <f t="shared" si="0"/>
        <v>免征</v>
      </c>
      <c r="Q73" s="1752"/>
      <c r="R73" s="1752"/>
      <c r="S73" s="1752"/>
      <c r="T73" s="1752"/>
      <c r="U73" s="1752"/>
      <c r="V73" s="1752"/>
    </row>
    <row r="74" spans="1:22" ht="24.75">
      <c r="A74" s="4233" t="s">
        <v>377</v>
      </c>
      <c r="B74" s="4197"/>
      <c r="C74" s="4197"/>
      <c r="D74" s="353">
        <f ca="1">IF(H74="个人住宅",D75,D76)</f>
        <v>13862</v>
      </c>
      <c r="E74" s="15" t="s">
        <v>378</v>
      </c>
      <c r="F74" s="351" t="str">
        <f>IF(H74="正常",F76,"免征")</f>
        <v>免征</v>
      </c>
      <c r="G74" s="945" t="s">
        <v>379</v>
      </c>
      <c r="H74" s="354"/>
      <c r="I74" s="40"/>
      <c r="J74" s="1759"/>
      <c r="K74" s="1731">
        <v>3</v>
      </c>
      <c r="L74" s="4238" t="s">
        <v>376</v>
      </c>
      <c r="M74" s="4238"/>
      <c r="N74" s="1165">
        <f t="shared" ca="1" si="0"/>
        <v>13862</v>
      </c>
      <c r="O74" s="1636" t="str">
        <f t="shared" si="0"/>
        <v>增值额×税（费）率</v>
      </c>
      <c r="P74" s="1168" t="str">
        <f t="shared" si="0"/>
        <v>免征</v>
      </c>
      <c r="Q74" s="1752"/>
      <c r="R74" s="1752"/>
      <c r="S74" s="1752"/>
      <c r="T74" s="1752"/>
      <c r="U74" s="1752"/>
      <c r="V74" s="1752"/>
    </row>
    <row r="75" spans="1:22" ht="12.75">
      <c r="A75" s="350" t="s">
        <v>380</v>
      </c>
      <c r="B75" s="4185" t="s">
        <v>381</v>
      </c>
      <c r="C75" s="4221"/>
      <c r="D75" s="355">
        <v>0</v>
      </c>
      <c r="E75" s="39" t="s">
        <v>382</v>
      </c>
      <c r="F75" s="356"/>
      <c r="G75" s="352"/>
      <c r="H75" s="40"/>
      <c r="I75" s="40"/>
      <c r="J75" s="1759"/>
      <c r="K75" s="2515">
        <f>IF(H77="非个人房产","",4)</f>
        <v>4</v>
      </c>
      <c r="L75" s="4238" t="str">
        <f>IF(H77="非个人房产","——","个人所得税")</f>
        <v>个人所得税</v>
      </c>
      <c r="M75" s="4238"/>
      <c r="N75" s="1169">
        <f>D77</f>
        <v>0</v>
      </c>
      <c r="O75" s="1637" t="str">
        <f>E77</f>
        <v>差额计税</v>
      </c>
      <c r="P75" s="1170">
        <f>F77</f>
        <v>0.01</v>
      </c>
      <c r="Q75" s="1752"/>
      <c r="R75" s="1752"/>
      <c r="S75" s="1752"/>
      <c r="T75" s="1752"/>
      <c r="U75" s="1752"/>
      <c r="V75" s="1752"/>
    </row>
    <row r="76" spans="1:22" ht="24.75">
      <c r="A76" s="350" t="s">
        <v>361</v>
      </c>
      <c r="B76" s="4185" t="s">
        <v>384</v>
      </c>
      <c r="C76" s="4186"/>
      <c r="D76" s="353">
        <f ca="1">IF(H76="转让取得",C99,C115)</f>
        <v>13862</v>
      </c>
      <c r="E76" s="15" t="s">
        <v>385</v>
      </c>
      <c r="F76" s="51" t="s">
        <v>15</v>
      </c>
      <c r="G76" s="352"/>
      <c r="H76" s="354"/>
      <c r="I76" s="40"/>
      <c r="J76" s="1759"/>
      <c r="K76" s="2515" t="str">
        <f>IF(项目基本情况!K6="上海银行",IF(K75="",4,K75+1),"")</f>
        <v/>
      </c>
      <c r="L76" s="4253" t="str">
        <f>IF(项目基本情况!K6="上海银行","其他处置费用","")</f>
        <v/>
      </c>
      <c r="M76" s="4254"/>
      <c r="N76" s="1165" t="str">
        <f>IF(项目基本情况!K6="上海银行",N89,"")</f>
        <v/>
      </c>
      <c r="O76" s="4255" t="str">
        <f>IF(项目基本情况!K6="上海银行","包含处置中涉及的律师、诉讼、拍卖、评估等费用","")</f>
        <v/>
      </c>
      <c r="P76" s="4256"/>
      <c r="Q76" s="1752"/>
      <c r="R76" s="1752"/>
      <c r="S76" s="1752"/>
      <c r="T76" s="1752"/>
      <c r="U76" s="1752"/>
      <c r="V76" s="1752"/>
    </row>
    <row r="77" spans="1:22" ht="24.75" thickBot="1">
      <c r="A77" s="4240" t="s">
        <v>387</v>
      </c>
      <c r="B77" s="4241"/>
      <c r="C77" s="4241"/>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4239">
        <f>IF(AND(K75="",K76=""),4,IF(项目基本情况!K6="上海银行",K76+1,K75+1))</f>
        <v>5</v>
      </c>
      <c r="L77" s="4238" t="s">
        <v>2158</v>
      </c>
      <c r="M77" s="2520" t="s">
        <v>383</v>
      </c>
      <c r="N77" s="1171"/>
      <c r="O77" s="1172">
        <f ca="1">SUMIF(N72:N76,"&lt;9e307")</f>
        <v>13874</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4239"/>
      <c r="L78" s="4238"/>
      <c r="M78" s="2520" t="s">
        <v>386</v>
      </c>
      <c r="N78" s="1171"/>
      <c r="O78" s="1172" t="str">
        <f ca="1">NUMBERSTRING(INT(O77*10000),2)&amp;"元整"</f>
        <v>壹亿叁仟捌佰柒拾肆万元整</v>
      </c>
      <c r="P78" s="1173"/>
      <c r="Q78" s="1752"/>
      <c r="R78" s="1752"/>
      <c r="S78" s="1752"/>
      <c r="T78" s="1752"/>
      <c r="U78" s="1752"/>
      <c r="V78" s="1752"/>
    </row>
    <row r="79" spans="1:22" ht="13.5" thickBot="1">
      <c r="A79" s="4205" t="s">
        <v>388</v>
      </c>
      <c r="B79" s="4205"/>
      <c r="C79" s="4205"/>
      <c r="D79" s="4205"/>
      <c r="E79" s="4205"/>
      <c r="F79" s="40"/>
      <c r="G79" s="40"/>
      <c r="H79" s="965"/>
      <c r="I79" s="302"/>
      <c r="J79" s="1759"/>
      <c r="K79" s="4259">
        <f>K77+1</f>
        <v>6</v>
      </c>
      <c r="L79" s="4238" t="s">
        <v>2159</v>
      </c>
      <c r="M79" s="2520" t="s">
        <v>383</v>
      </c>
      <c r="N79" s="1171"/>
      <c r="O79" s="1172" t="e">
        <f ca="1">N69-O77</f>
        <v>#VALUE!</v>
      </c>
      <c r="P79" s="1173"/>
      <c r="Q79" s="1752"/>
      <c r="R79" s="1752"/>
      <c r="S79" s="1752"/>
      <c r="T79" s="1752"/>
      <c r="U79" s="1752"/>
      <c r="V79" s="1752"/>
    </row>
    <row r="80" spans="1:22" ht="12.75">
      <c r="A80" s="4206" t="s">
        <v>389</v>
      </c>
      <c r="B80" s="4207"/>
      <c r="C80" s="956"/>
      <c r="D80" s="956" t="s">
        <v>390</v>
      </c>
      <c r="E80" s="357" t="s">
        <v>391</v>
      </c>
      <c r="F80" s="40"/>
      <c r="G80" s="40"/>
      <c r="H80" s="965"/>
      <c r="I80" s="302"/>
      <c r="J80" s="1752"/>
      <c r="K80" s="4260"/>
      <c r="L80" s="4238"/>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23287</v>
      </c>
      <c r="D81" s="360"/>
      <c r="E81" s="361"/>
      <c r="F81" s="40"/>
      <c r="G81" s="40"/>
      <c r="H81" s="965"/>
      <c r="I81" s="302"/>
      <c r="J81" s="1752"/>
      <c r="K81" s="2515">
        <f>K79+1</f>
        <v>7</v>
      </c>
      <c r="L81" s="4236" t="s">
        <v>2160</v>
      </c>
      <c r="M81" s="4237"/>
      <c r="N81" s="1175"/>
      <c r="O81" s="1176" t="e">
        <f ca="1">ROUND(O79*10000/'数据-汇总表'!E3,0)</f>
        <v>#VALUE!</v>
      </c>
      <c r="P81" s="1177"/>
      <c r="Q81" s="1752"/>
      <c r="R81" s="1752"/>
      <c r="S81" s="1752"/>
      <c r="T81" s="1752"/>
      <c r="U81" s="1752"/>
      <c r="V81" s="1752"/>
    </row>
    <row r="82" spans="1:26" ht="13.5" thickTop="1">
      <c r="A82" s="362" t="s">
        <v>1353</v>
      </c>
      <c r="B82" s="363" t="s">
        <v>393</v>
      </c>
      <c r="C82" s="364">
        <f ca="1">D63</f>
        <v>24451</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4252"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4252"/>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f ca="1">C81-C84</f>
        <v>23287</v>
      </c>
      <c r="D85" s="365" t="s">
        <v>13</v>
      </c>
      <c r="E85" s="366"/>
      <c r="F85" s="40"/>
      <c r="G85" s="40"/>
      <c r="H85" s="965"/>
      <c r="I85" s="302"/>
      <c r="J85" s="1752"/>
      <c r="K85" s="4252"/>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f ca="1">IF(C85&lt;=0,0,ROUND(C85*D86,0))</f>
        <v>1281</v>
      </c>
      <c r="D86" s="376">
        <f>'数据-取费表'!B41</f>
        <v>5.5000000000000007E-2</v>
      </c>
      <c r="E86" s="377"/>
      <c r="F86" s="40"/>
      <c r="G86" s="40"/>
      <c r="H86" s="965"/>
      <c r="I86" s="302"/>
      <c r="J86" s="1752"/>
      <c r="K86" s="4252"/>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4252"/>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4231" t="s">
        <v>398</v>
      </c>
      <c r="B88" s="4232"/>
      <c r="C88" s="4232"/>
      <c r="D88" s="4232"/>
      <c r="E88" s="4232"/>
      <c r="F88" s="4232"/>
      <c r="G88" s="4232"/>
      <c r="H88" s="4232"/>
      <c r="I88" s="1184"/>
      <c r="J88" s="1760"/>
      <c r="K88" s="4252"/>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4206" t="s">
        <v>389</v>
      </c>
      <c r="B89" s="4207"/>
      <c r="C89" s="956"/>
      <c r="D89" s="956" t="s">
        <v>390</v>
      </c>
      <c r="E89" s="378" t="s">
        <v>399</v>
      </c>
      <c r="F89" s="379"/>
      <c r="G89" s="379"/>
      <c r="H89" s="380"/>
      <c r="I89" s="1185"/>
      <c r="J89" s="1762"/>
      <c r="K89" s="4252"/>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23287</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116</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4188" t="s">
        <v>407</v>
      </c>
      <c r="F94" s="4187"/>
      <c r="G94" s="4187"/>
      <c r="H94" s="4230"/>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116</v>
      </c>
      <c r="D96" s="393">
        <f>'数据-取费表'!B43</f>
        <v>5.000000000000001E-3</v>
      </c>
      <c r="E96" s="4222" t="s">
        <v>1780</v>
      </c>
      <c r="F96" s="4223"/>
      <c r="G96" s="4223"/>
      <c r="H96" s="4224"/>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23171</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199.75</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13862</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4231" t="s">
        <v>414</v>
      </c>
      <c r="B101" s="4232"/>
      <c r="C101" s="4232"/>
      <c r="D101" s="4232"/>
      <c r="E101" s="4232"/>
      <c r="F101" s="4232"/>
      <c r="G101" s="4232"/>
      <c r="H101" s="4232"/>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4206" t="s">
        <v>389</v>
      </c>
      <c r="B102" s="4207"/>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23287</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116</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4182" t="s">
        <v>2252</v>
      </c>
      <c r="H108" s="4183"/>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4225" t="s">
        <v>422</v>
      </c>
      <c r="F109" s="4223"/>
      <c r="G109" s="4223"/>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4225" t="s">
        <v>424</v>
      </c>
      <c r="F110" s="4223"/>
      <c r="G110" s="4223"/>
      <c r="H110" s="4224"/>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116</v>
      </c>
      <c r="D111" s="393">
        <f>'数据-取费表'!B43</f>
        <v>5.000000000000001E-3</v>
      </c>
      <c r="E111" s="4222" t="s">
        <v>1780</v>
      </c>
      <c r="F111" s="4223"/>
      <c r="G111" s="4223"/>
      <c r="H111" s="4224"/>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4225" t="s">
        <v>1799</v>
      </c>
      <c r="F112" s="4223"/>
      <c r="G112" s="4223"/>
      <c r="H112" s="4224"/>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23171</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199.75</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13862</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J30" sqref="J30"/>
    </sheetView>
  </sheetViews>
  <sheetFormatPr defaultRowHeight="13.5"/>
  <sheetData/>
  <phoneticPr fontId="22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1096</v>
      </c>
      <c r="D16" s="2324">
        <f ca="1">IF(B1="",'数据-汇总表'!E3,INDIRECT("'数据-取费表'!K"&amp;$K$1)+INDIRECT("'数据-取费表'!S"&amp;$K$1))</f>
        <v>59218.34</v>
      </c>
      <c r="E16" s="51">
        <f>'数据-取费表'!B35</f>
        <v>185</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1096</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59218.34</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0.46070000000008804</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1096</v>
      </c>
      <c r="D22" s="2324">
        <f ca="1">IF(B1="",'数据-汇总表'!E6,IF(INDIRECT("'数据-取费表'!c"&amp;$K$1)="住宅",INDIRECT("'数据-取费表'!s"&amp;$K$1),INDIRECT("'数据-取费表'!k"&amp;$K$1)+INDIRECT("'数据-取费表'!s"&amp;$K$1)))</f>
        <v>59218.34</v>
      </c>
      <c r="E22" s="51">
        <f>'数据-取费表'!B28</f>
        <v>185</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22</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0</v>
      </c>
      <c r="E26" s="455" t="s">
        <v>455</v>
      </c>
      <c r="F26" s="457">
        <f ca="1">'数据-取费表'!B40</f>
        <v>3.4500000000000003E-2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1118.4607000000001</v>
      </c>
      <c r="D30" s="463">
        <f ca="1">C32</f>
        <v>2.9000000000000001E-2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1118.4607000000001</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2.9000000000000001E-2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t="e">
        <f ca="1">ROUND((1+C25)*F33,4)</f>
        <v>#DIV/0!</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t="e">
        <f ca="1">ROUND((C6-C30-C33)/(1+D30+D33),0)</f>
        <v>#DIV/0!</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4093" t="str">
        <f>项目基本情况!B1</f>
        <v>北京市划拨国有建设用地使用权预评估</v>
      </c>
      <c r="C37" s="4093"/>
      <c r="D37" s="4093"/>
      <c r="E37" s="4093"/>
      <c r="F37" s="4093"/>
      <c r="G37" s="4093"/>
      <c r="H37" s="4093"/>
      <c r="I37" s="4093"/>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1096</v>
      </c>
      <c r="D16" s="437">
        <f ca="1">IF(B1="",'数据-汇总表'!E3,INDIRECT("'数据-取费表'!K"&amp;$K$1)+INDIRECT("'数据-取费表'!S"&amp;$K$1))</f>
        <v>59218.34</v>
      </c>
      <c r="E16" s="51">
        <f>'数据-取费表'!B35</f>
        <v>185</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1096</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22</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10</v>
      </c>
      <c r="D20" s="448">
        <f ca="1">ROUND(((1+F20)^'数据-取费表'!B20)-1,4)</f>
        <v>1.7100000000000001E-2</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2299</v>
      </c>
      <c r="B21" s="2503" t="s">
        <v>2107</v>
      </c>
      <c r="C21" s="464" t="e">
        <f ca="1">ROUND((C18+C19)*F21,0)</f>
        <v>#DIV/0!</v>
      </c>
      <c r="D21" s="3029"/>
      <c r="E21" s="448"/>
      <c r="F21" s="465" t="e">
        <f ca="1">IF(B1="",'数据-取费表'!Q16,INDIRECT("'数据-取费表'!q"&amp;$K$1))</f>
        <v>#DIV/0!</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t="e">
        <f ca="1">IF(B1="",'数据-取费表'!N16,INDIRECT("'数据-取费表'!N"&amp;$K$1))</f>
        <v>#DIV/0!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2300</v>
      </c>
      <c r="C23" s="3034" t="e">
        <f ca="1">ROUND((C18+C19+C20+C21)*F22,0)</f>
        <v>#DIV/0!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4264" t="s">
        <v>1394</v>
      </c>
      <c r="B24" s="4265"/>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4264" t="s">
        <v>2297</v>
      </c>
      <c r="B25" s="4265"/>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4264" t="s">
        <v>2298</v>
      </c>
      <c r="B26" s="4265"/>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4266" t="s">
        <v>2296</v>
      </c>
      <c r="B27" s="4267"/>
      <c r="C27" s="3047" t="e">
        <f ca="1">(C6-C23-C24-C25)/((1+F26)*(1+D20+F21))</f>
        <v>#DIV/0!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4275" t="s">
        <v>471</v>
      </c>
      <c r="D6" s="4276"/>
      <c r="E6" s="4275" t="s">
        <v>472</v>
      </c>
      <c r="F6" s="4276"/>
      <c r="G6" s="4275" t="s">
        <v>473</v>
      </c>
      <c r="H6" s="4276"/>
      <c r="I6" s="4275" t="s">
        <v>474</v>
      </c>
      <c r="J6" s="4276"/>
      <c r="K6" s="484" t="s">
        <v>475</v>
      </c>
      <c r="L6" s="1856"/>
      <c r="M6" s="1855"/>
      <c r="N6" s="1855"/>
      <c r="O6" s="1857"/>
      <c r="P6" s="4277" t="s">
        <v>476</v>
      </c>
      <c r="Q6" s="4278"/>
      <c r="R6" s="4283" t="s">
        <v>472</v>
      </c>
      <c r="S6" s="4284"/>
      <c r="T6" s="4283" t="s">
        <v>473</v>
      </c>
      <c r="U6" s="4284"/>
      <c r="V6" s="4270" t="s">
        <v>474</v>
      </c>
      <c r="W6" s="4270"/>
      <c r="X6" s="1380"/>
      <c r="Y6" s="4283" t="s">
        <v>476</v>
      </c>
      <c r="Z6" s="4284"/>
      <c r="AA6" s="4272" t="s">
        <v>472</v>
      </c>
      <c r="AB6" s="4273" t="s">
        <v>473</v>
      </c>
      <c r="AC6" s="4272" t="s">
        <v>474</v>
      </c>
    </row>
    <row r="7" spans="1:30" ht="20.25">
      <c r="A7" s="485"/>
      <c r="B7" s="486"/>
      <c r="C7" s="4291" t="s">
        <v>2192</v>
      </c>
      <c r="D7" s="4292"/>
      <c r="E7" s="4291" t="s">
        <v>2193</v>
      </c>
      <c r="F7" s="4292"/>
      <c r="G7" s="4291" t="s">
        <v>2194</v>
      </c>
      <c r="H7" s="4292"/>
      <c r="I7" s="4291" t="s">
        <v>2195</v>
      </c>
      <c r="J7" s="4292"/>
      <c r="K7" s="484"/>
      <c r="L7" s="1856"/>
      <c r="M7" s="1855"/>
      <c r="N7" s="1855"/>
      <c r="O7" s="1857"/>
      <c r="P7" s="4279"/>
      <c r="Q7" s="4280"/>
      <c r="R7" s="4285"/>
      <c r="S7" s="4286"/>
      <c r="T7" s="4285"/>
      <c r="U7" s="4286"/>
      <c r="V7" s="4270"/>
      <c r="W7" s="4270"/>
      <c r="X7" s="1380"/>
      <c r="Y7" s="4285"/>
      <c r="Z7" s="4286"/>
      <c r="AA7" s="4273"/>
      <c r="AB7" s="4273"/>
      <c r="AC7" s="4273"/>
    </row>
    <row r="8" spans="1:30" ht="21" thickBot="1">
      <c r="A8" s="485"/>
      <c r="B8" s="486"/>
      <c r="C8" s="4293" t="s">
        <v>2196</v>
      </c>
      <c r="D8" s="4294"/>
      <c r="E8" s="4293" t="s">
        <v>2196</v>
      </c>
      <c r="F8" s="4294"/>
      <c r="G8" s="4289" t="s">
        <v>2196</v>
      </c>
      <c r="H8" s="4290"/>
      <c r="I8" s="4289" t="s">
        <v>2196</v>
      </c>
      <c r="J8" s="4290"/>
      <c r="K8" s="484" t="s">
        <v>477</v>
      </c>
      <c r="L8" s="1856"/>
      <c r="M8" s="1855"/>
      <c r="N8" s="1855"/>
      <c r="O8" s="1857"/>
      <c r="P8" s="4281"/>
      <c r="Q8" s="4282"/>
      <c r="R8" s="4285"/>
      <c r="S8" s="4286"/>
      <c r="T8" s="4287"/>
      <c r="U8" s="4288"/>
      <c r="V8" s="4270"/>
      <c r="W8" s="4270"/>
      <c r="X8" s="1380"/>
      <c r="Y8" s="4287"/>
      <c r="Z8" s="4288"/>
      <c r="AA8" s="4274"/>
      <c r="AB8" s="4274"/>
      <c r="AC8" s="4274"/>
    </row>
    <row r="9" spans="1:30" s="1118" customFormat="1" ht="21" thickBot="1">
      <c r="A9" s="2392"/>
      <c r="B9" s="2399" t="s">
        <v>478</v>
      </c>
      <c r="C9" s="2391">
        <f>'数据-取费表'!B2</f>
        <v>45382</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4299" t="s">
        <v>479</v>
      </c>
      <c r="Q9" s="4301"/>
      <c r="R9" s="1381" t="s">
        <v>5</v>
      </c>
      <c r="S9" s="1382">
        <f t="shared" ref="S9:S17" si="0">F9</f>
        <v>0</v>
      </c>
      <c r="T9" s="1381" t="s">
        <v>5</v>
      </c>
      <c r="U9" s="1382">
        <f t="shared" ref="U9:U17" si="1">H9</f>
        <v>0</v>
      </c>
      <c r="V9" s="1381" t="s">
        <v>5</v>
      </c>
      <c r="W9" s="1382">
        <f t="shared" ref="W9:W17" si="2">J9</f>
        <v>0</v>
      </c>
      <c r="X9" s="1383"/>
      <c r="Y9" s="4299" t="s">
        <v>479</v>
      </c>
      <c r="Z9" s="4300"/>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4299" t="s">
        <v>482</v>
      </c>
      <c r="Q10" s="4300"/>
      <c r="R10" s="1381" t="s">
        <v>5</v>
      </c>
      <c r="S10" s="1382">
        <f t="shared" si="0"/>
        <v>0</v>
      </c>
      <c r="T10" s="1381" t="s">
        <v>5</v>
      </c>
      <c r="U10" s="1382">
        <f t="shared" si="1"/>
        <v>0</v>
      </c>
      <c r="V10" s="1381" t="s">
        <v>5</v>
      </c>
      <c r="W10" s="1382">
        <f t="shared" si="2"/>
        <v>0</v>
      </c>
      <c r="X10" s="1383"/>
      <c r="Y10" s="4299" t="s">
        <v>482</v>
      </c>
      <c r="Z10" s="4300"/>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4269" t="s">
        <v>484</v>
      </c>
      <c r="Q11" s="1050" t="str">
        <f t="shared" ref="Q11:Q17" si="6">B11</f>
        <v>用途</v>
      </c>
      <c r="R11" s="1381" t="s">
        <v>5</v>
      </c>
      <c r="S11" s="1382">
        <f t="shared" si="0"/>
        <v>100</v>
      </c>
      <c r="T11" s="1381" t="s">
        <v>5</v>
      </c>
      <c r="U11" s="1382">
        <f t="shared" si="1"/>
        <v>100</v>
      </c>
      <c r="V11" s="1381" t="s">
        <v>5</v>
      </c>
      <c r="W11" s="1382">
        <f t="shared" si="2"/>
        <v>100</v>
      </c>
      <c r="X11" s="1383"/>
      <c r="Y11" s="4213"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4269"/>
      <c r="Q12" s="1050" t="str">
        <f t="shared" si="6"/>
        <v>土地使用年限（年）</v>
      </c>
      <c r="R12" s="1381" t="s">
        <v>5</v>
      </c>
      <c r="S12" s="1382">
        <f t="shared" si="0"/>
        <v>100</v>
      </c>
      <c r="T12" s="1381" t="s">
        <v>5</v>
      </c>
      <c r="U12" s="1382">
        <f t="shared" si="1"/>
        <v>100</v>
      </c>
      <c r="V12" s="1381" t="s">
        <v>5</v>
      </c>
      <c r="W12" s="1382">
        <f t="shared" si="2"/>
        <v>100</v>
      </c>
      <c r="X12" s="1383"/>
      <c r="Y12" s="4213"/>
      <c r="Z12" s="1049" t="str">
        <f t="shared" si="7"/>
        <v>土地使用年限（年）</v>
      </c>
      <c r="AA12" s="1384">
        <f t="shared" si="3"/>
        <v>1</v>
      </c>
      <c r="AB12" s="1384">
        <f t="shared" si="4"/>
        <v>1</v>
      </c>
      <c r="AC12" s="1384">
        <f t="shared" si="5"/>
        <v>1</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4269"/>
      <c r="Q13" s="1050" t="str">
        <f t="shared" si="6"/>
        <v>容积率</v>
      </c>
      <c r="R13" s="1381" t="s">
        <v>5</v>
      </c>
      <c r="S13" s="1382" t="e">
        <f t="shared" si="0"/>
        <v>#N/A</v>
      </c>
      <c r="T13" s="1381" t="s">
        <v>5</v>
      </c>
      <c r="U13" s="1382" t="e">
        <f t="shared" si="1"/>
        <v>#N/A</v>
      </c>
      <c r="V13" s="1381" t="s">
        <v>5</v>
      </c>
      <c r="W13" s="1382" t="e">
        <f t="shared" si="2"/>
        <v>#N/A</v>
      </c>
      <c r="X13" s="1383"/>
      <c r="Y13" s="4213"/>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4269"/>
      <c r="Q14" s="1050" t="str">
        <f t="shared" si="6"/>
        <v>配建</v>
      </c>
      <c r="R14" s="1381" t="s">
        <v>5</v>
      </c>
      <c r="S14" s="1382">
        <f t="shared" si="0"/>
        <v>100</v>
      </c>
      <c r="T14" s="1381" t="s">
        <v>5</v>
      </c>
      <c r="U14" s="1382">
        <f t="shared" si="1"/>
        <v>100</v>
      </c>
      <c r="V14" s="1381" t="s">
        <v>5</v>
      </c>
      <c r="W14" s="1382">
        <f t="shared" si="2"/>
        <v>100</v>
      </c>
      <c r="X14" s="1383"/>
      <c r="Y14" s="4213"/>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4269"/>
      <c r="Q15" s="1050">
        <f t="shared" si="6"/>
        <v>111</v>
      </c>
      <c r="R15" s="1381" t="s">
        <v>5</v>
      </c>
      <c r="S15" s="1382">
        <f t="shared" si="0"/>
        <v>100</v>
      </c>
      <c r="T15" s="1381" t="s">
        <v>5</v>
      </c>
      <c r="U15" s="1382">
        <f t="shared" si="1"/>
        <v>100</v>
      </c>
      <c r="V15" s="1381" t="s">
        <v>5</v>
      </c>
      <c r="W15" s="1382">
        <f t="shared" si="2"/>
        <v>100</v>
      </c>
      <c r="X15" s="1383"/>
      <c r="Y15" s="4213"/>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4269"/>
      <c r="Q16" s="1050">
        <f t="shared" si="6"/>
        <v>111</v>
      </c>
      <c r="R16" s="1381" t="s">
        <v>5</v>
      </c>
      <c r="S16" s="1382">
        <f t="shared" si="0"/>
        <v>100</v>
      </c>
      <c r="T16" s="1381" t="s">
        <v>5</v>
      </c>
      <c r="U16" s="1382">
        <f t="shared" si="1"/>
        <v>100</v>
      </c>
      <c r="V16" s="1381" t="s">
        <v>5</v>
      </c>
      <c r="W16" s="1382">
        <f t="shared" si="2"/>
        <v>100</v>
      </c>
      <c r="X16" s="1383"/>
      <c r="Y16" s="4213"/>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4302" t="s">
        <v>489</v>
      </c>
      <c r="Q17" s="1385" t="str">
        <f t="shared" si="6"/>
        <v>居住社区成熟度</v>
      </c>
      <c r="R17" s="1386" t="s">
        <v>5</v>
      </c>
      <c r="S17" s="1387">
        <f t="shared" si="0"/>
        <v>100</v>
      </c>
      <c r="T17" s="1386" t="s">
        <v>5</v>
      </c>
      <c r="U17" s="1387">
        <f t="shared" si="1"/>
        <v>100</v>
      </c>
      <c r="V17" s="1386" t="s">
        <v>5</v>
      </c>
      <c r="W17" s="1387">
        <f t="shared" si="2"/>
        <v>100</v>
      </c>
      <c r="X17" s="1380"/>
      <c r="Y17" s="4302"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4303"/>
      <c r="Q18" s="1385"/>
      <c r="R18" s="1386"/>
      <c r="S18" s="1387"/>
      <c r="T18" s="1386"/>
      <c r="U18" s="1387"/>
      <c r="V18" s="1386"/>
      <c r="W18" s="1387"/>
      <c r="X18" s="1380"/>
      <c r="Y18" s="4303"/>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4303"/>
      <c r="Q19" s="1385" t="str">
        <f>B19</f>
        <v>商业繁华度</v>
      </c>
      <c r="R19" s="1386" t="s">
        <v>5</v>
      </c>
      <c r="S19" s="1387">
        <f>F19</f>
        <v>100</v>
      </c>
      <c r="T19" s="1386" t="s">
        <v>5</v>
      </c>
      <c r="U19" s="1387">
        <f>H19</f>
        <v>100</v>
      </c>
      <c r="V19" s="1386" t="s">
        <v>5</v>
      </c>
      <c r="W19" s="1387">
        <f>J19</f>
        <v>100</v>
      </c>
      <c r="X19" s="1380"/>
      <c r="Y19" s="4303"/>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4303"/>
      <c r="Q20" s="1385"/>
      <c r="R20" s="1386"/>
      <c r="S20" s="1387"/>
      <c r="T20" s="1386"/>
      <c r="U20" s="1387"/>
      <c r="V20" s="1386"/>
      <c r="W20" s="1387"/>
      <c r="X20" s="1380"/>
      <c r="Y20" s="4303"/>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4303"/>
      <c r="Q21" s="1385" t="str">
        <f>B21</f>
        <v>办公集聚程度</v>
      </c>
      <c r="R21" s="1386" t="s">
        <v>5</v>
      </c>
      <c r="S21" s="1387">
        <f>F21</f>
        <v>100</v>
      </c>
      <c r="T21" s="1386" t="s">
        <v>5</v>
      </c>
      <c r="U21" s="1387">
        <f>H21</f>
        <v>100</v>
      </c>
      <c r="V21" s="1386" t="s">
        <v>5</v>
      </c>
      <c r="W21" s="1387">
        <f>J21</f>
        <v>100</v>
      </c>
      <c r="X21" s="1380"/>
      <c r="Y21" s="4303"/>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4303"/>
      <c r="Q22" s="1385"/>
      <c r="R22" s="1386"/>
      <c r="S22" s="1387"/>
      <c r="T22" s="1386"/>
      <c r="U22" s="1387"/>
      <c r="V22" s="1386"/>
      <c r="W22" s="1387"/>
      <c r="X22" s="1380"/>
      <c r="Y22" s="4303"/>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4303"/>
      <c r="Q23" s="1385" t="str">
        <f>B23</f>
        <v>交通便捷度</v>
      </c>
      <c r="R23" s="1386" t="s">
        <v>5</v>
      </c>
      <c r="S23" s="1387">
        <f>F23</f>
        <v>100</v>
      </c>
      <c r="T23" s="1386" t="s">
        <v>5</v>
      </c>
      <c r="U23" s="1387">
        <f>H23</f>
        <v>100</v>
      </c>
      <c r="V23" s="1386" t="s">
        <v>5</v>
      </c>
      <c r="W23" s="1387">
        <f>J23</f>
        <v>100</v>
      </c>
      <c r="X23" s="1380"/>
      <c r="Y23" s="4303"/>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4303"/>
      <c r="Q24" s="1385"/>
      <c r="R24" s="1386"/>
      <c r="S24" s="1387"/>
      <c r="T24" s="1386"/>
      <c r="U24" s="1387"/>
      <c r="V24" s="1386"/>
      <c r="W24" s="1387"/>
      <c r="X24" s="1380"/>
      <c r="Y24" s="4303"/>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4303"/>
      <c r="Q25" s="1385" t="str">
        <f t="shared" ref="Q25:Q39" si="8">B25</f>
        <v>区域土地利用方向</v>
      </c>
      <c r="R25" s="1386" t="s">
        <v>5</v>
      </c>
      <c r="S25" s="1387">
        <f>F25</f>
        <v>100</v>
      </c>
      <c r="T25" s="1386" t="s">
        <v>5</v>
      </c>
      <c r="U25" s="1387">
        <f>H25</f>
        <v>100</v>
      </c>
      <c r="V25" s="1386" t="s">
        <v>5</v>
      </c>
      <c r="W25" s="1387">
        <f>J25</f>
        <v>100</v>
      </c>
      <c r="X25" s="1380"/>
      <c r="Y25" s="4303"/>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4303"/>
      <c r="Q26" s="1385"/>
      <c r="R26" s="1386"/>
      <c r="S26" s="1387"/>
      <c r="T26" s="1386"/>
      <c r="U26" s="1387"/>
      <c r="V26" s="1386"/>
      <c r="W26" s="1387"/>
      <c r="X26" s="1380"/>
      <c r="Y26" s="4303"/>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4303"/>
      <c r="Q27" s="1385" t="str">
        <f t="shared" si="8"/>
        <v>自然及人文环境状况</v>
      </c>
      <c r="R27" s="1386" t="s">
        <v>5</v>
      </c>
      <c r="S27" s="1387">
        <f>F27</f>
        <v>100</v>
      </c>
      <c r="T27" s="1386" t="s">
        <v>5</v>
      </c>
      <c r="U27" s="1387">
        <f>H27</f>
        <v>100</v>
      </c>
      <c r="V27" s="1386" t="s">
        <v>5</v>
      </c>
      <c r="W27" s="1387">
        <f>J27</f>
        <v>100</v>
      </c>
      <c r="X27" s="1380"/>
      <c r="Y27" s="4303"/>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4303"/>
      <c r="Q28" s="1385"/>
      <c r="R28" s="1386"/>
      <c r="S28" s="1387"/>
      <c r="T28" s="1386"/>
      <c r="U28" s="1387"/>
      <c r="V28" s="1386"/>
      <c r="W28" s="1387"/>
      <c r="X28" s="1380"/>
      <c r="Y28" s="4303"/>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4303"/>
      <c r="Q29" s="1050" t="str">
        <f t="shared" si="8"/>
        <v>公共配套设施</v>
      </c>
      <c r="R29" s="1381" t="s">
        <v>5</v>
      </c>
      <c r="S29" s="1382">
        <f>F29</f>
        <v>100</v>
      </c>
      <c r="T29" s="1381" t="s">
        <v>5</v>
      </c>
      <c r="U29" s="1382">
        <f>H29</f>
        <v>100</v>
      </c>
      <c r="V29" s="1381" t="s">
        <v>5</v>
      </c>
      <c r="W29" s="1382">
        <f>J29</f>
        <v>100</v>
      </c>
      <c r="X29" s="1383"/>
      <c r="Y29" s="4303"/>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4303"/>
      <c r="Q30" s="1050"/>
      <c r="R30" s="1381"/>
      <c r="S30" s="1382"/>
      <c r="T30" s="1381"/>
      <c r="U30" s="1382"/>
      <c r="V30" s="1381"/>
      <c r="W30" s="1382"/>
      <c r="X30" s="1383"/>
      <c r="Y30" s="4303"/>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4303"/>
      <c r="Q31" s="2192" t="str">
        <f>B31</f>
        <v>基础设施水平</v>
      </c>
      <c r="R31" s="1381" t="s">
        <v>5</v>
      </c>
      <c r="S31" s="1382">
        <f>F31</f>
        <v>100</v>
      </c>
      <c r="T31" s="1381" t="s">
        <v>5</v>
      </c>
      <c r="U31" s="1382">
        <f>H31</f>
        <v>100</v>
      </c>
      <c r="V31" s="1381" t="s">
        <v>5</v>
      </c>
      <c r="W31" s="1382">
        <f>J31</f>
        <v>100</v>
      </c>
      <c r="X31" s="1383"/>
      <c r="Y31" s="4303"/>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4303"/>
      <c r="Q32" s="2192"/>
      <c r="R32" s="1381"/>
      <c r="S32" s="1382"/>
      <c r="T32" s="1381"/>
      <c r="U32" s="1382"/>
      <c r="V32" s="1381"/>
      <c r="W32" s="1382"/>
      <c r="X32" s="1383"/>
      <c r="Y32" s="4303"/>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4303"/>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4303"/>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4303"/>
      <c r="Q34" s="1385" t="str">
        <f t="shared" si="8"/>
        <v>毗邻道路的类型与等级</v>
      </c>
      <c r="R34" s="1386" t="s">
        <v>5</v>
      </c>
      <c r="S34" s="1387">
        <f t="shared" si="9"/>
        <v>100</v>
      </c>
      <c r="T34" s="1386" t="s">
        <v>5</v>
      </c>
      <c r="U34" s="1387">
        <f t="shared" si="10"/>
        <v>100</v>
      </c>
      <c r="V34" s="1386" t="s">
        <v>5</v>
      </c>
      <c r="W34" s="1387">
        <f t="shared" si="11"/>
        <v>100</v>
      </c>
      <c r="X34" s="1380"/>
      <c r="Y34" s="4303"/>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4303"/>
      <c r="Q35" s="1385"/>
      <c r="R35" s="1386"/>
      <c r="S35" s="1387"/>
      <c r="T35" s="1386"/>
      <c r="U35" s="1387"/>
      <c r="V35" s="1386"/>
      <c r="W35" s="1387"/>
      <c r="X35" s="1380"/>
      <c r="Y35" s="4303"/>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4303"/>
      <c r="Q36" s="1385" t="str">
        <f t="shared" si="8"/>
        <v>土地级别</v>
      </c>
      <c r="R36" s="1386" t="s">
        <v>5</v>
      </c>
      <c r="S36" s="1387">
        <f t="shared" si="9"/>
        <v>100</v>
      </c>
      <c r="T36" s="1386" t="s">
        <v>5</v>
      </c>
      <c r="U36" s="1387">
        <f t="shared" si="10"/>
        <v>100</v>
      </c>
      <c r="V36" s="1386" t="s">
        <v>5</v>
      </c>
      <c r="W36" s="1387">
        <f t="shared" si="11"/>
        <v>100</v>
      </c>
      <c r="X36" s="1380"/>
      <c r="Y36" s="4303"/>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4303"/>
      <c r="Q37" s="1385">
        <f t="shared" si="8"/>
        <v>111</v>
      </c>
      <c r="R37" s="1386" t="s">
        <v>5</v>
      </c>
      <c r="S37" s="1387">
        <f t="shared" si="9"/>
        <v>100</v>
      </c>
      <c r="T37" s="1386" t="s">
        <v>5</v>
      </c>
      <c r="U37" s="1387">
        <f t="shared" si="10"/>
        <v>100</v>
      </c>
      <c r="V37" s="1386" t="s">
        <v>5</v>
      </c>
      <c r="W37" s="1387">
        <f t="shared" si="11"/>
        <v>100</v>
      </c>
      <c r="X37" s="1380"/>
      <c r="Y37" s="4303"/>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4304" t="s">
        <v>499</v>
      </c>
      <c r="Q38" s="1385">
        <f t="shared" si="8"/>
        <v>111</v>
      </c>
      <c r="R38" s="1386" t="s">
        <v>5</v>
      </c>
      <c r="S38" s="1387">
        <f t="shared" si="9"/>
        <v>100</v>
      </c>
      <c r="T38" s="1386" t="s">
        <v>5</v>
      </c>
      <c r="U38" s="1387">
        <f t="shared" si="10"/>
        <v>100</v>
      </c>
      <c r="V38" s="1386" t="s">
        <v>5</v>
      </c>
      <c r="W38" s="1387">
        <f t="shared" si="11"/>
        <v>100</v>
      </c>
      <c r="X38" s="1380"/>
      <c r="Y38" s="4305"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4305"/>
      <c r="Q39" s="1385">
        <f t="shared" si="8"/>
        <v>111</v>
      </c>
      <c r="R39" s="1390" t="s">
        <v>5</v>
      </c>
      <c r="S39" s="1391">
        <f t="shared" si="9"/>
        <v>100</v>
      </c>
      <c r="T39" s="1390" t="s">
        <v>5</v>
      </c>
      <c r="U39" s="1391">
        <f t="shared" si="10"/>
        <v>100</v>
      </c>
      <c r="V39" s="1390" t="s">
        <v>5</v>
      </c>
      <c r="W39" s="1391">
        <f t="shared" si="11"/>
        <v>100</v>
      </c>
      <c r="X39" s="1392"/>
      <c r="Y39" s="4305"/>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4305"/>
      <c r="Q40" s="1385" t="str">
        <f>B40</f>
        <v>宗地面积</v>
      </c>
      <c r="R40" s="1386" t="s">
        <v>5</v>
      </c>
      <c r="S40" s="1387" t="e">
        <f t="shared" si="9"/>
        <v>#N/A</v>
      </c>
      <c r="T40" s="1386" t="s">
        <v>5</v>
      </c>
      <c r="U40" s="1387" t="e">
        <f t="shared" si="10"/>
        <v>#N/A</v>
      </c>
      <c r="V40" s="1386" t="s">
        <v>5</v>
      </c>
      <c r="W40" s="1387" t="e">
        <f t="shared" si="11"/>
        <v>#N/A</v>
      </c>
      <c r="X40" s="1380"/>
      <c r="Y40" s="4305"/>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4305"/>
      <c r="Q41" s="1385" t="str">
        <f t="shared" ref="Q41:Q47" si="13">B41</f>
        <v>宗地形状</v>
      </c>
      <c r="R41" s="1386" t="s">
        <v>5</v>
      </c>
      <c r="S41" s="1387">
        <f t="shared" si="9"/>
        <v>100</v>
      </c>
      <c r="T41" s="1386" t="s">
        <v>5</v>
      </c>
      <c r="U41" s="1387">
        <f t="shared" si="10"/>
        <v>100</v>
      </c>
      <c r="V41" s="1386" t="s">
        <v>5</v>
      </c>
      <c r="W41" s="1387">
        <f t="shared" si="11"/>
        <v>100</v>
      </c>
      <c r="X41" s="1380"/>
      <c r="Y41" s="4305"/>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4305"/>
      <c r="Q42" s="1385" t="str">
        <f t="shared" si="13"/>
        <v>临街宽度及深度</v>
      </c>
      <c r="R42" s="1386" t="s">
        <v>5</v>
      </c>
      <c r="S42" s="1387">
        <f t="shared" si="9"/>
        <v>100</v>
      </c>
      <c r="T42" s="1386" t="s">
        <v>5</v>
      </c>
      <c r="U42" s="1387">
        <f t="shared" si="10"/>
        <v>100</v>
      </c>
      <c r="V42" s="1386" t="s">
        <v>5</v>
      </c>
      <c r="W42" s="1387">
        <f t="shared" si="11"/>
        <v>100</v>
      </c>
      <c r="X42" s="1380"/>
      <c r="Y42" s="4305"/>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4305"/>
      <c r="Q43" s="1385" t="str">
        <f t="shared" si="13"/>
        <v>宗地开发程度</v>
      </c>
      <c r="R43" s="1381" t="s">
        <v>5</v>
      </c>
      <c r="S43" s="1382">
        <f t="shared" si="9"/>
        <v>100</v>
      </c>
      <c r="T43" s="1381" t="s">
        <v>5</v>
      </c>
      <c r="U43" s="1382">
        <f t="shared" si="10"/>
        <v>100</v>
      </c>
      <c r="V43" s="1381" t="s">
        <v>5</v>
      </c>
      <c r="W43" s="1382">
        <f t="shared" si="11"/>
        <v>100</v>
      </c>
      <c r="X43" s="1383"/>
      <c r="Y43" s="4305"/>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4305" t="s">
        <v>499</v>
      </c>
      <c r="Q44" s="1385" t="str">
        <f t="shared" si="13"/>
        <v>工程地质条件</v>
      </c>
      <c r="R44" s="1386" t="s">
        <v>5</v>
      </c>
      <c r="S44" s="1387">
        <f t="shared" si="9"/>
        <v>100</v>
      </c>
      <c r="T44" s="1386" t="s">
        <v>5</v>
      </c>
      <c r="U44" s="1387">
        <f t="shared" si="10"/>
        <v>100</v>
      </c>
      <c r="V44" s="1386" t="s">
        <v>5</v>
      </c>
      <c r="W44" s="1387">
        <f t="shared" si="11"/>
        <v>100</v>
      </c>
      <c r="X44" s="1380"/>
      <c r="Y44" s="4305"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4305"/>
      <c r="Q45" s="1385">
        <f t="shared" si="13"/>
        <v>111</v>
      </c>
      <c r="R45" s="1386" t="s">
        <v>5</v>
      </c>
      <c r="S45" s="1387">
        <f t="shared" si="9"/>
        <v>100</v>
      </c>
      <c r="T45" s="1386" t="s">
        <v>5</v>
      </c>
      <c r="U45" s="1387">
        <f t="shared" si="10"/>
        <v>100</v>
      </c>
      <c r="V45" s="1386" t="s">
        <v>5</v>
      </c>
      <c r="W45" s="1387">
        <f t="shared" si="11"/>
        <v>100</v>
      </c>
      <c r="X45" s="1380"/>
      <c r="Y45" s="4305"/>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4305"/>
      <c r="Q46" s="1385">
        <f t="shared" si="13"/>
        <v>111</v>
      </c>
      <c r="R46" s="1386" t="s">
        <v>5</v>
      </c>
      <c r="S46" s="1387">
        <f t="shared" si="9"/>
        <v>100</v>
      </c>
      <c r="T46" s="1386" t="s">
        <v>5</v>
      </c>
      <c r="U46" s="1387">
        <f t="shared" si="10"/>
        <v>100</v>
      </c>
      <c r="V46" s="1386" t="s">
        <v>5</v>
      </c>
      <c r="W46" s="1387">
        <f t="shared" si="11"/>
        <v>100</v>
      </c>
      <c r="X46" s="1380"/>
      <c r="Y46" s="4305"/>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4305"/>
      <c r="Q47" s="1385">
        <f t="shared" si="13"/>
        <v>111</v>
      </c>
      <c r="R47" s="1390" t="s">
        <v>5</v>
      </c>
      <c r="S47" s="1391">
        <f t="shared" si="9"/>
        <v>100</v>
      </c>
      <c r="T47" s="1390" t="s">
        <v>5</v>
      </c>
      <c r="U47" s="1391">
        <f t="shared" si="10"/>
        <v>100</v>
      </c>
      <c r="V47" s="1390" t="s">
        <v>5</v>
      </c>
      <c r="W47" s="1391">
        <f t="shared" si="11"/>
        <v>100</v>
      </c>
      <c r="X47" s="1392"/>
      <c r="Y47" s="4305"/>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4269" t="str">
        <f>A48</f>
        <v>成交单价</v>
      </c>
      <c r="Q48" s="4269"/>
      <c r="R48" s="4270">
        <f>E48</f>
        <v>0</v>
      </c>
      <c r="S48" s="4270"/>
      <c r="T48" s="4270">
        <f>G48</f>
        <v>0</v>
      </c>
      <c r="U48" s="4270"/>
      <c r="V48" s="4270">
        <f>I48</f>
        <v>0</v>
      </c>
      <c r="W48" s="4270"/>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4269" t="str">
        <f>A49</f>
        <v>比较价格（元/平方米）</v>
      </c>
      <c r="Q49" s="4269"/>
      <c r="R49" s="4271" t="e">
        <f>ROUND(PRODUCT(R48,AA9:AA47),0)</f>
        <v>#DIV/0!</v>
      </c>
      <c r="S49" s="4271"/>
      <c r="T49" s="4271" t="e">
        <f>ROUND(PRODUCT(T48,AB9:AB47),0)</f>
        <v>#DIV/0!</v>
      </c>
      <c r="U49" s="4271"/>
      <c r="V49" s="4271" t="e">
        <f>ROUND(PRODUCT(V48,AC9:AC47),0)</f>
        <v>#DIV/0!</v>
      </c>
      <c r="W49" s="4271"/>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4306" t="str">
        <f>A50</f>
        <v>估价对象XX用房的比较价格（楼面单价，元/平方米）</v>
      </c>
      <c r="Q50" s="4307"/>
      <c r="R50" s="4268" t="e">
        <f>ROUND(IF(D49="简单平均",AVERAGE(R49:W49),R49*F49+T49*H49+V49*J49),0)</f>
        <v>#DIV/0!</v>
      </c>
      <c r="S50" s="4268"/>
      <c r="T50" s="4268"/>
      <c r="U50" s="4268"/>
      <c r="V50" s="4268"/>
      <c r="W50" s="4268"/>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4295" t="s">
        <v>1639</v>
      </c>
      <c r="H57" s="4296"/>
      <c r="I57" s="1372" t="s">
        <v>1251</v>
      </c>
      <c r="J57" s="1372" t="str">
        <f>项目基本情况!F41</f>
        <v>昌平区沙河镇北沙河北</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59218.34</v>
      </c>
      <c r="F58" s="604" t="e">
        <f t="shared" ref="F58:F66" si="14">ROUND(B58*E58/10000,0)</f>
        <v>#DIV/0!</v>
      </c>
      <c r="G58" s="4297"/>
      <c r="H58" s="4298"/>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7" t="s">
        <v>1640</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59218.34</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2024-3-1</v>
      </c>
      <c r="D69" s="2279">
        <f>EDATE(C69,-3)</f>
        <v>45261</v>
      </c>
      <c r="E69" s="2279">
        <f t="shared" ref="E69:N69" si="17">EDATE(D69,-3)</f>
        <v>45170</v>
      </c>
      <c r="F69" s="2279">
        <f t="shared" si="17"/>
        <v>45078</v>
      </c>
      <c r="G69" s="2279">
        <f t="shared" si="17"/>
        <v>44986</v>
      </c>
      <c r="H69" s="2279">
        <f t="shared" si="17"/>
        <v>44896</v>
      </c>
      <c r="I69" s="2279">
        <f t="shared" si="17"/>
        <v>44805</v>
      </c>
      <c r="J69" s="2279">
        <f t="shared" si="17"/>
        <v>44713</v>
      </c>
      <c r="K69" s="2279">
        <f t="shared" si="17"/>
        <v>44621</v>
      </c>
      <c r="L69" s="2279">
        <f t="shared" si="17"/>
        <v>44531</v>
      </c>
      <c r="M69" s="2279">
        <f t="shared" si="17"/>
        <v>44440</v>
      </c>
      <c r="N69" s="2279">
        <f t="shared" si="17"/>
        <v>44348</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2024-1</v>
      </c>
      <c r="D71" s="2281" t="str">
        <f>YEAR(D69)&amp;"-"&amp;ROUNDUP(MONTH(D69)/3,0)</f>
        <v>2023-4</v>
      </c>
      <c r="E71" s="2281" t="str">
        <f t="shared" ref="E71:N71" si="18">YEAR(E69)&amp;"-"&amp;ROUNDUP(MONTH(E69)/3,0)</f>
        <v>2023-3</v>
      </c>
      <c r="F71" s="2281" t="str">
        <f t="shared" si="18"/>
        <v>2023-2</v>
      </c>
      <c r="G71" s="2281" t="str">
        <f t="shared" si="18"/>
        <v>2023-1</v>
      </c>
      <c r="H71" s="2281" t="str">
        <f t="shared" si="18"/>
        <v>2022-4</v>
      </c>
      <c r="I71" s="2281" t="str">
        <f t="shared" si="18"/>
        <v>2022-3</v>
      </c>
      <c r="J71" s="2281" t="str">
        <f t="shared" si="18"/>
        <v>2022-2</v>
      </c>
      <c r="K71" s="2281" t="str">
        <f t="shared" si="18"/>
        <v>2022-1</v>
      </c>
      <c r="L71" s="2281" t="str">
        <f t="shared" si="18"/>
        <v>2021-4</v>
      </c>
      <c r="M71" s="2281" t="str">
        <f t="shared" si="18"/>
        <v>2021-3</v>
      </c>
      <c r="N71" s="2281" t="str">
        <f t="shared" si="18"/>
        <v>2021-2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C13" zoomScale="85" zoomScaleNormal="50" zoomScaleSheetLayoutView="85" workbookViewId="0">
      <selection activeCell="D110" sqref="D110"/>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f>F62</f>
        <v>27258</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f>ROUND(B2*10000/'数据-汇总表'!E3,0)</f>
        <v>4603</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4603</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307</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4275" t="s">
        <v>471</v>
      </c>
      <c r="D6" s="4276"/>
      <c r="E6" s="4310" t="s">
        <v>472</v>
      </c>
      <c r="F6" s="4311"/>
      <c r="G6" s="4275" t="s">
        <v>473</v>
      </c>
      <c r="H6" s="4276"/>
      <c r="I6" s="4275" t="s">
        <v>474</v>
      </c>
      <c r="J6" s="4276"/>
      <c r="K6" s="484" t="s">
        <v>475</v>
      </c>
      <c r="L6" s="1856"/>
      <c r="M6" s="1857"/>
      <c r="N6" s="1857"/>
      <c r="O6" s="1857"/>
      <c r="P6" s="4277" t="s">
        <v>476</v>
      </c>
      <c r="Q6" s="4278"/>
      <c r="R6" s="4283" t="s">
        <v>472</v>
      </c>
      <c r="S6" s="4284"/>
      <c r="T6" s="4283" t="s">
        <v>473</v>
      </c>
      <c r="U6" s="4284"/>
      <c r="V6" s="4270" t="s">
        <v>474</v>
      </c>
      <c r="W6" s="4270"/>
      <c r="X6" s="1380"/>
      <c r="Y6" s="4283" t="s">
        <v>476</v>
      </c>
      <c r="Z6" s="4284"/>
      <c r="AA6" s="4272" t="s">
        <v>472</v>
      </c>
      <c r="AB6" s="4273" t="s">
        <v>473</v>
      </c>
      <c r="AC6" s="4272" t="s">
        <v>474</v>
      </c>
    </row>
    <row r="7" spans="1:29" ht="15">
      <c r="A7" s="485"/>
      <c r="B7" s="486"/>
      <c r="C7" s="4291" t="str">
        <f>项目基本情况!C10</f>
        <v>昌平区沙河镇北沙河北</v>
      </c>
      <c r="D7" s="4292"/>
      <c r="E7" s="4312" t="str">
        <f>'比较法案例（ppt）'!B5</f>
        <v>北京金通资产经营管理公司</v>
      </c>
      <c r="F7" s="4313"/>
      <c r="G7" s="4291" t="str">
        <f>'比较法案例（ppt）'!C5</f>
        <v>北方智能微机电集团有限公司</v>
      </c>
      <c r="H7" s="4292"/>
      <c r="I7" s="4291" t="str">
        <f>'比较法案例（ppt）'!D5</f>
        <v>北京市通州区农业机械公司</v>
      </c>
      <c r="J7" s="4292"/>
      <c r="K7" s="484"/>
      <c r="L7" s="1856"/>
      <c r="M7" s="1857"/>
      <c r="N7" s="1857"/>
      <c r="O7" s="1857"/>
      <c r="P7" s="4279"/>
      <c r="Q7" s="4280"/>
      <c r="R7" s="4285"/>
      <c r="S7" s="4286"/>
      <c r="T7" s="4285"/>
      <c r="U7" s="4286"/>
      <c r="V7" s="4270"/>
      <c r="W7" s="4270"/>
      <c r="X7" s="1380"/>
      <c r="Y7" s="4285"/>
      <c r="Z7" s="4286"/>
      <c r="AA7" s="4273"/>
      <c r="AB7" s="4273"/>
      <c r="AC7" s="4273"/>
    </row>
    <row r="8" spans="1:29" ht="15.75" thickBot="1">
      <c r="A8" s="487"/>
      <c r="B8" s="488"/>
      <c r="C8" s="4289" t="s">
        <v>2196</v>
      </c>
      <c r="D8" s="4290"/>
      <c r="E8" s="4308" t="s">
        <v>2196</v>
      </c>
      <c r="F8" s="4309"/>
      <c r="G8" s="4289" t="s">
        <v>2196</v>
      </c>
      <c r="H8" s="4290"/>
      <c r="I8" s="4289" t="s">
        <v>2196</v>
      </c>
      <c r="J8" s="4290"/>
      <c r="K8" s="484" t="s">
        <v>477</v>
      </c>
      <c r="L8" s="1856"/>
      <c r="M8" s="1857"/>
      <c r="N8" s="1857"/>
      <c r="O8" s="1857"/>
      <c r="P8" s="4281"/>
      <c r="Q8" s="4282"/>
      <c r="R8" s="4285"/>
      <c r="S8" s="4286"/>
      <c r="T8" s="4287"/>
      <c r="U8" s="4288"/>
      <c r="V8" s="4270"/>
      <c r="W8" s="4270"/>
      <c r="X8" s="1380"/>
      <c r="Y8" s="4287"/>
      <c r="Z8" s="4288"/>
      <c r="AA8" s="4274"/>
      <c r="AB8" s="4274"/>
      <c r="AC8" s="4274"/>
    </row>
    <row r="9" spans="1:29" s="1118" customFormat="1" ht="15.75" thickBot="1">
      <c r="A9" s="2392"/>
      <c r="B9" s="2399" t="s">
        <v>478</v>
      </c>
      <c r="C9" s="489">
        <f>'数据-取费表'!B2</f>
        <v>45382</v>
      </c>
      <c r="D9" s="490">
        <v>100</v>
      </c>
      <c r="E9" s="491">
        <f>'比较法案例（ppt）'!B8</f>
        <v>43525</v>
      </c>
      <c r="F9" s="492">
        <f>SUMIF(66:66,YEAR(E9)&amp;"-"&amp;INT((MONTH(E9)+2)/3),67:67)</f>
        <v>90</v>
      </c>
      <c r="G9" s="493">
        <f>'比较法案例（ppt）'!C8</f>
        <v>43525</v>
      </c>
      <c r="H9" s="490">
        <f>SUMIF(66:66,YEAR(G9)&amp;"-"&amp;INT((MONTH(G9)+2)/3),67:67)</f>
        <v>90</v>
      </c>
      <c r="I9" s="493">
        <f>'比较法案例（ppt）'!D8</f>
        <v>43983</v>
      </c>
      <c r="J9" s="490">
        <f>SUMIF(66:66,YEAR(I9)&amp;"-"&amp;INT((MONTH(I9)+2)/3),67:67)</f>
        <v>92.5</v>
      </c>
      <c r="K9" s="494"/>
      <c r="L9" s="1858"/>
      <c r="M9" s="1859"/>
      <c r="N9" s="1859"/>
      <c r="O9" s="1859"/>
      <c r="P9" s="4299" t="s">
        <v>479</v>
      </c>
      <c r="Q9" s="4301"/>
      <c r="R9" s="1381" t="s">
        <v>5</v>
      </c>
      <c r="S9" s="1382">
        <f t="shared" ref="S9:S17" si="0">F9</f>
        <v>90</v>
      </c>
      <c r="T9" s="1381" t="s">
        <v>5</v>
      </c>
      <c r="U9" s="1382">
        <f t="shared" ref="U9:U17" si="1">H9</f>
        <v>90</v>
      </c>
      <c r="V9" s="1381" t="s">
        <v>5</v>
      </c>
      <c r="W9" s="1382">
        <f t="shared" ref="W9:W17" si="2">J9</f>
        <v>92.5</v>
      </c>
      <c r="X9" s="1383"/>
      <c r="Y9" s="4299" t="s">
        <v>479</v>
      </c>
      <c r="Z9" s="4300"/>
      <c r="AA9" s="1384">
        <f>D9/F9</f>
        <v>1.1111111111111112</v>
      </c>
      <c r="AB9" s="1384">
        <f>D9/H9</f>
        <v>1.1111111111111112</v>
      </c>
      <c r="AC9" s="1384">
        <f>D9/J9</f>
        <v>1.0810810810810811</v>
      </c>
    </row>
    <row r="10" spans="1:29" s="1118" customFormat="1" ht="15.75" thickBot="1">
      <c r="A10" s="2393"/>
      <c r="B10" s="2400" t="s">
        <v>480</v>
      </c>
      <c r="C10" s="495" t="s">
        <v>481</v>
      </c>
      <c r="D10" s="490">
        <v>100</v>
      </c>
      <c r="E10" s="495" t="s">
        <v>3316</v>
      </c>
      <c r="F10" s="492">
        <f>SUMIF(69:69,E10,70:70)-SUMIF(69:69,C10,70:70)+100</f>
        <v>100</v>
      </c>
      <c r="G10" s="495" t="s">
        <v>3316</v>
      </c>
      <c r="H10" s="490">
        <f>SUMIF(69:69,G10,70:70)-SUMIF(69:69,C10,70:70)+100</f>
        <v>100</v>
      </c>
      <c r="I10" s="495" t="s">
        <v>3316</v>
      </c>
      <c r="J10" s="490">
        <f>SUMIF(69:69,I10,70:70)-SUMIF(69:69,C10,70:70)+100</f>
        <v>100</v>
      </c>
      <c r="K10" s="494"/>
      <c r="L10" s="1858"/>
      <c r="M10" s="1859"/>
      <c r="N10" s="1859"/>
      <c r="O10" s="1859"/>
      <c r="P10" s="4299" t="s">
        <v>482</v>
      </c>
      <c r="Q10" s="4300"/>
      <c r="R10" s="1381" t="s">
        <v>5</v>
      </c>
      <c r="S10" s="1382">
        <f t="shared" si="0"/>
        <v>100</v>
      </c>
      <c r="T10" s="1381" t="s">
        <v>5</v>
      </c>
      <c r="U10" s="1382">
        <f t="shared" si="1"/>
        <v>100</v>
      </c>
      <c r="V10" s="1381" t="s">
        <v>5</v>
      </c>
      <c r="W10" s="1382">
        <f t="shared" si="2"/>
        <v>100</v>
      </c>
      <c r="X10" s="1383"/>
      <c r="Y10" s="4299" t="s">
        <v>482</v>
      </c>
      <c r="Z10" s="4300"/>
      <c r="AA10" s="1384">
        <f t="shared" ref="AA10:AA42" si="3">D10/F10</f>
        <v>1</v>
      </c>
      <c r="AB10" s="1384">
        <f t="shared" ref="AB10:AB42" si="4">D10/H10</f>
        <v>1</v>
      </c>
      <c r="AC10" s="1384">
        <f t="shared" ref="AC10:AC42" si="5">D10/J10</f>
        <v>1</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4269" t="s">
        <v>484</v>
      </c>
      <c r="Q11" s="1050" t="str">
        <f t="shared" ref="Q11:Q17" si="6">B11</f>
        <v>用途</v>
      </c>
      <c r="R11" s="1381" t="s">
        <v>5</v>
      </c>
      <c r="S11" s="1382">
        <f t="shared" si="0"/>
        <v>100</v>
      </c>
      <c r="T11" s="1381" t="s">
        <v>5</v>
      </c>
      <c r="U11" s="1382">
        <f t="shared" si="1"/>
        <v>100</v>
      </c>
      <c r="V11" s="1381" t="s">
        <v>5</v>
      </c>
      <c r="W11" s="1382">
        <f t="shared" si="2"/>
        <v>100</v>
      </c>
      <c r="X11" s="1383"/>
      <c r="Y11" s="4213" t="s">
        <v>485</v>
      </c>
      <c r="Z11" s="1049" t="str">
        <f t="shared" ref="Z11:Z17" si="7">Q11</f>
        <v>用途</v>
      </c>
      <c r="AA11" s="1384">
        <f t="shared" si="3"/>
        <v>1</v>
      </c>
      <c r="AB11" s="1384">
        <f t="shared" si="4"/>
        <v>1</v>
      </c>
      <c r="AC11" s="1384">
        <f t="shared" si="5"/>
        <v>1</v>
      </c>
    </row>
    <row r="12" spans="1:29" s="1199" customFormat="1" ht="27">
      <c r="A12" s="2395"/>
      <c r="B12" s="2400" t="s">
        <v>2039</v>
      </c>
      <c r="C12" s="498">
        <v>50</v>
      </c>
      <c r="D12" s="246">
        <v>100</v>
      </c>
      <c r="E12" s="498">
        <f>C12</f>
        <v>50</v>
      </c>
      <c r="F12" s="246">
        <f>ROUND(100/'数据-取费表'!G16,0)</f>
        <v>100</v>
      </c>
      <c r="G12" s="498">
        <f>C12</f>
        <v>50</v>
      </c>
      <c r="H12" s="246">
        <f>ROUND(100/'数据-取费表'!G16,0)</f>
        <v>100</v>
      </c>
      <c r="I12" s="498">
        <f>C12</f>
        <v>50</v>
      </c>
      <c r="J12" s="246">
        <f>ROUND(100/'数据-取费表'!G16,0)</f>
        <v>100</v>
      </c>
      <c r="K12" s="501"/>
      <c r="L12" s="1861"/>
      <c r="M12" s="1900"/>
      <c r="N12" s="1900"/>
      <c r="O12" s="1862"/>
      <c r="P12" s="4269"/>
      <c r="Q12" s="1050" t="str">
        <f t="shared" si="6"/>
        <v>土地使用年限（年）</v>
      </c>
      <c r="R12" s="1381" t="s">
        <v>5</v>
      </c>
      <c r="S12" s="1382">
        <f t="shared" si="0"/>
        <v>100</v>
      </c>
      <c r="T12" s="1381" t="s">
        <v>5</v>
      </c>
      <c r="U12" s="1382">
        <f t="shared" si="1"/>
        <v>100</v>
      </c>
      <c r="V12" s="1381" t="s">
        <v>5</v>
      </c>
      <c r="W12" s="1382">
        <f t="shared" si="2"/>
        <v>100</v>
      </c>
      <c r="X12" s="1383"/>
      <c r="Y12" s="4213"/>
      <c r="Z12" s="1049"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4269"/>
      <c r="Q13" s="1050" t="str">
        <f t="shared" si="6"/>
        <v>容积率</v>
      </c>
      <c r="R13" s="1381" t="s">
        <v>5</v>
      </c>
      <c r="S13" s="1382">
        <f t="shared" si="0"/>
        <v>100</v>
      </c>
      <c r="T13" s="1381" t="s">
        <v>5</v>
      </c>
      <c r="U13" s="1382">
        <f t="shared" si="1"/>
        <v>100</v>
      </c>
      <c r="V13" s="1381" t="s">
        <v>5</v>
      </c>
      <c r="W13" s="1382">
        <f t="shared" si="2"/>
        <v>100</v>
      </c>
      <c r="X13" s="1383"/>
      <c r="Y13" s="4213"/>
      <c r="Z13" s="1049"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4269"/>
      <c r="Q14" s="1050">
        <f t="shared" si="6"/>
        <v>111</v>
      </c>
      <c r="R14" s="1381" t="s">
        <v>5</v>
      </c>
      <c r="S14" s="1382">
        <f t="shared" si="0"/>
        <v>100</v>
      </c>
      <c r="T14" s="1381" t="s">
        <v>5</v>
      </c>
      <c r="U14" s="1382">
        <f t="shared" si="1"/>
        <v>100</v>
      </c>
      <c r="V14" s="1381" t="s">
        <v>5</v>
      </c>
      <c r="W14" s="1382">
        <f t="shared" si="2"/>
        <v>100</v>
      </c>
      <c r="X14" s="1383"/>
      <c r="Y14" s="4213"/>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4269"/>
      <c r="Q15" s="1050">
        <f t="shared" si="6"/>
        <v>111</v>
      </c>
      <c r="R15" s="1381" t="s">
        <v>5</v>
      </c>
      <c r="S15" s="1382">
        <f t="shared" si="0"/>
        <v>100</v>
      </c>
      <c r="T15" s="1381" t="s">
        <v>5</v>
      </c>
      <c r="U15" s="1382">
        <f t="shared" si="1"/>
        <v>100</v>
      </c>
      <c r="V15" s="1381" t="s">
        <v>5</v>
      </c>
      <c r="W15" s="1382">
        <f t="shared" si="2"/>
        <v>100</v>
      </c>
      <c r="X15" s="1383"/>
      <c r="Y15" s="4213"/>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4269"/>
      <c r="Q16" s="1050">
        <f t="shared" si="6"/>
        <v>111</v>
      </c>
      <c r="R16" s="1381" t="s">
        <v>5</v>
      </c>
      <c r="S16" s="1382">
        <f t="shared" si="0"/>
        <v>100</v>
      </c>
      <c r="T16" s="1381" t="s">
        <v>5</v>
      </c>
      <c r="U16" s="1382">
        <f t="shared" si="1"/>
        <v>100</v>
      </c>
      <c r="V16" s="1381" t="s">
        <v>5</v>
      </c>
      <c r="W16" s="1382">
        <f t="shared" si="2"/>
        <v>100</v>
      </c>
      <c r="X16" s="1383"/>
      <c r="Y16" s="4213"/>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105</v>
      </c>
      <c r="G17" s="520"/>
      <c r="H17" s="519">
        <f>SUMIF(84:84,G18,85:85)-SUMIF(84:84,C18,85:85)+100</f>
        <v>105</v>
      </c>
      <c r="I17" s="522"/>
      <c r="J17" s="519">
        <f>SUMIF(84:84,I18,85:85)-SUMIF(84:84,C18,85:85)+100</f>
        <v>100</v>
      </c>
      <c r="K17" s="505">
        <v>5</v>
      </c>
      <c r="L17" s="1865"/>
      <c r="M17" s="1857"/>
      <c r="N17" s="1857"/>
      <c r="O17" s="1864"/>
      <c r="P17" s="4302" t="s">
        <v>489</v>
      </c>
      <c r="Q17" s="1385" t="str">
        <f t="shared" si="6"/>
        <v>产业集聚程度</v>
      </c>
      <c r="R17" s="1386" t="s">
        <v>5</v>
      </c>
      <c r="S17" s="1387">
        <f t="shared" si="0"/>
        <v>105</v>
      </c>
      <c r="T17" s="1386" t="s">
        <v>5</v>
      </c>
      <c r="U17" s="1387">
        <f t="shared" si="1"/>
        <v>105</v>
      </c>
      <c r="V17" s="1386" t="s">
        <v>5</v>
      </c>
      <c r="W17" s="1387">
        <f t="shared" si="2"/>
        <v>100</v>
      </c>
      <c r="X17" s="1380"/>
      <c r="Y17" s="4302" t="s">
        <v>489</v>
      </c>
      <c r="Z17" s="1388" t="str">
        <f t="shared" si="7"/>
        <v>产业集聚程度</v>
      </c>
      <c r="AA17" s="1389">
        <f t="shared" si="3"/>
        <v>0.95238095238095233</v>
      </c>
      <c r="AB17" s="1389">
        <f t="shared" si="4"/>
        <v>0.95238095238095233</v>
      </c>
      <c r="AC17" s="1389">
        <f t="shared" si="5"/>
        <v>1</v>
      </c>
    </row>
    <row r="18" spans="1:29" ht="15">
      <c r="A18" s="502"/>
      <c r="B18" s="832"/>
      <c r="C18" s="546" t="s">
        <v>3319</v>
      </c>
      <c r="D18" s="525"/>
      <c r="E18" s="524" t="s">
        <v>3318</v>
      </c>
      <c r="F18" s="525"/>
      <c r="G18" s="524" t="s">
        <v>3318</v>
      </c>
      <c r="H18" s="529"/>
      <c r="I18" s="524" t="s">
        <v>3319</v>
      </c>
      <c r="J18" s="525"/>
      <c r="K18" s="501"/>
      <c r="L18" s="1865"/>
      <c r="M18" s="1857"/>
      <c r="N18" s="1857"/>
      <c r="O18" s="1864"/>
      <c r="P18" s="4303"/>
      <c r="Q18" s="1385"/>
      <c r="R18" s="1386"/>
      <c r="S18" s="1387"/>
      <c r="T18" s="1386"/>
      <c r="U18" s="1387"/>
      <c r="V18" s="1386"/>
      <c r="W18" s="1387"/>
      <c r="X18" s="1380"/>
      <c r="Y18" s="4303"/>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4303"/>
      <c r="Q19" s="1385" t="str">
        <f>B19</f>
        <v>交通便捷度</v>
      </c>
      <c r="R19" s="1386" t="s">
        <v>5</v>
      </c>
      <c r="S19" s="1387">
        <f>F19</f>
        <v>100</v>
      </c>
      <c r="T19" s="1386" t="s">
        <v>5</v>
      </c>
      <c r="U19" s="1387">
        <f>H19</f>
        <v>100</v>
      </c>
      <c r="V19" s="1386" t="s">
        <v>5</v>
      </c>
      <c r="W19" s="1387">
        <f>J19</f>
        <v>100</v>
      </c>
      <c r="X19" s="1380"/>
      <c r="Y19" s="4303"/>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4303"/>
      <c r="Q20" s="1385"/>
      <c r="R20" s="1386"/>
      <c r="S20" s="1387"/>
      <c r="T20" s="1386"/>
      <c r="U20" s="1387"/>
      <c r="V20" s="1386"/>
      <c r="W20" s="1387"/>
      <c r="X20" s="1380"/>
      <c r="Y20" s="4303"/>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4303"/>
      <c r="Q21" s="1385" t="str">
        <f t="shared" ref="Q21:Q35" si="8">B21</f>
        <v>区域土地利用方向</v>
      </c>
      <c r="R21" s="1386" t="s">
        <v>5</v>
      </c>
      <c r="S21" s="1387">
        <f>F21</f>
        <v>100</v>
      </c>
      <c r="T21" s="1386" t="s">
        <v>5</v>
      </c>
      <c r="U21" s="1387">
        <f>H21</f>
        <v>100</v>
      </c>
      <c r="V21" s="1386" t="s">
        <v>5</v>
      </c>
      <c r="W21" s="1387">
        <f>J21</f>
        <v>100</v>
      </c>
      <c r="X21" s="1380"/>
      <c r="Y21" s="4303"/>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4303"/>
      <c r="Q22" s="1385"/>
      <c r="R22" s="1386"/>
      <c r="S22" s="1387"/>
      <c r="T22" s="1386"/>
      <c r="U22" s="1387"/>
      <c r="V22" s="1386"/>
      <c r="W22" s="1387"/>
      <c r="X22" s="1380"/>
      <c r="Y22" s="4303"/>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4303"/>
      <c r="Q23" s="1385" t="str">
        <f t="shared" si="8"/>
        <v>环境状况</v>
      </c>
      <c r="R23" s="1386" t="s">
        <v>5</v>
      </c>
      <c r="S23" s="1387">
        <f>F23</f>
        <v>100</v>
      </c>
      <c r="T23" s="1386" t="s">
        <v>5</v>
      </c>
      <c r="U23" s="1387">
        <f>H23</f>
        <v>100</v>
      </c>
      <c r="V23" s="1386" t="s">
        <v>5</v>
      </c>
      <c r="W23" s="1387">
        <f>J23</f>
        <v>100</v>
      </c>
      <c r="X23" s="1380"/>
      <c r="Y23" s="4303"/>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4303"/>
      <c r="Q24" s="1385"/>
      <c r="R24" s="1386"/>
      <c r="S24" s="1387"/>
      <c r="T24" s="1386"/>
      <c r="U24" s="1387"/>
      <c r="V24" s="1386"/>
      <c r="W24" s="1387"/>
      <c r="X24" s="1380"/>
      <c r="Y24" s="4303"/>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4303"/>
      <c r="Q25" s="1050" t="str">
        <f t="shared" si="8"/>
        <v>公共配套设施</v>
      </c>
      <c r="R25" s="1381" t="s">
        <v>5</v>
      </c>
      <c r="S25" s="1382">
        <f>F25</f>
        <v>100</v>
      </c>
      <c r="T25" s="1381" t="s">
        <v>5</v>
      </c>
      <c r="U25" s="1382">
        <f>H25</f>
        <v>100</v>
      </c>
      <c r="V25" s="1381" t="s">
        <v>5</v>
      </c>
      <c r="W25" s="1382">
        <f>J25</f>
        <v>100</v>
      </c>
      <c r="X25" s="1383"/>
      <c r="Y25" s="4303"/>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4303"/>
      <c r="Q26" s="1050"/>
      <c r="R26" s="1381"/>
      <c r="S26" s="1382"/>
      <c r="T26" s="1381"/>
      <c r="U26" s="1382"/>
      <c r="V26" s="1381"/>
      <c r="W26" s="1382"/>
      <c r="X26" s="1383"/>
      <c r="Y26" s="4303"/>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4303"/>
      <c r="Q27" s="2192" t="str">
        <f>B27</f>
        <v>基础设施水平</v>
      </c>
      <c r="R27" s="1381" t="s">
        <v>5</v>
      </c>
      <c r="S27" s="1382">
        <f>F27</f>
        <v>100</v>
      </c>
      <c r="T27" s="1381" t="s">
        <v>5</v>
      </c>
      <c r="U27" s="1382">
        <f>H27</f>
        <v>100</v>
      </c>
      <c r="V27" s="1381" t="s">
        <v>5</v>
      </c>
      <c r="W27" s="1382">
        <f>J27</f>
        <v>100</v>
      </c>
      <c r="X27" s="1383"/>
      <c r="Y27" s="4303"/>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4303"/>
      <c r="Q28" s="2192"/>
      <c r="R28" s="1381"/>
      <c r="S28" s="1382"/>
      <c r="T28" s="1381"/>
      <c r="U28" s="1382"/>
      <c r="V28" s="1381"/>
      <c r="W28" s="1382"/>
      <c r="X28" s="1383"/>
      <c r="Y28" s="4303"/>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4303"/>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4303"/>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4303"/>
      <c r="Q30" s="1385" t="str">
        <f t="shared" si="8"/>
        <v>毗邻道路的类型与等级</v>
      </c>
      <c r="R30" s="1386" t="s">
        <v>5</v>
      </c>
      <c r="S30" s="1387">
        <f t="shared" si="9"/>
        <v>100</v>
      </c>
      <c r="T30" s="1386" t="s">
        <v>5</v>
      </c>
      <c r="U30" s="1387">
        <f t="shared" si="10"/>
        <v>100</v>
      </c>
      <c r="V30" s="1386" t="s">
        <v>5</v>
      </c>
      <c r="W30" s="1387">
        <f t="shared" si="11"/>
        <v>100</v>
      </c>
      <c r="X30" s="1380"/>
      <c r="Y30" s="4303"/>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4303"/>
      <c r="Q31" s="1385"/>
      <c r="R31" s="1386"/>
      <c r="S31" s="1387"/>
      <c r="T31" s="1386"/>
      <c r="U31" s="1387"/>
      <c r="V31" s="1386"/>
      <c r="W31" s="1387"/>
      <c r="X31" s="1380"/>
      <c r="Y31" s="4303"/>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4303"/>
      <c r="Q32" s="1385" t="str">
        <f t="shared" si="8"/>
        <v>土地级别</v>
      </c>
      <c r="R32" s="1386" t="s">
        <v>5</v>
      </c>
      <c r="S32" s="1387">
        <f t="shared" si="9"/>
        <v>100</v>
      </c>
      <c r="T32" s="1386" t="s">
        <v>5</v>
      </c>
      <c r="U32" s="1387">
        <f t="shared" si="10"/>
        <v>100</v>
      </c>
      <c r="V32" s="1386" t="s">
        <v>5</v>
      </c>
      <c r="W32" s="1387">
        <f t="shared" si="11"/>
        <v>100</v>
      </c>
      <c r="X32" s="1380"/>
      <c r="Y32" s="4303"/>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4303"/>
      <c r="Q33" s="1385">
        <f t="shared" si="8"/>
        <v>111</v>
      </c>
      <c r="R33" s="1386" t="s">
        <v>5</v>
      </c>
      <c r="S33" s="1387">
        <f t="shared" si="9"/>
        <v>100</v>
      </c>
      <c r="T33" s="1386" t="s">
        <v>5</v>
      </c>
      <c r="U33" s="1387">
        <f t="shared" si="10"/>
        <v>100</v>
      </c>
      <c r="V33" s="1386" t="s">
        <v>5</v>
      </c>
      <c r="W33" s="1387">
        <f t="shared" si="11"/>
        <v>100</v>
      </c>
      <c r="X33" s="1380"/>
      <c r="Y33" s="4303"/>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4304" t="s">
        <v>499</v>
      </c>
      <c r="Q34" s="1385">
        <f t="shared" si="8"/>
        <v>111</v>
      </c>
      <c r="R34" s="1386" t="s">
        <v>5</v>
      </c>
      <c r="S34" s="1387">
        <f t="shared" si="9"/>
        <v>100</v>
      </c>
      <c r="T34" s="1386" t="s">
        <v>5</v>
      </c>
      <c r="U34" s="1387">
        <f t="shared" si="10"/>
        <v>100</v>
      </c>
      <c r="V34" s="1386" t="s">
        <v>5</v>
      </c>
      <c r="W34" s="1387">
        <f t="shared" si="11"/>
        <v>100</v>
      </c>
      <c r="X34" s="1380"/>
      <c r="Y34" s="4305"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4305"/>
      <c r="Q35" s="1385">
        <f t="shared" si="8"/>
        <v>111</v>
      </c>
      <c r="R35" s="1390" t="s">
        <v>5</v>
      </c>
      <c r="S35" s="1391">
        <f t="shared" si="9"/>
        <v>100</v>
      </c>
      <c r="T35" s="1390" t="s">
        <v>5</v>
      </c>
      <c r="U35" s="1391">
        <f t="shared" si="10"/>
        <v>100</v>
      </c>
      <c r="V35" s="1390" t="s">
        <v>5</v>
      </c>
      <c r="W35" s="1391">
        <f t="shared" si="11"/>
        <v>100</v>
      </c>
      <c r="X35" s="1392"/>
      <c r="Y35" s="4305"/>
      <c r="Z35" s="1393">
        <f t="shared" si="12"/>
        <v>111</v>
      </c>
      <c r="AA35" s="1389">
        <f t="shared" si="3"/>
        <v>1</v>
      </c>
      <c r="AB35" s="1389">
        <f t="shared" si="4"/>
        <v>1</v>
      </c>
      <c r="AC35" s="1389">
        <f t="shared" si="5"/>
        <v>1</v>
      </c>
    </row>
    <row r="36" spans="1:29" ht="15">
      <c r="A36" s="2387" t="s">
        <v>2037</v>
      </c>
      <c r="B36" s="565" t="s">
        <v>501</v>
      </c>
      <c r="C36" s="566">
        <f>'数据-基础表'!A3</f>
        <v>59218.34</v>
      </c>
      <c r="D36" s="567">
        <v>100</v>
      </c>
      <c r="E36" s="566">
        <f>'比较法案例（ppt）'!B13</f>
        <v>57037.940999999999</v>
      </c>
      <c r="F36" s="567">
        <f>LOOKUP(E36,109:109,110:110)-LOOKUP(C36,109:109,110:110)+100</f>
        <v>100</v>
      </c>
      <c r="G36" s="566">
        <f>'比较法案例（ppt）'!C13</f>
        <v>63417.17</v>
      </c>
      <c r="H36" s="567">
        <f>LOOKUP(G36,109:109,110:110)-LOOKUP(C36,109:109,110:110)+100</f>
        <v>100</v>
      </c>
      <c r="I36" s="568">
        <f>'比较法案例（ppt）'!D13</f>
        <v>3586.3</v>
      </c>
      <c r="J36" s="567">
        <f>LOOKUP(I36,109:109,110:110)-LOOKUP(C36,109:109,110:110)+100</f>
        <v>106</v>
      </c>
      <c r="K36" s="551"/>
      <c r="L36" s="1865"/>
      <c r="M36" s="1857"/>
      <c r="N36" s="1857"/>
      <c r="O36" s="1864"/>
      <c r="P36" s="4305"/>
      <c r="Q36" s="1385" t="str">
        <f>B36</f>
        <v>宗地面积</v>
      </c>
      <c r="R36" s="1386" t="s">
        <v>5</v>
      </c>
      <c r="S36" s="1387">
        <f t="shared" si="9"/>
        <v>100</v>
      </c>
      <c r="T36" s="1386" t="s">
        <v>5</v>
      </c>
      <c r="U36" s="1387">
        <f t="shared" si="10"/>
        <v>100</v>
      </c>
      <c r="V36" s="1386" t="s">
        <v>5</v>
      </c>
      <c r="W36" s="1387">
        <f t="shared" si="11"/>
        <v>106</v>
      </c>
      <c r="X36" s="1380"/>
      <c r="Y36" s="4305"/>
      <c r="Z36" s="1388" t="str">
        <f t="shared" si="12"/>
        <v>宗地面积</v>
      </c>
      <c r="AA36" s="1389">
        <f t="shared" si="3"/>
        <v>1</v>
      </c>
      <c r="AB36" s="1389">
        <f t="shared" si="4"/>
        <v>1</v>
      </c>
      <c r="AC36" s="1389">
        <f t="shared" si="5"/>
        <v>0.94339622641509435</v>
      </c>
    </row>
    <row r="37" spans="1:29" ht="15">
      <c r="A37" s="564"/>
      <c r="B37" s="497" t="s">
        <v>502</v>
      </c>
      <c r="C37" s="569" t="s">
        <v>3331</v>
      </c>
      <c r="D37" s="510">
        <v>100</v>
      </c>
      <c r="E37" s="569" t="s">
        <v>3331</v>
      </c>
      <c r="F37" s="510">
        <f>SUMIF(111:111,E37,112:112)-SUMIF(111:111,C37,112:112)+100</f>
        <v>100</v>
      </c>
      <c r="G37" s="569" t="s">
        <v>3331</v>
      </c>
      <c r="H37" s="510">
        <f>SUMIF(111:111,G37,112:112)-SUMIF(111:111,C37,112:112)+100</f>
        <v>100</v>
      </c>
      <c r="I37" s="569" t="s">
        <v>3331</v>
      </c>
      <c r="J37" s="510">
        <f>SUMIF(111:111,I37,112:112)-SUMIF(111:111,C37,112:112)+100</f>
        <v>100</v>
      </c>
      <c r="K37" s="554"/>
      <c r="L37" s="1865"/>
      <c r="M37" s="1857"/>
      <c r="N37" s="1857"/>
      <c r="O37" s="1864"/>
      <c r="P37" s="4305"/>
      <c r="Q37" s="1385" t="str">
        <f t="shared" ref="Q37:Q42" si="13">B37</f>
        <v>宗地形状</v>
      </c>
      <c r="R37" s="1386" t="s">
        <v>5</v>
      </c>
      <c r="S37" s="1387">
        <f t="shared" si="9"/>
        <v>100</v>
      </c>
      <c r="T37" s="1386" t="s">
        <v>5</v>
      </c>
      <c r="U37" s="1387">
        <f t="shared" si="10"/>
        <v>100</v>
      </c>
      <c r="V37" s="1386" t="s">
        <v>5</v>
      </c>
      <c r="W37" s="1387">
        <f t="shared" si="11"/>
        <v>100</v>
      </c>
      <c r="X37" s="1380"/>
      <c r="Y37" s="4305"/>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4305"/>
      <c r="Q38" s="1385" t="str">
        <f t="shared" si="13"/>
        <v>宗地开发程度</v>
      </c>
      <c r="R38" s="1381" t="s">
        <v>5</v>
      </c>
      <c r="S38" s="1382">
        <f t="shared" si="9"/>
        <v>100</v>
      </c>
      <c r="T38" s="1381" t="s">
        <v>5</v>
      </c>
      <c r="U38" s="1382">
        <f t="shared" si="10"/>
        <v>100</v>
      </c>
      <c r="V38" s="1381" t="s">
        <v>5</v>
      </c>
      <c r="W38" s="1382">
        <f t="shared" si="11"/>
        <v>100</v>
      </c>
      <c r="X38" s="1383"/>
      <c r="Y38" s="4305"/>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4305" t="s">
        <v>549</v>
      </c>
      <c r="Q39" s="1385" t="str">
        <f t="shared" si="13"/>
        <v>工程地质条件</v>
      </c>
      <c r="R39" s="1386" t="s">
        <v>5</v>
      </c>
      <c r="S39" s="1387">
        <f t="shared" si="9"/>
        <v>100</v>
      </c>
      <c r="T39" s="1386" t="s">
        <v>5</v>
      </c>
      <c r="U39" s="1387">
        <f t="shared" si="10"/>
        <v>100</v>
      </c>
      <c r="V39" s="1386" t="s">
        <v>5</v>
      </c>
      <c r="W39" s="1387">
        <f t="shared" si="11"/>
        <v>100</v>
      </c>
      <c r="X39" s="1380"/>
      <c r="Y39" s="4305"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4305"/>
      <c r="Q40" s="1385">
        <f t="shared" si="13"/>
        <v>111</v>
      </c>
      <c r="R40" s="1386" t="s">
        <v>5</v>
      </c>
      <c r="S40" s="1387">
        <f t="shared" si="9"/>
        <v>100</v>
      </c>
      <c r="T40" s="1386" t="s">
        <v>5</v>
      </c>
      <c r="U40" s="1387">
        <f t="shared" si="10"/>
        <v>100</v>
      </c>
      <c r="V40" s="1386" t="s">
        <v>5</v>
      </c>
      <c r="W40" s="1387">
        <f t="shared" si="11"/>
        <v>100</v>
      </c>
      <c r="X40" s="1380"/>
      <c r="Y40" s="4305"/>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4305"/>
      <c r="Q41" s="1385">
        <f t="shared" si="13"/>
        <v>111</v>
      </c>
      <c r="R41" s="1386" t="s">
        <v>5</v>
      </c>
      <c r="S41" s="1387">
        <f t="shared" si="9"/>
        <v>100</v>
      </c>
      <c r="T41" s="1386" t="s">
        <v>5</v>
      </c>
      <c r="U41" s="1387">
        <f t="shared" si="10"/>
        <v>100</v>
      </c>
      <c r="V41" s="1386" t="s">
        <v>5</v>
      </c>
      <c r="W41" s="1387">
        <f t="shared" si="11"/>
        <v>100</v>
      </c>
      <c r="X41" s="1380"/>
      <c r="Y41" s="4305"/>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4305"/>
      <c r="Q42" s="1385">
        <f t="shared" si="13"/>
        <v>111</v>
      </c>
      <c r="R42" s="1390" t="s">
        <v>5</v>
      </c>
      <c r="S42" s="1391">
        <f t="shared" si="9"/>
        <v>100</v>
      </c>
      <c r="T42" s="1390" t="s">
        <v>5</v>
      </c>
      <c r="U42" s="1391">
        <f t="shared" si="10"/>
        <v>100</v>
      </c>
      <c r="V42" s="1390" t="s">
        <v>5</v>
      </c>
      <c r="W42" s="1391">
        <f t="shared" si="11"/>
        <v>100</v>
      </c>
      <c r="X42" s="1392"/>
      <c r="Y42" s="4305"/>
      <c r="Z42" s="1393">
        <f t="shared" si="12"/>
        <v>111</v>
      </c>
      <c r="AA42" s="1389">
        <f t="shared" si="3"/>
        <v>1</v>
      </c>
      <c r="AB42" s="1389">
        <f t="shared" si="4"/>
        <v>1</v>
      </c>
      <c r="AC42" s="1389">
        <f t="shared" si="5"/>
        <v>1</v>
      </c>
    </row>
    <row r="43" spans="1:29" ht="15">
      <c r="A43" s="577" t="s">
        <v>505</v>
      </c>
      <c r="B43" s="578" t="s">
        <v>2197</v>
      </c>
      <c r="C43" s="579" t="s">
        <v>0</v>
      </c>
      <c r="D43" s="580"/>
      <c r="E43" s="581">
        <f>'比较法案例（ppt）'!B16</f>
        <v>4319</v>
      </c>
      <c r="F43" s="582"/>
      <c r="G43" s="583">
        <f>'比较法案例（ppt）'!C16</f>
        <v>4319</v>
      </c>
      <c r="H43" s="584"/>
      <c r="I43" s="581">
        <f>'比较法案例（ppt）'!D16</f>
        <v>4577</v>
      </c>
      <c r="J43" s="584"/>
      <c r="K43" s="1201"/>
      <c r="L43" s="1867"/>
      <c r="M43" s="1857"/>
      <c r="N43" s="1857"/>
      <c r="O43" s="1868"/>
      <c r="P43" s="4269" t="str">
        <f>A43</f>
        <v>成交单价</v>
      </c>
      <c r="Q43" s="4269"/>
      <c r="R43" s="4270">
        <f>E43</f>
        <v>4319</v>
      </c>
      <c r="S43" s="4270"/>
      <c r="T43" s="4270">
        <f>G43</f>
        <v>4319</v>
      </c>
      <c r="U43" s="4270"/>
      <c r="V43" s="4270">
        <f>I43</f>
        <v>4577</v>
      </c>
      <c r="W43" s="4270"/>
      <c r="X43" s="1375"/>
      <c r="Y43" s="1394"/>
      <c r="Z43" s="1375"/>
      <c r="AA43" s="1375"/>
      <c r="AB43" s="1375"/>
      <c r="AC43" s="1375"/>
    </row>
    <row r="44" spans="1:29" ht="15.75" thickBot="1">
      <c r="A44" s="585" t="s">
        <v>1975</v>
      </c>
      <c r="B44" s="586"/>
      <c r="C44" s="587">
        <f>R45</f>
        <v>4603</v>
      </c>
      <c r="D44" s="2757" t="s">
        <v>2261</v>
      </c>
      <c r="E44" s="587">
        <f>R44</f>
        <v>4570</v>
      </c>
      <c r="F44" s="2758"/>
      <c r="G44" s="588">
        <f>T44</f>
        <v>4570</v>
      </c>
      <c r="H44" s="2758"/>
      <c r="I44" s="587">
        <f>V44</f>
        <v>4668</v>
      </c>
      <c r="J44" s="2758"/>
      <c r="K44" s="2759">
        <f>F44+H44+J44</f>
        <v>0</v>
      </c>
      <c r="L44" s="1867"/>
      <c r="M44" s="1857"/>
      <c r="N44" s="1857"/>
      <c r="O44" s="1868"/>
      <c r="P44" s="4269" t="str">
        <f>A44</f>
        <v>比较价格（元/平方米）</v>
      </c>
      <c r="Q44" s="4269"/>
      <c r="R44" s="4271">
        <f>ROUND(PRODUCT(R43,AA9:AA42),0)</f>
        <v>4570</v>
      </c>
      <c r="S44" s="4271"/>
      <c r="T44" s="4271">
        <f>ROUND(PRODUCT(T43,AB9:AB42),0)</f>
        <v>4570</v>
      </c>
      <c r="U44" s="4271"/>
      <c r="V44" s="4271">
        <f>ROUND(PRODUCT(V43,AC9:AC42),0)</f>
        <v>4668</v>
      </c>
      <c r="W44" s="4271"/>
      <c r="X44" s="1375"/>
      <c r="Y44" s="1375"/>
      <c r="Z44" s="1375"/>
      <c r="AA44" s="1375"/>
      <c r="AB44" s="1375"/>
      <c r="AC44" s="1375"/>
    </row>
    <row r="45" spans="1:29" ht="15.75" thickBot="1">
      <c r="A45" s="589" t="s">
        <v>2198</v>
      </c>
      <c r="B45" s="590"/>
      <c r="C45" s="591">
        <f>R45</f>
        <v>4603</v>
      </c>
      <c r="D45" s="591"/>
      <c r="E45" s="591"/>
      <c r="F45" s="591"/>
      <c r="G45" s="591"/>
      <c r="H45" s="591"/>
      <c r="I45" s="591"/>
      <c r="J45" s="591"/>
      <c r="K45" s="1202"/>
      <c r="L45" s="1867"/>
      <c r="M45" s="1857"/>
      <c r="N45" s="1857"/>
      <c r="O45" s="1868"/>
      <c r="P45" s="4306" t="str">
        <f>A45</f>
        <v>估价对象XX用房的比较价格（楼面单价，元/平方米）</v>
      </c>
      <c r="Q45" s="4307"/>
      <c r="R45" s="4318">
        <f>ROUND(IF(D44="简单平均",AVERAGE(R44:W44),R44*F44+T44*H44+V44*J44),0)</f>
        <v>4603</v>
      </c>
      <c r="S45" s="4318"/>
      <c r="T45" s="4318"/>
      <c r="U45" s="4318"/>
      <c r="V45" s="4318"/>
      <c r="W45" s="4318"/>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f>IF(E43&lt;E44,E44/E43-1,E43/E44-1)</f>
        <v>5.8115304468626894E-2</v>
      </c>
      <c r="F48" s="595" t="str">
        <f>IF(OR(E48&gt;=0.3,E48&lt;=-0.3),"超过30%","")</f>
        <v/>
      </c>
      <c r="G48" s="594">
        <f>IF(G43&lt;G44,G44/G43-1,G43/G44-1)</f>
        <v>5.8115304468626894E-2</v>
      </c>
      <c r="H48" s="595" t="str">
        <f>IF(OR(G48&gt;=0.3,G48&lt;=-0.3),"超过30%","")</f>
        <v/>
      </c>
      <c r="I48" s="594">
        <f>IF(I43&lt;I44,I44/I43-1,I43/I44-1)</f>
        <v>1.9882018789600275E-2</v>
      </c>
      <c r="J48" s="595" t="str">
        <f>IF(OR(I48&gt;=0.3,I48&lt;=-0.3),"超过30%","")</f>
        <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f>IF(E44&lt;G44,G44/E44-1,E44/G44-1)</f>
        <v>0</v>
      </c>
      <c r="F49" s="595" t="str">
        <f>IF(OR(E49&gt;=0.2,E49&lt;=-0.2),"超过20%","")</f>
        <v/>
      </c>
      <c r="G49" s="594">
        <f>IF(G44&lt;I44,I44/G44-1,G44/I44-1)</f>
        <v>2.144420131291036E-2</v>
      </c>
      <c r="H49" s="595" t="str">
        <f>IF(OR(G49&gt;=0.2,G49&lt;=-0.2),"超过20%","")</f>
        <v/>
      </c>
      <c r="I49" s="594">
        <f>IF(I44&lt;E44,E44/I44-1,I44/E44-1)</f>
        <v>2.144420131291036E-2</v>
      </c>
      <c r="J49" s="595" t="str">
        <f>IF(OR(I49&gt;=0.2,I49&lt;=-0.2),"超过20%","")</f>
        <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f>IF(E43&lt;G43,G43/E43-1,E43/G43-1)</f>
        <v>0</v>
      </c>
      <c r="F50" s="595" t="str">
        <f>IF(OR(E50&gt;=0.3,E50&lt;=-0.3),"超过30%","")</f>
        <v/>
      </c>
      <c r="G50" s="594">
        <f>IF(G43&lt;I43,I43/G43-1,G43/I43-1)</f>
        <v>5.9736050011576669E-2</v>
      </c>
      <c r="H50" s="595" t="str">
        <f>IF(OR(G50&gt;=0.3,G50&lt;=-0.3),"超过30%","")</f>
        <v/>
      </c>
      <c r="I50" s="594">
        <f>IF(I43&lt;E43,E43/I43-1,I43/E43-1)</f>
        <v>5.9736050011576669E-2</v>
      </c>
      <c r="J50" s="595" t="str">
        <f>IF(OR(I50&gt;=0.3,I50&lt;=-0.3),"超过30%","")</f>
        <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4314" t="s">
        <v>1642</v>
      </c>
      <c r="H52" s="4315"/>
      <c r="I52" s="1708" t="s">
        <v>1465</v>
      </c>
      <c r="J52" s="1372" t="str">
        <f>项目基本情况!F41</f>
        <v>昌平区沙河镇北沙河北</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4603</v>
      </c>
      <c r="C53" s="603">
        <v>1</v>
      </c>
      <c r="D53" s="1947">
        <v>1</v>
      </c>
      <c r="E53" s="603">
        <f>'数据-汇总表'!E8+'数据-汇总表'!E9</f>
        <v>59218.34</v>
      </c>
      <c r="F53" s="1706">
        <f t="shared" ref="F53:F61" si="14">ROUND(B53*E53/10000,0)</f>
        <v>27258</v>
      </c>
      <c r="G53" s="4316"/>
      <c r="H53" s="4317"/>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9" t="s">
        <v>1643</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59218.34</v>
      </c>
      <c r="F62" s="612">
        <f>IF(B43="楼面地价",SUM(F53:F61),ROUND(C45*E62/10000,0))</f>
        <v>27258</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2024-3-1</v>
      </c>
      <c r="D64" s="2279">
        <f>EDATE(C64,-3)</f>
        <v>45261</v>
      </c>
      <c r="E64" s="2279">
        <f t="shared" ref="E64:N64" si="17">EDATE(D64,-3)</f>
        <v>45170</v>
      </c>
      <c r="F64" s="2279">
        <f t="shared" si="17"/>
        <v>45078</v>
      </c>
      <c r="G64" s="2279">
        <f t="shared" si="17"/>
        <v>44986</v>
      </c>
      <c r="H64" s="2279">
        <f t="shared" si="17"/>
        <v>44896</v>
      </c>
      <c r="I64" s="2279">
        <f t="shared" si="17"/>
        <v>44805</v>
      </c>
      <c r="J64" s="2279">
        <f t="shared" si="17"/>
        <v>44713</v>
      </c>
      <c r="K64" s="2279">
        <f t="shared" si="17"/>
        <v>44621</v>
      </c>
      <c r="L64" s="2279">
        <f t="shared" si="17"/>
        <v>44531</v>
      </c>
      <c r="M64" s="2279">
        <f t="shared" si="17"/>
        <v>44440</v>
      </c>
      <c r="N64" s="2279">
        <f t="shared" si="17"/>
        <v>44348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28.5">
      <c r="A66" s="2185" t="s">
        <v>1816</v>
      </c>
      <c r="B66" s="614"/>
      <c r="C66" s="2276" t="str">
        <f>YEAR(C64)&amp;"-"&amp;ROUNDUP(MONTH(C64)/3,0)</f>
        <v>2024-1</v>
      </c>
      <c r="D66" s="2281" t="str">
        <f t="shared" ref="D66:N66" si="18">YEAR(D64)&amp;"-"&amp;ROUNDUP(MONTH(D64)/3,0)</f>
        <v>2023-4</v>
      </c>
      <c r="E66" s="2281" t="str">
        <f t="shared" si="18"/>
        <v>2023-3</v>
      </c>
      <c r="F66" s="2281" t="str">
        <f t="shared" si="18"/>
        <v>2023-2</v>
      </c>
      <c r="G66" s="2281" t="str">
        <f t="shared" si="18"/>
        <v>2023-1</v>
      </c>
      <c r="H66" s="2281" t="str">
        <f t="shared" si="18"/>
        <v>2022-4</v>
      </c>
      <c r="I66" s="2281" t="str">
        <f t="shared" si="18"/>
        <v>2022-3</v>
      </c>
      <c r="J66" s="2281" t="str">
        <f t="shared" si="18"/>
        <v>2022-2</v>
      </c>
      <c r="K66" s="2281" t="str">
        <f t="shared" si="18"/>
        <v>2022-1</v>
      </c>
      <c r="L66" s="2281" t="str">
        <f t="shared" si="18"/>
        <v>2021-4</v>
      </c>
      <c r="M66" s="2281" t="str">
        <f t="shared" si="18"/>
        <v>2021-3</v>
      </c>
      <c r="N66" s="2281" t="str">
        <f t="shared" si="18"/>
        <v>2021-2</v>
      </c>
      <c r="O66" s="4092" t="s">
        <v>3396</v>
      </c>
      <c r="P66" s="4092" t="s">
        <v>3397</v>
      </c>
      <c r="Q66" s="4092" t="s">
        <v>3398</v>
      </c>
      <c r="R66" s="4092" t="s">
        <v>3399</v>
      </c>
      <c r="S66" s="4092" t="s">
        <v>3400</v>
      </c>
      <c r="T66" s="4092" t="s">
        <v>3401</v>
      </c>
      <c r="U66" s="1883" t="s">
        <v>3402</v>
      </c>
      <c r="V66" s="1883" t="s">
        <v>3403</v>
      </c>
      <c r="W66" s="1883" t="s">
        <v>3404</v>
      </c>
      <c r="X66" s="1883" t="s">
        <v>3405</v>
      </c>
      <c r="Y66" s="1883" t="s">
        <v>3406</v>
      </c>
      <c r="Z66" s="1883"/>
      <c r="AA66" s="1883"/>
      <c r="AB66" s="1883"/>
      <c r="AC66" s="1883"/>
    </row>
    <row r="67" spans="1:29" s="1118" customFormat="1" ht="27.75" customHeight="1">
      <c r="A67" s="2278" t="s">
        <v>1931</v>
      </c>
      <c r="B67" s="465" t="str">
        <f>"北京市平均增长率"&amp;TEXT(基准地价!P28,"0.00%")</f>
        <v>北京市平均增长率0.00%</v>
      </c>
      <c r="C67" s="857">
        <v>100</v>
      </c>
      <c r="D67" s="4091">
        <f>C67-$C$68</f>
        <v>99.5</v>
      </c>
      <c r="E67" s="4091">
        <f t="shared" ref="E67:Y67" si="19">D67-$C$68</f>
        <v>99</v>
      </c>
      <c r="F67" s="4091">
        <f t="shared" si="19"/>
        <v>98.5</v>
      </c>
      <c r="G67" s="4091">
        <f t="shared" si="19"/>
        <v>98</v>
      </c>
      <c r="H67" s="4091">
        <f t="shared" si="19"/>
        <v>97.5</v>
      </c>
      <c r="I67" s="4091">
        <f t="shared" si="19"/>
        <v>97</v>
      </c>
      <c r="J67" s="4091">
        <f t="shared" si="19"/>
        <v>96.5</v>
      </c>
      <c r="K67" s="4091">
        <f t="shared" si="19"/>
        <v>96</v>
      </c>
      <c r="L67" s="4091">
        <f t="shared" si="19"/>
        <v>95.5</v>
      </c>
      <c r="M67" s="4091">
        <f t="shared" si="19"/>
        <v>95</v>
      </c>
      <c r="N67" s="4091">
        <f t="shared" si="19"/>
        <v>94.5</v>
      </c>
      <c r="O67" s="4091">
        <f t="shared" si="19"/>
        <v>94</v>
      </c>
      <c r="P67" s="4091">
        <f t="shared" si="19"/>
        <v>93.5</v>
      </c>
      <c r="Q67" s="4091">
        <f t="shared" si="19"/>
        <v>93</v>
      </c>
      <c r="R67" s="4091">
        <f t="shared" si="19"/>
        <v>92.5</v>
      </c>
      <c r="S67" s="4091">
        <f t="shared" si="19"/>
        <v>92</v>
      </c>
      <c r="T67" s="4091">
        <f t="shared" si="19"/>
        <v>91.5</v>
      </c>
      <c r="U67" s="4091">
        <f t="shared" si="19"/>
        <v>91</v>
      </c>
      <c r="V67" s="4091">
        <f t="shared" si="19"/>
        <v>90.5</v>
      </c>
      <c r="W67" s="4091">
        <f t="shared" si="19"/>
        <v>90</v>
      </c>
      <c r="X67" s="4091">
        <f t="shared" si="19"/>
        <v>89.5</v>
      </c>
      <c r="Y67" s="4091">
        <f t="shared" si="19"/>
        <v>89</v>
      </c>
      <c r="Z67" s="1746"/>
      <c r="AA67" s="1746"/>
      <c r="AB67" s="1746"/>
      <c r="AC67" s="1746"/>
    </row>
    <row r="68" spans="1:29" s="1118" customFormat="1" ht="15.75" thickBot="1">
      <c r="A68" s="621" t="s">
        <v>523</v>
      </c>
      <c r="B68" s="622"/>
      <c r="C68" s="4090">
        <v>0.5</v>
      </c>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0（含）-1</v>
      </c>
      <c r="D75" s="650" t="str">
        <f t="shared" ref="D75:L75" si="20">D76&amp;"（含）"&amp;"-"&amp;E76</f>
        <v>1（含）-</v>
      </c>
      <c r="E75" s="650" t="str">
        <f t="shared" si="20"/>
        <v>（含）-</v>
      </c>
      <c r="F75" s="650" t="str">
        <f t="shared" si="20"/>
        <v>（含）-</v>
      </c>
      <c r="G75" s="650" t="str">
        <f t="shared" si="20"/>
        <v>（含）-</v>
      </c>
      <c r="H75" s="650" t="str">
        <f t="shared" si="20"/>
        <v>（含）-</v>
      </c>
      <c r="I75" s="650" t="str">
        <f t="shared" si="20"/>
        <v>（含）-</v>
      </c>
      <c r="J75" s="650" t="str">
        <f t="shared" si="20"/>
        <v>（含）-</v>
      </c>
      <c r="K75" s="650" t="str">
        <f t="shared" si="20"/>
        <v>（含）-</v>
      </c>
      <c r="L75" s="650" t="str">
        <f t="shared" si="20"/>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v>0</v>
      </c>
      <c r="D76" s="511">
        <v>1</v>
      </c>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1">IF($B$43="单位面积地价",C77+$K13,C77-$K13)</f>
        <v>100</v>
      </c>
      <c r="E77" s="647">
        <f t="shared" si="21"/>
        <v>100</v>
      </c>
      <c r="F77" s="647">
        <f t="shared" si="21"/>
        <v>100</v>
      </c>
      <c r="G77" s="647">
        <f t="shared" si="21"/>
        <v>100</v>
      </c>
      <c r="H77" s="647">
        <f t="shared" si="21"/>
        <v>100</v>
      </c>
      <c r="I77" s="647">
        <f t="shared" si="21"/>
        <v>100</v>
      </c>
      <c r="J77" s="647">
        <f t="shared" si="21"/>
        <v>100</v>
      </c>
      <c r="K77" s="647">
        <f t="shared" si="21"/>
        <v>100</v>
      </c>
      <c r="L77" s="647">
        <f t="shared" si="21"/>
        <v>100</v>
      </c>
      <c r="M77" s="647">
        <f t="shared" si="21"/>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95</v>
      </c>
      <c r="E85" s="647">
        <f>D85-$K17</f>
        <v>90</v>
      </c>
      <c r="F85" s="647">
        <f>E85-$K17</f>
        <v>85</v>
      </c>
      <c r="G85" s="647">
        <f>F85-$K17</f>
        <v>80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2">C97-$K29</f>
        <v>100</v>
      </c>
      <c r="E97" s="647">
        <f t="shared" si="22"/>
        <v>100</v>
      </c>
      <c r="F97" s="647">
        <f t="shared" si="22"/>
        <v>100</v>
      </c>
      <c r="G97" s="647">
        <f t="shared" si="22"/>
        <v>100</v>
      </c>
      <c r="H97" s="647">
        <f t="shared" si="22"/>
        <v>100</v>
      </c>
      <c r="I97" s="647">
        <f t="shared" si="22"/>
        <v>100</v>
      </c>
      <c r="J97" s="647">
        <f t="shared" si="22"/>
        <v>100</v>
      </c>
      <c r="K97" s="647">
        <f t="shared" si="22"/>
        <v>100</v>
      </c>
      <c r="L97" s="647">
        <f t="shared" si="22"/>
        <v>100</v>
      </c>
      <c r="M97" s="647">
        <f t="shared" si="22"/>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4">C101-$K32</f>
        <v>100</v>
      </c>
      <c r="E101" s="647">
        <f t="shared" si="24"/>
        <v>100</v>
      </c>
      <c r="F101" s="647">
        <f t="shared" si="24"/>
        <v>100</v>
      </c>
      <c r="G101" s="647">
        <f t="shared" si="24"/>
        <v>100</v>
      </c>
      <c r="H101" s="647">
        <f t="shared" si="24"/>
        <v>100</v>
      </c>
      <c r="I101" s="647">
        <f t="shared" si="24"/>
        <v>100</v>
      </c>
      <c r="J101" s="647">
        <f t="shared" si="24"/>
        <v>100</v>
      </c>
      <c r="K101" s="647">
        <f t="shared" si="24"/>
        <v>100</v>
      </c>
      <c r="L101" s="647">
        <f t="shared" si="24"/>
        <v>100</v>
      </c>
      <c r="M101" s="647">
        <f t="shared" si="24"/>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ht="28.5">
      <c r="A108" s="632" t="s">
        <v>500</v>
      </c>
      <c r="B108" s="633" t="s">
        <v>541</v>
      </c>
      <c r="C108" s="672" t="str">
        <f t="shared" ref="C108:L108" si="25">C109&amp;"(含)"&amp;"-"&amp;D109</f>
        <v>0(含)-25000</v>
      </c>
      <c r="D108" s="672" t="str">
        <f t="shared" si="25"/>
        <v>25000(含)-50000</v>
      </c>
      <c r="E108" s="672" t="str">
        <f t="shared" si="25"/>
        <v>50000(含)-</v>
      </c>
      <c r="F108" s="672" t="str">
        <f t="shared" si="25"/>
        <v>(含)-</v>
      </c>
      <c r="G108" s="672" t="str">
        <f t="shared" si="25"/>
        <v>(含)-</v>
      </c>
      <c r="H108" s="672" t="str">
        <f t="shared" si="25"/>
        <v>(含)-</v>
      </c>
      <c r="I108" s="672" t="str">
        <f t="shared" si="25"/>
        <v>(含)-</v>
      </c>
      <c r="J108" s="672" t="str">
        <f t="shared" si="25"/>
        <v>(含)-</v>
      </c>
      <c r="K108" s="2537" t="str">
        <f t="shared" si="25"/>
        <v>(含)-</v>
      </c>
      <c r="L108" s="2538" t="str">
        <f t="shared" si="25"/>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v>25000</v>
      </c>
      <c r="E109" s="698">
        <v>50000</v>
      </c>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v>97</v>
      </c>
      <c r="E110" s="694">
        <v>94</v>
      </c>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4089" t="s">
        <v>3394</v>
      </c>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6">C112-$K37</f>
        <v>100</v>
      </c>
      <c r="E112" s="647">
        <f t="shared" si="26"/>
        <v>100</v>
      </c>
      <c r="F112" s="647">
        <f t="shared" si="26"/>
        <v>100</v>
      </c>
      <c r="G112" s="647">
        <f t="shared" si="26"/>
        <v>100</v>
      </c>
      <c r="H112" s="647">
        <f t="shared" si="26"/>
        <v>100</v>
      </c>
      <c r="I112" s="647">
        <f t="shared" si="26"/>
        <v>100</v>
      </c>
      <c r="J112" s="647">
        <f t="shared" si="26"/>
        <v>100</v>
      </c>
      <c r="K112" s="647">
        <f t="shared" si="26"/>
        <v>100</v>
      </c>
      <c r="L112" s="647">
        <f t="shared" si="26"/>
        <v>100</v>
      </c>
      <c r="M112" s="648">
        <f t="shared" si="26"/>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3395</v>
      </c>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7">C114-$K38</f>
        <v>100</v>
      </c>
      <c r="E114" s="647">
        <f t="shared" si="27"/>
        <v>100</v>
      </c>
      <c r="F114" s="647">
        <f t="shared" si="27"/>
        <v>100</v>
      </c>
      <c r="G114" s="647">
        <f t="shared" si="27"/>
        <v>100</v>
      </c>
      <c r="H114" s="647">
        <f t="shared" si="27"/>
        <v>100</v>
      </c>
      <c r="I114" s="647">
        <f t="shared" si="27"/>
        <v>100</v>
      </c>
      <c r="J114" s="647">
        <f t="shared" si="27"/>
        <v>100</v>
      </c>
      <c r="K114" s="647">
        <f t="shared" si="27"/>
        <v>100</v>
      </c>
      <c r="L114" s="647">
        <f t="shared" si="27"/>
        <v>100</v>
      </c>
      <c r="M114" s="648">
        <f t="shared" si="27"/>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8">C116-$K39</f>
        <v>100</v>
      </c>
      <c r="E116" s="647">
        <f t="shared" si="28"/>
        <v>100</v>
      </c>
      <c r="F116" s="647">
        <f t="shared" si="28"/>
        <v>100</v>
      </c>
      <c r="G116" s="647">
        <f t="shared" si="28"/>
        <v>100</v>
      </c>
      <c r="H116" s="647">
        <f t="shared" si="28"/>
        <v>100</v>
      </c>
      <c r="I116" s="647">
        <f t="shared" si="28"/>
        <v>100</v>
      </c>
      <c r="J116" s="647">
        <f t="shared" si="28"/>
        <v>100</v>
      </c>
      <c r="K116" s="647">
        <f t="shared" si="28"/>
        <v>100</v>
      </c>
      <c r="L116" s="647">
        <f t="shared" si="28"/>
        <v>100</v>
      </c>
      <c r="M116" s="648">
        <f t="shared" si="28"/>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B19" sqref="B19:D19"/>
    </sheetView>
  </sheetViews>
  <sheetFormatPr defaultRowHeight="13.5"/>
  <cols>
    <col min="1" max="1" width="22.375" style="3667" customWidth="1"/>
    <col min="2" max="2" width="22.625" style="3667" customWidth="1"/>
    <col min="3" max="3" width="22.25" style="3667" customWidth="1"/>
    <col min="4" max="4" width="21.875" style="3667" customWidth="1"/>
    <col min="5" max="16384" width="9" style="3667"/>
  </cols>
  <sheetData>
    <row r="1" spans="1:4">
      <c r="A1" s="3666"/>
      <c r="B1" s="3666" t="s">
        <v>3365</v>
      </c>
      <c r="C1" s="3666"/>
      <c r="D1" s="3666"/>
    </row>
    <row r="2" spans="1:4">
      <c r="A2" s="3666"/>
      <c r="B2" s="3666" t="s">
        <v>3366</v>
      </c>
      <c r="C2" s="3666"/>
      <c r="D2" s="3666"/>
    </row>
    <row r="3" spans="1:4">
      <c r="A3" s="3666"/>
      <c r="B3" s="3666" t="s">
        <v>3367</v>
      </c>
      <c r="C3" s="3666"/>
      <c r="D3" s="3666"/>
    </row>
    <row r="4" spans="1:4">
      <c r="A4" s="3666"/>
      <c r="B4" s="3700" t="s">
        <v>3368</v>
      </c>
      <c r="C4" s="3700" t="s">
        <v>3368</v>
      </c>
      <c r="D4" s="3700" t="s">
        <v>3369</v>
      </c>
    </row>
    <row r="5" spans="1:4">
      <c r="A5" s="3666" t="s">
        <v>3370</v>
      </c>
      <c r="B5" s="3700" t="s">
        <v>3371</v>
      </c>
      <c r="C5" s="3666" t="s">
        <v>3372</v>
      </c>
      <c r="D5" s="3666" t="s">
        <v>3373</v>
      </c>
    </row>
    <row r="6" spans="1:4">
      <c r="A6" s="3700" t="s">
        <v>3374</v>
      </c>
      <c r="B6" s="3700" t="s">
        <v>3375</v>
      </c>
      <c r="C6" s="3700" t="s">
        <v>3375</v>
      </c>
      <c r="D6" s="3666" t="s">
        <v>3376</v>
      </c>
    </row>
    <row r="7" spans="1:4">
      <c r="A7" s="3666" t="s">
        <v>3377</v>
      </c>
      <c r="B7" s="3666" t="s">
        <v>3378</v>
      </c>
      <c r="C7" s="3666" t="s">
        <v>3378</v>
      </c>
      <c r="D7" s="3666" t="s">
        <v>3378</v>
      </c>
    </row>
    <row r="8" spans="1:4">
      <c r="A8" s="3700" t="s">
        <v>3379</v>
      </c>
      <c r="B8" s="4088">
        <v>43525</v>
      </c>
      <c r="C8" s="4088">
        <v>43525</v>
      </c>
      <c r="D8" s="4088">
        <v>43983</v>
      </c>
    </row>
    <row r="9" spans="1:4">
      <c r="A9" s="3700" t="s">
        <v>3380</v>
      </c>
      <c r="B9" s="3700" t="s">
        <v>3381</v>
      </c>
      <c r="C9" s="3666" t="s">
        <v>3382</v>
      </c>
      <c r="D9" s="3666" t="s">
        <v>3382</v>
      </c>
    </row>
    <row r="10" spans="1:4">
      <c r="A10" s="3666" t="s">
        <v>3383</v>
      </c>
      <c r="B10" s="3666" t="s">
        <v>3264</v>
      </c>
      <c r="C10" s="3666" t="s">
        <v>3264</v>
      </c>
      <c r="D10" s="3666" t="s">
        <v>3264</v>
      </c>
    </row>
    <row r="11" spans="1:4">
      <c r="A11" s="3700" t="s">
        <v>3384</v>
      </c>
      <c r="B11" s="3666" t="s">
        <v>905</v>
      </c>
      <c r="C11" s="3666" t="s">
        <v>905</v>
      </c>
      <c r="D11" s="3666" t="s">
        <v>905</v>
      </c>
    </row>
    <row r="12" spans="1:4">
      <c r="A12" s="3700" t="s">
        <v>3385</v>
      </c>
      <c r="B12" s="3666" t="s">
        <v>3386</v>
      </c>
      <c r="C12" s="3666" t="s">
        <v>3386</v>
      </c>
      <c r="D12" s="3666" t="s">
        <v>3386</v>
      </c>
    </row>
    <row r="13" spans="1:4">
      <c r="A13" s="3666" t="s">
        <v>3387</v>
      </c>
      <c r="B13" s="3666">
        <v>57037.940999999999</v>
      </c>
      <c r="C13" s="3666">
        <v>63417.17</v>
      </c>
      <c r="D13" s="3666">
        <v>3586.3</v>
      </c>
    </row>
    <row r="14" spans="1:4">
      <c r="A14" s="3700" t="s">
        <v>3388</v>
      </c>
      <c r="B14" s="3666">
        <v>4319</v>
      </c>
      <c r="C14" s="3666">
        <v>4319</v>
      </c>
      <c r="D14" s="3666">
        <v>4577</v>
      </c>
    </row>
    <row r="15" spans="1:4">
      <c r="A15" s="3700" t="s">
        <v>3389</v>
      </c>
      <c r="B15" s="3666">
        <v>1</v>
      </c>
      <c r="C15" s="3666">
        <v>1</v>
      </c>
      <c r="D15" s="3666">
        <v>1</v>
      </c>
    </row>
    <row r="16" spans="1:4">
      <c r="A16" s="3666" t="s">
        <v>3390</v>
      </c>
      <c r="B16" s="3666">
        <v>4319</v>
      </c>
      <c r="C16" s="3666">
        <v>4319</v>
      </c>
      <c r="D16" s="3666">
        <v>4577</v>
      </c>
    </row>
    <row r="17" spans="1:4">
      <c r="A17" s="3666" t="s">
        <v>3391</v>
      </c>
      <c r="B17" s="3666">
        <v>287.93</v>
      </c>
      <c r="C17" s="3666">
        <v>287.93</v>
      </c>
      <c r="D17" s="3666">
        <v>305.13</v>
      </c>
    </row>
    <row r="18" spans="1:4">
      <c r="A18" s="3666" t="s">
        <v>3392</v>
      </c>
      <c r="B18" s="4319">
        <v>4183</v>
      </c>
      <c r="C18" s="4319"/>
      <c r="D18" s="4319"/>
    </row>
    <row r="19" spans="1:4">
      <c r="A19" s="3666" t="s">
        <v>3393</v>
      </c>
      <c r="B19" s="4319">
        <v>278.87</v>
      </c>
      <c r="C19" s="4319"/>
      <c r="D19" s="4319"/>
    </row>
    <row r="20" spans="1:4">
      <c r="A20" s="3666"/>
      <c r="B20" s="3666"/>
      <c r="C20" s="3666"/>
      <c r="D20" s="3666"/>
    </row>
  </sheetData>
  <mergeCells count="2">
    <mergeCell ref="B18:D18"/>
    <mergeCell ref="B19:D19"/>
  </mergeCells>
  <phoneticPr fontId="22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E34" sqref="E34"/>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59218.34</v>
      </c>
      <c r="E1" s="1261" t="s">
        <v>1779</v>
      </c>
      <c r="F1" s="2105">
        <f>'数据-基础表'!A3</f>
        <v>59218.34</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8397</v>
      </c>
      <c r="C2" s="1262" t="s">
        <v>849</v>
      </c>
      <c r="D2" s="1263" t="s">
        <v>850</v>
      </c>
      <c r="E2" s="1264" t="s">
        <v>905</v>
      </c>
      <c r="F2" s="1263" t="s">
        <v>852</v>
      </c>
      <c r="G2" s="1457" t="str">
        <f>IF(E2="商业",项目基本情况!B43,IF(E2="办公",项目基本情况!C43,IF(E2="住宅",项目基本情况!D43,IF(E2="工业",项目基本情况!E43,项目基本情况!F43))))</f>
        <v>八级</v>
      </c>
      <c r="H2" s="1263" t="s">
        <v>854</v>
      </c>
      <c r="I2" s="1458" t="str">
        <f>IF(E2="商业",项目基本情况!B44,IF(E2="办公",项目基本情况!C44,IF(E2="住宅",项目基本情况!D44,IF(E2="工业",项目基本情况!E44,项目基本情况!F44))))</f>
        <v>Ⅷ-昌3</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1.5418000000000001</v>
      </c>
      <c r="T2" s="2416">
        <f>ROUND($C$5*$C$22*$C$23*$C$24*S2*$C$28,0)</f>
        <v>2186</v>
      </c>
      <c r="U2" s="2406"/>
      <c r="V2" s="2416">
        <f>ROUND(T2*U2/10000,0)</f>
        <v>0</v>
      </c>
      <c r="W2" s="1911"/>
      <c r="X2" s="1911"/>
      <c r="Y2" s="1911"/>
      <c r="Z2" s="1911"/>
      <c r="AA2" s="1911"/>
      <c r="AB2" s="1911"/>
      <c r="AC2" s="1912"/>
    </row>
    <row r="3" spans="1:39" ht="15.75">
      <c r="A3" s="1266" t="s">
        <v>1220</v>
      </c>
      <c r="B3" s="991">
        <f>ROUND(B2*10000/D1,0)</f>
        <v>1418</v>
      </c>
      <c r="C3" s="1262" t="s">
        <v>855</v>
      </c>
      <c r="D3" s="1263" t="s">
        <v>856</v>
      </c>
      <c r="E3" s="1267" t="s">
        <v>2508</v>
      </c>
      <c r="F3" s="1268" t="s">
        <v>3267</v>
      </c>
      <c r="G3" s="992">
        <f>IF(F3="宗地容积率",'数据-汇总表'!I4,IF(F3="估价对象容积率",'数据-汇总表'!I6,'数据-汇总表'!I7))</f>
        <v>1</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1.1883999999999999</v>
      </c>
      <c r="T3" s="2416">
        <f t="shared" ref="T3:T16" si="0">ROUND($C$5*$C$22*$C$23*$C$24*S3*$C$28,0)</f>
        <v>1685</v>
      </c>
      <c r="U3" s="2406"/>
      <c r="V3" s="2416">
        <f t="shared" ref="V3:V16" si="1">ROUND(T3*U3/10000,0)</f>
        <v>0</v>
      </c>
      <c r="W3" s="1911"/>
      <c r="X3" s="1911"/>
      <c r="Y3" s="1911"/>
      <c r="Z3" s="1911"/>
      <c r="AA3" s="1911"/>
      <c r="AB3" s="1911"/>
      <c r="AC3" s="1912"/>
    </row>
    <row r="4" spans="1:39" ht="28.5">
      <c r="A4" s="1647" t="s">
        <v>1638</v>
      </c>
      <c r="B4" s="2106">
        <f>ROUND(B2*10000/F1,0)</f>
        <v>1418</v>
      </c>
      <c r="C4" s="1650" t="s">
        <v>1613</v>
      </c>
      <c r="D4" s="1650">
        <f>ROUND(B2/(F1/666.67),0)</f>
        <v>95</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0.96940000000000004</v>
      </c>
      <c r="T4" s="2416">
        <f t="shared" si="0"/>
        <v>1374</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1320</v>
      </c>
      <c r="D5" s="2548">
        <f>ROUND(C6*C17+C20,0)</f>
        <v>1320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0.82299999999999995</v>
      </c>
      <c r="T5" s="2416">
        <f t="shared" si="0"/>
        <v>1167</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1320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0.74980000000000002</v>
      </c>
      <c r="T6" s="2416">
        <f t="shared" si="0"/>
        <v>1063</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3196</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2046</v>
      </c>
      <c r="X7" s="2407" t="str">
        <f>G2</f>
        <v>八级</v>
      </c>
      <c r="Y7" s="2407" t="s">
        <v>2047</v>
      </c>
      <c r="Z7" s="2408">
        <f>G3</f>
        <v>1</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1320</v>
      </c>
      <c r="N8" s="1643">
        <f>SUMPRODUCT((因素修正幅度!B234:B276=I2)*(因素修正幅度!C3:G3=E2)*(因素修正幅度!C234:G276))</f>
        <v>0.15</v>
      </c>
      <c r="O8" s="2978"/>
      <c r="P8" s="1911"/>
      <c r="Q8" s="1911"/>
      <c r="R8" s="2416">
        <v>7</v>
      </c>
      <c r="S8" s="2406"/>
      <c r="T8" s="2416">
        <f t="shared" si="0"/>
        <v>0</v>
      </c>
      <c r="U8" s="2406"/>
      <c r="V8" s="2416">
        <f t="shared" si="1"/>
        <v>0</v>
      </c>
      <c r="W8" s="4321" t="s">
        <v>2060</v>
      </c>
      <c r="X8" s="4322"/>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4320"/>
      <c r="X9" s="2411" t="s">
        <v>3219</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4320"/>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3197</v>
      </c>
      <c r="B12" s="3507" t="s">
        <v>3198</v>
      </c>
      <c r="C12" s="3513">
        <v>1.02</v>
      </c>
      <c r="D12" s="3508" t="s">
        <v>3199</v>
      </c>
      <c r="E12" s="3509" t="s">
        <v>3200</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3201</v>
      </c>
      <c r="B13" s="1283" t="s">
        <v>874</v>
      </c>
      <c r="C13" s="3527">
        <f>ROUND(C16*D16*E16*F16*G16*H16*I16*J16,4)</f>
        <v>1</v>
      </c>
      <c r="D13" s="3545" t="s">
        <v>3202</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3203</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3204</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v>1</v>
      </c>
      <c r="D16" s="3514">
        <v>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3205</v>
      </c>
      <c r="B17" s="3557" t="s">
        <v>3206</v>
      </c>
      <c r="C17" s="3565">
        <f>ROUND(IF(OR(E2="工业",E2="公共服务"),1,IF(AND(E18=0,E19=0),1,IF(AND(E18=J24,E19=G19),0.8,IF(E19=0,1+E17*(-0.2),1+E17*G17*(-0.2))))),4)</f>
        <v>1</v>
      </c>
      <c r="D17" s="3558" t="s">
        <v>3207</v>
      </c>
      <c r="E17" s="3565">
        <f>ROUND(G18/I18,2)</f>
        <v>0</v>
      </c>
      <c r="F17" s="3558" t="s">
        <v>3210</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3208</v>
      </c>
      <c r="E18" s="3564"/>
      <c r="F18" s="3561" t="s">
        <v>3211</v>
      </c>
      <c r="G18" s="3563">
        <f>ROUND(1-(1/(POWER(1+G24,E18))),4)</f>
        <v>0</v>
      </c>
      <c r="H18" s="3561" t="s">
        <v>3213</v>
      </c>
      <c r="I18" s="3563">
        <f>ROUND(1-(1/(POWER(1+G24,J24))),4)</f>
        <v>0.91279999999999994</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3209</v>
      </c>
      <c r="E19" s="3566"/>
      <c r="F19" s="3562" t="s">
        <v>3212</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4331" t="s">
        <v>1370</v>
      </c>
      <c r="B20" s="1278" t="s">
        <v>875</v>
      </c>
      <c r="C20" s="998">
        <f>ROUND(IF(F21="与级别开发程度一致",0,(G21-E21)/C21),0)</f>
        <v>0</v>
      </c>
      <c r="D20" s="4326" t="s">
        <v>879</v>
      </c>
      <c r="E20" s="4327"/>
      <c r="F20" s="4326" t="s">
        <v>876</v>
      </c>
      <c r="G20" s="4327"/>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75" thickBot="1">
      <c r="A21" s="4332"/>
      <c r="B21" s="2607" t="s">
        <v>878</v>
      </c>
      <c r="C21" s="2608">
        <f>IF(E3="M4科研用地",SUMPRODUCT((修正!A2:A7=E3)*(修正!B1:M1=G2)*(修正!B2:M7)),SUMPRODUCT((修正!A2:A7=E2)*(修正!B1:M1=G2)*(修正!B2:M7)))</f>
        <v>1</v>
      </c>
      <c r="D21" s="2609" t="str">
        <f>IF(OR(G2="八级",G2="九级",G2="十级",G2="十一级",G2="十二级"),"五通一平","七通一平")</f>
        <v>五通一平</v>
      </c>
      <c r="E21" s="2599">
        <f>SUMPRODUCT((修正!B1:M1=G2)*(修正!B17:M17))</f>
        <v>185</v>
      </c>
      <c r="F21" s="2600" t="s">
        <v>3270</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1.0741000000000001</v>
      </c>
      <c r="D23" s="1297" t="s">
        <v>882</v>
      </c>
      <c r="E23" s="1000">
        <v>44197</v>
      </c>
      <c r="F23" s="1297" t="s">
        <v>883</v>
      </c>
      <c r="G23" s="1001">
        <f>'数据-取费表'!B2</f>
        <v>45382</v>
      </c>
      <c r="H23" s="1298" t="s">
        <v>2247</v>
      </c>
      <c r="I23" s="2266" t="str">
        <f>IF(H23="季度增幅（自定义）",SUMIF(N25:N28,E2,O25:O28),"")</f>
        <v/>
      </c>
      <c r="J23" s="3567" t="s">
        <v>3271</v>
      </c>
      <c r="K23" s="2977"/>
      <c r="L23" s="2511" t="s">
        <v>2116</v>
      </c>
      <c r="M23" s="2512">
        <f>ROUND(SUMIF(地价!B2:F2,E2,地价!B41:F41),0)</f>
        <v>230</v>
      </c>
      <c r="N23" s="2268" t="s">
        <v>1211</v>
      </c>
      <c r="O23" s="2267">
        <f>ROUNDDOWN(DATEDIF(E23,G23,"M")/3,0)</f>
        <v>12</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1</v>
      </c>
      <c r="D24" s="2263" t="s">
        <v>897</v>
      </c>
      <c r="E24" s="2540">
        <f>存贷款利率!E24/100</f>
        <v>4.3499999999999997E-2</v>
      </c>
      <c r="F24" s="2263" t="s">
        <v>898</v>
      </c>
      <c r="G24" s="2264">
        <f>SUMIF(M30:Q30,E2,M33:Q33)</f>
        <v>0.05</v>
      </c>
      <c r="H24" s="2263" t="s">
        <v>899</v>
      </c>
      <c r="I24" s="2259">
        <f>SUMIF('数据-取费表'!C6:C15,E2,'数据-取费表'!F6:F15)/COUNTIF('数据-取费表'!C6:C15,E2)</f>
        <v>50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1</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3214</v>
      </c>
      <c r="D26" s="1002">
        <f>IF(E26=G26,F26,IF(G3&lt;10,ROUND(F26+(H26-F26)*(G3-E26)/(G26-E26),4),"——"))</f>
        <v>1</v>
      </c>
      <c r="E26" s="992">
        <f>ROUNDDOWN(G3,1)</f>
        <v>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1</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8" t="s">
        <v>3215</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8397</v>
      </c>
      <c r="D30" s="1312"/>
      <c r="E30" s="1290"/>
      <c r="F30" s="1313"/>
      <c r="G30" s="1290"/>
      <c r="H30" s="1290"/>
      <c r="I30" s="1290"/>
      <c r="J30" s="1314"/>
      <c r="K30" s="2978"/>
      <c r="L30" s="1407" t="s">
        <v>833</v>
      </c>
      <c r="M30" s="1279" t="s">
        <v>907</v>
      </c>
      <c r="N30" s="1279" t="s">
        <v>908</v>
      </c>
      <c r="O30" s="1279" t="s">
        <v>835</v>
      </c>
      <c r="P30" s="1299" t="s">
        <v>909</v>
      </c>
      <c r="Q30" s="1299" t="s">
        <v>3241</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1418</v>
      </c>
      <c r="D33" s="1326">
        <f>'数据-基础表'!A3</f>
        <v>59218.34</v>
      </c>
      <c r="E33" s="1635">
        <f>ROUND(C33*D33/10000,0)</f>
        <v>8397</v>
      </c>
      <c r="F33" s="3569" t="s">
        <v>3216</v>
      </c>
      <c r="G33" s="1327"/>
      <c r="H33" s="1327"/>
      <c r="I33" s="1327"/>
      <c r="J33" s="1328"/>
      <c r="K33" s="2985"/>
      <c r="L33" s="3639" t="s">
        <v>3242</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213</v>
      </c>
      <c r="D34" s="1331"/>
      <c r="E34" s="1635">
        <f>ROUND(IF(B25="楼层修正",SUM(V2:V16)*#REF!,C34*D34/10000),0)</f>
        <v>0</v>
      </c>
      <c r="F34" s="3570" t="s">
        <v>3217</v>
      </c>
      <c r="G34" s="1332"/>
      <c r="H34" s="1332"/>
      <c r="I34" s="1332"/>
      <c r="J34" s="1333"/>
      <c r="K34" s="2978"/>
      <c r="L34" s="3639" t="s">
        <v>3243</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3244</v>
      </c>
      <c r="L36" s="3643">
        <f ca="1">'数据-取费表'!B40</f>
        <v>3.4500000000000003E-2</v>
      </c>
      <c r="M36" s="3644">
        <f ca="1">ROUND($L$36*(1+M31),3)</f>
        <v>4.2999999999999997E-2</v>
      </c>
      <c r="N36" s="3644">
        <f ca="1">ROUND($L$36*(1+N31),3)</f>
        <v>4.1000000000000002E-2</v>
      </c>
      <c r="O36" s="3644">
        <f ca="1">ROUND($L$36*(1+O31),3)</f>
        <v>0.04</v>
      </c>
      <c r="P36" s="3644">
        <f ca="1">ROUND($L$36*(1+P31),3)</f>
        <v>3.7999999999999999E-2</v>
      </c>
      <c r="Q36" s="3644">
        <f ca="1">ROUND($L$36*(1+Q31),3)</f>
        <v>0.04</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4328"/>
      <c r="B37" s="1344" t="s">
        <v>923</v>
      </c>
      <c r="C37" s="1005">
        <f>ROUND(D5*C22*C23*C24*C28*F37,0)</f>
        <v>709</v>
      </c>
      <c r="D37" s="1356"/>
      <c r="E37" s="996">
        <f>ROUND(C37*D37/10000,0)</f>
        <v>0</v>
      </c>
      <c r="F37" s="996">
        <f>SUMIF(修正!A57:A68,G2,修正!B57:B68)</f>
        <v>0.5</v>
      </c>
      <c r="G37" s="996">
        <f>ROUND(IF(E2="工业",C37*$M$42,C37*$M$41),0)</f>
        <v>106</v>
      </c>
      <c r="H37" s="996">
        <f>D37</f>
        <v>0</v>
      </c>
      <c r="I37" s="996">
        <f>ROUND(G37*H37/10000,0)</f>
        <v>0</v>
      </c>
      <c r="J37" s="4328"/>
      <c r="K37" s="3642" t="s">
        <v>3245</v>
      </c>
      <c r="L37" s="3643">
        <f ca="1">L36+K38</f>
        <v>3.95E-2</v>
      </c>
      <c r="M37" s="3644">
        <f ca="1">ROUND($L$37*(1+M31),3)</f>
        <v>4.9000000000000002E-2</v>
      </c>
      <c r="N37" s="3644">
        <f t="shared" ref="N37:Q37" ca="1" si="3">ROUND($L$37*(1+N31),3)</f>
        <v>4.7E-2</v>
      </c>
      <c r="O37" s="3644">
        <f t="shared" ca="1" si="3"/>
        <v>4.4999999999999998E-2</v>
      </c>
      <c r="P37" s="3644">
        <f t="shared" ca="1" si="3"/>
        <v>4.2999999999999997E-2</v>
      </c>
      <c r="Q37" s="3644">
        <f t="shared" ca="1" si="3"/>
        <v>4.4999999999999998E-2</v>
      </c>
      <c r="R37" s="1912"/>
      <c r="S37" s="1912"/>
      <c r="T37" s="1912"/>
      <c r="U37" s="1912"/>
      <c r="V37" s="1912"/>
      <c r="W37" s="1911"/>
      <c r="X37" s="1911"/>
      <c r="Y37" s="1911"/>
      <c r="Z37" s="1911"/>
      <c r="AA37" s="1911"/>
      <c r="AB37" s="1911"/>
      <c r="AC37" s="1912"/>
    </row>
    <row r="38" spans="1:44" ht="12.75">
      <c r="A38" s="4329"/>
      <c r="B38" s="1288" t="s">
        <v>924</v>
      </c>
      <c r="C38" s="1005">
        <f>ROUND(D5*C22*C23*C24*C28*F38,0)</f>
        <v>284</v>
      </c>
      <c r="D38" s="1356"/>
      <c r="E38" s="996">
        <f t="shared" ref="E38:E42" si="4">ROUND(C38*D38/10000,0)</f>
        <v>0</v>
      </c>
      <c r="F38" s="996">
        <f>SUMIF(修正!A57:A68,G2,修正!C57:C68)</f>
        <v>0.2</v>
      </c>
      <c r="G38" s="996">
        <f>ROUND(IF(E2="工业",C38*$M$42,C38*$M$41),0)</f>
        <v>43</v>
      </c>
      <c r="H38" s="996">
        <f t="shared" ref="H38:H42" si="5">D38</f>
        <v>0</v>
      </c>
      <c r="I38" s="996">
        <f t="shared" ref="I38:I42" si="6">ROUND(G38*H38/10000,0)</f>
        <v>0</v>
      </c>
      <c r="J38" s="4329"/>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4329"/>
      <c r="B39" s="3571" t="s">
        <v>3218</v>
      </c>
      <c r="C39" s="1005">
        <f>ROUND(D5*C22*C23*C24*C28*F39,0)</f>
        <v>284</v>
      </c>
      <c r="D39" s="1356"/>
      <c r="E39" s="996">
        <f t="shared" si="4"/>
        <v>0</v>
      </c>
      <c r="F39" s="996">
        <f>SUMIF(修正!A57:A68,G2,修正!D57:D68)</f>
        <v>0.2</v>
      </c>
      <c r="G39" s="996">
        <f>ROUND(IF(E2="工业",C39*$M$42,C39*$M$41),0)</f>
        <v>43</v>
      </c>
      <c r="H39" s="996">
        <f t="shared" si="5"/>
        <v>0</v>
      </c>
      <c r="I39" s="996">
        <f t="shared" si="6"/>
        <v>0</v>
      </c>
      <c r="J39" s="4329"/>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284</v>
      </c>
      <c r="D40" s="1356"/>
      <c r="E40" s="996">
        <f t="shared" si="4"/>
        <v>0</v>
      </c>
      <c r="F40" s="1005">
        <f>SUMIF(修正!A57:A68,G2,修正!E57:E68)</f>
        <v>0.2</v>
      </c>
      <c r="G40" s="996">
        <f>ROUND(IF(E2="工业",C40*$M$42,C40*$M$41),0)</f>
        <v>43</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v>
      </c>
      <c r="G41" s="996">
        <f>ROUND(IF(E2="工业",C41*$M$42,C41*$M$41),0)</f>
        <v>0</v>
      </c>
      <c r="H41" s="996">
        <f t="shared" si="5"/>
        <v>0</v>
      </c>
      <c r="I41" s="996">
        <f t="shared" si="6"/>
        <v>0</v>
      </c>
      <c r="J41" s="1345"/>
      <c r="K41" s="1911"/>
      <c r="L41" s="3645" t="s">
        <v>3246</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3220</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3220</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3220</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f>IF(E2="工业",SUMIF(L1:L12,G2,N1:N12),"——")</f>
        <v>0.15</v>
      </c>
      <c r="G83" s="3602"/>
      <c r="H83" s="3603">
        <f t="shared" ref="H83:H90" si="23">IFERROR(ROUNDDOWN($F$83*I83/2,4),"——")</f>
        <v>1.95E-2</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f t="shared" si="23"/>
        <v>2.2499999999999999E-2</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f t="shared" si="23"/>
        <v>7.4999999999999997E-3</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f t="shared" si="23"/>
        <v>3.7000000000000002E-3</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f t="shared" si="23"/>
        <v>4.4999999999999997E-3</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f t="shared" si="23"/>
        <v>8.9999999999999993E-3</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2199</v>
      </c>
      <c r="C89" s="3598"/>
      <c r="D89" s="3599">
        <f t="shared" si="22"/>
        <v>0</v>
      </c>
      <c r="E89" s="3605"/>
      <c r="F89" s="3601"/>
      <c r="G89" s="3602"/>
      <c r="H89" s="3603">
        <f t="shared" si="23"/>
        <v>4.4999999999999997E-3</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f t="shared" si="23"/>
        <v>3.7000000000000002E-3</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3229</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3230</v>
      </c>
      <c r="B92" s="3574"/>
      <c r="C92" s="3574" t="s">
        <v>3235</v>
      </c>
      <c r="D92" s="3574" t="s">
        <v>3222</v>
      </c>
      <c r="E92" s="3631" t="s">
        <v>3223</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3231</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3232</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3220</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3224</v>
      </c>
      <c r="B96" s="3578" t="s">
        <v>3225</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3226</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3233</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3234</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3227</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3228</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4333" t="s">
        <v>1172</v>
      </c>
      <c r="B104" s="4333"/>
      <c r="C104" s="4333"/>
      <c r="D104" s="4333"/>
      <c r="E104" s="4333"/>
      <c r="F104" s="4333"/>
      <c r="G104" s="4333"/>
      <c r="H104" s="4333"/>
      <c r="I104" s="4333"/>
      <c r="J104" s="4333"/>
      <c r="K104" s="2103"/>
      <c r="L104" s="2103"/>
      <c r="M104" s="2103"/>
      <c r="N104" s="2103"/>
    </row>
    <row r="105" spans="1:36">
      <c r="A105" s="4334" t="s">
        <v>1161</v>
      </c>
      <c r="B105" s="4334" t="s">
        <v>1173</v>
      </c>
      <c r="C105" s="1041" t="s">
        <v>1174</v>
      </c>
      <c r="D105" s="1042"/>
      <c r="E105" s="1042"/>
      <c r="F105" s="1042"/>
      <c r="G105" s="1042"/>
      <c r="H105" s="1042"/>
      <c r="I105" s="1042"/>
      <c r="J105" s="1043"/>
      <c r="K105" s="1035"/>
      <c r="L105" s="1035"/>
      <c r="M105" s="1035"/>
      <c r="N105" s="1035"/>
    </row>
    <row r="106" spans="1:36">
      <c r="A106" s="4334"/>
      <c r="B106" s="4334"/>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4323"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4324"/>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4324"/>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4324"/>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4324"/>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4324"/>
      <c r="B112" s="1044" t="s">
        <v>3236</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4325"/>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4330" t="s">
        <v>1175</v>
      </c>
      <c r="B114" s="4330"/>
      <c r="C114" s="4330"/>
      <c r="D114" s="4330"/>
      <c r="E114" s="4330"/>
      <c r="F114" s="4330"/>
      <c r="G114" s="4330"/>
      <c r="H114" s="4330"/>
      <c r="I114" s="4330"/>
      <c r="J114" s="4330"/>
      <c r="K114" s="2101"/>
      <c r="L114" s="2101"/>
      <c r="M114" s="2101"/>
      <c r="N114" s="2101"/>
    </row>
    <row r="116" spans="1:14" ht="12.75" thickBot="1"/>
    <row r="117" spans="1:14" ht="25.5" thickBot="1">
      <c r="A117" s="976" t="s">
        <v>831</v>
      </c>
      <c r="B117" s="2104">
        <f>G3</f>
        <v>1</v>
      </c>
      <c r="C117" s="977" t="s">
        <v>832</v>
      </c>
      <c r="D117" s="978" t="e">
        <f>SUMPRODUCT((A118:A122=F116)*(B117:M117=H116)*B118:M122)</f>
        <v>#VALUE!</v>
      </c>
      <c r="E117" s="979" t="s">
        <v>833</v>
      </c>
      <c r="F117" s="980" t="str">
        <f>E2</f>
        <v>工业</v>
      </c>
      <c r="G117" s="979" t="s">
        <v>834</v>
      </c>
      <c r="H117" s="980" t="str">
        <f>G2</f>
        <v>八级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3237</v>
      </c>
      <c r="B119" s="3575">
        <f>ROUND(0.9968-0.011*B117,4)</f>
        <v>0.98580000000000001</v>
      </c>
      <c r="C119" s="3575">
        <f>B119</f>
        <v>0.98580000000000001</v>
      </c>
      <c r="D119" s="3575">
        <f>ROUND(0.949-0.014*B117,4)</f>
        <v>0.93500000000000005</v>
      </c>
      <c r="E119" s="3575">
        <f>D119</f>
        <v>0.93500000000000005</v>
      </c>
      <c r="F119" s="3575">
        <f>E119</f>
        <v>0.93500000000000005</v>
      </c>
      <c r="G119" s="3575">
        <f>F119</f>
        <v>0.93500000000000005</v>
      </c>
      <c r="H119" s="3575">
        <f>G119</f>
        <v>0.93500000000000005</v>
      </c>
      <c r="I119" s="3575">
        <f>ROUND(0.8486-0.018*B117,4)</f>
        <v>0.8306</v>
      </c>
      <c r="J119" s="3575">
        <f t="shared" ref="J119:M123" si="35">I119</f>
        <v>0.8306</v>
      </c>
      <c r="K119" s="3575">
        <f t="shared" si="35"/>
        <v>0.8306</v>
      </c>
      <c r="L119" s="3575">
        <f t="shared" si="35"/>
        <v>0.8306</v>
      </c>
      <c r="M119" s="3636">
        <f t="shared" si="35"/>
        <v>0.8306</v>
      </c>
    </row>
    <row r="120" spans="1:14" ht="12.75">
      <c r="A120" s="3633" t="s">
        <v>3238</v>
      </c>
      <c r="B120" s="3575">
        <f>ROUND(0.993-0.0112*B117,4)</f>
        <v>0.98180000000000001</v>
      </c>
      <c r="C120" s="3575">
        <f>B120</f>
        <v>0.98180000000000001</v>
      </c>
      <c r="D120" s="3575">
        <f>ROUND(0.9415-0.0142*B117,4)</f>
        <v>0.92730000000000001</v>
      </c>
      <c r="E120" s="3575">
        <f t="shared" ref="E120:H121" si="36">D120</f>
        <v>0.92730000000000001</v>
      </c>
      <c r="F120" s="3575">
        <f t="shared" si="36"/>
        <v>0.92730000000000001</v>
      </c>
      <c r="G120" s="3575">
        <f t="shared" si="36"/>
        <v>0.92730000000000001</v>
      </c>
      <c r="H120" s="3575">
        <f t="shared" si="36"/>
        <v>0.92730000000000001</v>
      </c>
      <c r="I120" s="3575">
        <f>ROUND(0.838-0.0182*B117,4)</f>
        <v>0.81979999999999997</v>
      </c>
      <c r="J120" s="3575">
        <f t="shared" si="35"/>
        <v>0.81979999999999997</v>
      </c>
      <c r="K120" s="3575">
        <f t="shared" si="35"/>
        <v>0.81979999999999997</v>
      </c>
      <c r="L120" s="3575">
        <f t="shared" si="35"/>
        <v>0.81979999999999997</v>
      </c>
      <c r="M120" s="3636">
        <f t="shared" si="35"/>
        <v>0.81979999999999997</v>
      </c>
    </row>
    <row r="121" spans="1:14" ht="12.75">
      <c r="A121" s="3633" t="s">
        <v>3239</v>
      </c>
      <c r="B121" s="3575">
        <f>ROUND(0.9448-0.0115*B117,4)</f>
        <v>0.93330000000000002</v>
      </c>
      <c r="C121" s="3575">
        <f>B121</f>
        <v>0.93330000000000002</v>
      </c>
      <c r="D121" s="3575">
        <f>ROUND(0.937-0.0145*B117,4)</f>
        <v>0.92249999999999999</v>
      </c>
      <c r="E121" s="3575">
        <f t="shared" si="36"/>
        <v>0.92249999999999999</v>
      </c>
      <c r="F121" s="3575">
        <f t="shared" si="36"/>
        <v>0.92249999999999999</v>
      </c>
      <c r="G121" s="3575">
        <f t="shared" si="36"/>
        <v>0.92249999999999999</v>
      </c>
      <c r="H121" s="3575">
        <f t="shared" si="36"/>
        <v>0.92249999999999999</v>
      </c>
      <c r="I121" s="3575">
        <f>ROUND(0.7965-0.0185*B117,4)</f>
        <v>0.77800000000000002</v>
      </c>
      <c r="J121" s="3575">
        <f t="shared" si="35"/>
        <v>0.77800000000000002</v>
      </c>
      <c r="K121" s="3575">
        <f t="shared" si="35"/>
        <v>0.77800000000000002</v>
      </c>
      <c r="L121" s="3575">
        <f t="shared" si="35"/>
        <v>0.77800000000000002</v>
      </c>
      <c r="M121" s="3636">
        <f t="shared" si="35"/>
        <v>0.77800000000000002</v>
      </c>
    </row>
    <row r="122" spans="1:14" ht="13.5" thickBot="1">
      <c r="A122" s="3634" t="s">
        <v>3240</v>
      </c>
      <c r="B122" s="3637">
        <f>ROUND(0.7836-0.012*B117,4)</f>
        <v>0.77159999999999995</v>
      </c>
      <c r="C122" s="3637">
        <f>B122</f>
        <v>0.77159999999999995</v>
      </c>
      <c r="D122" s="3637">
        <f>ROUND(0.753-0.015*B117,4)</f>
        <v>0.73799999999999999</v>
      </c>
      <c r="E122" s="3637">
        <f>D122</f>
        <v>0.73799999999999999</v>
      </c>
      <c r="F122" s="3637">
        <f>E122</f>
        <v>0.73799999999999999</v>
      </c>
      <c r="G122" s="3637">
        <f>ROUND(0.6612-0.018*B117,4)</f>
        <v>0.64319999999999999</v>
      </c>
      <c r="H122" s="3637">
        <f>G122</f>
        <v>0.64319999999999999</v>
      </c>
      <c r="I122" s="3637">
        <f>ROUND(0.5905-0.019*B117,4)</f>
        <v>0.57150000000000001</v>
      </c>
      <c r="J122" s="3637">
        <f t="shared" si="35"/>
        <v>0.57150000000000001</v>
      </c>
      <c r="K122" s="3637">
        <f t="shared" si="35"/>
        <v>0.57150000000000001</v>
      </c>
      <c r="L122" s="3637">
        <f t="shared" si="35"/>
        <v>0.57150000000000001</v>
      </c>
      <c r="M122" s="3638">
        <f t="shared" si="35"/>
        <v>0.57150000000000001</v>
      </c>
    </row>
    <row r="123" spans="1:14" ht="12.75">
      <c r="A123" s="3635" t="s">
        <v>3221</v>
      </c>
      <c r="B123" s="3575">
        <f>ROUND(0.9404-0.0106*B117,4)</f>
        <v>0.92979999999999996</v>
      </c>
      <c r="C123" s="3575">
        <f>B123</f>
        <v>0.92979999999999996</v>
      </c>
      <c r="D123" s="3575">
        <f>ROUND(0.8955-0.0135*B117,4)</f>
        <v>0.88200000000000001</v>
      </c>
      <c r="E123" s="3575">
        <f t="shared" ref="E123:H123" si="37">D123</f>
        <v>0.88200000000000001</v>
      </c>
      <c r="F123" s="3575">
        <f t="shared" si="37"/>
        <v>0.88200000000000001</v>
      </c>
      <c r="G123" s="3575">
        <f t="shared" si="37"/>
        <v>0.88200000000000001</v>
      </c>
      <c r="H123" s="3575">
        <f t="shared" si="37"/>
        <v>0.88200000000000001</v>
      </c>
      <c r="I123" s="3575">
        <f>ROUND(0.7632-0.0166*B117,4)</f>
        <v>0.74660000000000004</v>
      </c>
      <c r="J123" s="3575">
        <f t="shared" si="35"/>
        <v>0.74660000000000004</v>
      </c>
      <c r="K123" s="3575">
        <f t="shared" si="35"/>
        <v>0.74660000000000004</v>
      </c>
      <c r="L123" s="3575">
        <f t="shared" si="35"/>
        <v>0.74660000000000004</v>
      </c>
      <c r="M123" s="3636">
        <f t="shared" si="35"/>
        <v>0.74660000000000004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4" t="s">
        <v>2742</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2767</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2740</v>
      </c>
      <c r="B7" s="3248">
        <v>2.5</v>
      </c>
      <c r="C7" s="3248">
        <v>2.5</v>
      </c>
      <c r="D7" s="3248">
        <v>2</v>
      </c>
      <c r="E7" s="3248">
        <v>2</v>
      </c>
      <c r="F7" s="3248">
        <v>2</v>
      </c>
      <c r="G7" s="3248">
        <v>2</v>
      </c>
      <c r="H7" s="3248">
        <v>2</v>
      </c>
      <c r="I7" s="3249">
        <v>1.5</v>
      </c>
      <c r="J7" s="3249">
        <v>1.5</v>
      </c>
      <c r="K7" s="3249">
        <v>1.5</v>
      </c>
      <c r="L7" s="3249">
        <v>1.5</v>
      </c>
      <c r="M7" s="3250">
        <v>1.5</v>
      </c>
    </row>
    <row r="8" spans="1:13">
      <c r="A8" s="1027" t="s">
        <v>2768</v>
      </c>
      <c r="B8" s="3251">
        <v>80</v>
      </c>
      <c r="C8" s="3251">
        <v>80</v>
      </c>
      <c r="D8" s="3251">
        <v>70</v>
      </c>
      <c r="E8" s="3251">
        <v>70</v>
      </c>
      <c r="F8" s="3251">
        <v>70</v>
      </c>
      <c r="G8" s="3251">
        <v>70</v>
      </c>
      <c r="H8" s="3251">
        <v>70</v>
      </c>
      <c r="I8" s="3251">
        <v>60</v>
      </c>
      <c r="J8" s="3251">
        <v>60</v>
      </c>
      <c r="K8" s="3251">
        <v>60</v>
      </c>
      <c r="L8" s="3251">
        <v>60</v>
      </c>
      <c r="M8" s="3252">
        <v>60</v>
      </c>
    </row>
    <row r="9" spans="1:13">
      <c r="A9" s="1009" t="s">
        <v>2769</v>
      </c>
      <c r="B9" s="3253">
        <v>70</v>
      </c>
      <c r="C9" s="3253">
        <v>70</v>
      </c>
      <c r="D9" s="3253">
        <v>60</v>
      </c>
      <c r="E9" s="3253">
        <v>60</v>
      </c>
      <c r="F9" s="3253">
        <v>60</v>
      </c>
      <c r="G9" s="3253">
        <v>60</v>
      </c>
      <c r="H9" s="3253">
        <v>60</v>
      </c>
      <c r="I9" s="3253">
        <v>50</v>
      </c>
      <c r="J9" s="3253">
        <v>50</v>
      </c>
      <c r="K9" s="3253">
        <v>50</v>
      </c>
      <c r="L9" s="3253">
        <v>50</v>
      </c>
      <c r="M9" s="3254">
        <v>50</v>
      </c>
    </row>
    <row r="10" spans="1:13">
      <c r="A10" s="1009" t="s">
        <v>2770</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2771</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2772</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2773</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2774</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2775</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2776</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2459</v>
      </c>
      <c r="B19" s="3257" t="s">
        <v>2460</v>
      </c>
      <c r="C19" s="3258" t="s">
        <v>2461</v>
      </c>
      <c r="D19" s="3259"/>
      <c r="E19" s="3253" t="s">
        <v>2462</v>
      </c>
      <c r="F19" s="1033"/>
      <c r="G19" s="1033"/>
    </row>
    <row r="20" spans="1:13" s="1408" customFormat="1">
      <c r="A20" s="4335" t="s">
        <v>2453</v>
      </c>
      <c r="B20" s="4338" t="s">
        <v>2463</v>
      </c>
      <c r="C20" s="3260" t="s">
        <v>2464</v>
      </c>
      <c r="D20" s="3261"/>
      <c r="E20" s="3262">
        <v>1</v>
      </c>
      <c r="F20" s="3263" t="s">
        <v>2465</v>
      </c>
      <c r="G20" s="1035"/>
      <c r="H20" s="1025"/>
      <c r="I20" s="1025"/>
    </row>
    <row r="21" spans="1:13" s="1408" customFormat="1">
      <c r="A21" s="4336"/>
      <c r="B21" s="4339"/>
      <c r="C21" s="3264" t="s">
        <v>2466</v>
      </c>
      <c r="D21" s="3265"/>
      <c r="E21" s="3266">
        <v>1</v>
      </c>
      <c r="F21" s="3263" t="s">
        <v>2467</v>
      </c>
      <c r="G21" s="1035"/>
      <c r="H21" s="1025"/>
      <c r="I21" s="1025"/>
    </row>
    <row r="22" spans="1:13" s="1408" customFormat="1">
      <c r="A22" s="4336"/>
      <c r="B22" s="4339"/>
      <c r="C22" s="3264" t="s">
        <v>2468</v>
      </c>
      <c r="D22" s="3265"/>
      <c r="E22" s="3266">
        <v>0.9</v>
      </c>
      <c r="F22" s="3263" t="s">
        <v>2469</v>
      </c>
      <c r="G22" s="1035"/>
      <c r="H22" s="1025"/>
      <c r="I22" s="1025"/>
    </row>
    <row r="23" spans="1:13" s="1408" customFormat="1">
      <c r="A23" s="4336"/>
      <c r="B23" s="4339"/>
      <c r="C23" s="3264" t="s">
        <v>2470</v>
      </c>
      <c r="D23" s="3265"/>
      <c r="E23" s="3266">
        <v>0.9</v>
      </c>
      <c r="F23" s="3263" t="s">
        <v>2471</v>
      </c>
      <c r="G23" s="1035"/>
      <c r="H23" s="1025"/>
      <c r="I23" s="1025"/>
    </row>
    <row r="24" spans="1:13" s="1408" customFormat="1">
      <c r="A24" s="4336"/>
      <c r="B24" s="4339"/>
      <c r="C24" s="3264" t="s">
        <v>2472</v>
      </c>
      <c r="D24" s="3265"/>
      <c r="E24" s="3266">
        <v>0.8</v>
      </c>
      <c r="F24" s="3263" t="s">
        <v>2473</v>
      </c>
      <c r="G24" s="1035"/>
      <c r="H24" s="1025"/>
      <c r="I24" s="1025"/>
    </row>
    <row r="25" spans="1:13" s="1408" customFormat="1" ht="14.25" thickBot="1">
      <c r="A25" s="4337"/>
      <c r="B25" s="4340"/>
      <c r="C25" s="3267" t="s">
        <v>2474</v>
      </c>
      <c r="D25" s="3268"/>
      <c r="E25" s="3269">
        <v>0.8</v>
      </c>
      <c r="F25" s="3263" t="s">
        <v>2475</v>
      </c>
      <c r="G25" s="1035"/>
      <c r="H25" s="1025"/>
      <c r="I25" s="1025"/>
    </row>
    <row r="26" spans="1:13" s="1408" customFormat="1" ht="14.25" thickBot="1">
      <c r="A26" s="3270" t="s">
        <v>2454</v>
      </c>
      <c r="B26" s="3271" t="s">
        <v>2463</v>
      </c>
      <c r="C26" s="3272" t="s">
        <v>2476</v>
      </c>
      <c r="D26" s="3273"/>
      <c r="E26" s="3274">
        <v>1</v>
      </c>
      <c r="F26" s="3263" t="s">
        <v>2477</v>
      </c>
      <c r="G26" s="1035"/>
      <c r="H26" s="1025"/>
      <c r="I26" s="1025"/>
    </row>
    <row r="27" spans="1:13" s="1408" customFormat="1">
      <c r="A27" s="4341" t="s">
        <v>2458</v>
      </c>
      <c r="B27" s="4338" t="s">
        <v>2458</v>
      </c>
      <c r="C27" s="3260" t="s">
        <v>2478</v>
      </c>
      <c r="D27" s="3261"/>
      <c r="E27" s="3262">
        <v>1</v>
      </c>
      <c r="F27" s="3263" t="s">
        <v>2479</v>
      </c>
      <c r="G27" s="1035"/>
      <c r="H27" s="1025"/>
      <c r="I27" s="1025"/>
    </row>
    <row r="28" spans="1:13" s="1408" customFormat="1">
      <c r="A28" s="4342"/>
      <c r="B28" s="4339"/>
      <c r="C28" s="3264" t="s">
        <v>2480</v>
      </c>
      <c r="D28" s="3265"/>
      <c r="E28" s="3266">
        <v>1</v>
      </c>
      <c r="F28" s="3263" t="s">
        <v>2481</v>
      </c>
      <c r="G28" s="1035"/>
      <c r="H28" s="1025"/>
      <c r="I28" s="1025"/>
    </row>
    <row r="29" spans="1:13" s="1408" customFormat="1">
      <c r="A29" s="4342"/>
      <c r="B29" s="4339"/>
      <c r="C29" s="3264" t="s">
        <v>2482</v>
      </c>
      <c r="D29" s="3265"/>
      <c r="E29" s="3266">
        <v>0.8</v>
      </c>
      <c r="F29" s="3263" t="s">
        <v>2483</v>
      </c>
      <c r="G29" s="1035"/>
      <c r="H29" s="1025"/>
      <c r="I29" s="1025"/>
    </row>
    <row r="30" spans="1:13" s="1408" customFormat="1">
      <c r="A30" s="4342"/>
      <c r="B30" s="4339"/>
      <c r="C30" s="3264" t="s">
        <v>2484</v>
      </c>
      <c r="D30" s="3265"/>
      <c r="E30" s="3266">
        <v>0.8</v>
      </c>
      <c r="F30" s="3263" t="s">
        <v>2485</v>
      </c>
      <c r="G30" s="1035"/>
      <c r="H30" s="1025"/>
      <c r="I30" s="1025"/>
    </row>
    <row r="31" spans="1:13" s="1408" customFormat="1">
      <c r="A31" s="4342"/>
      <c r="B31" s="4339"/>
      <c r="C31" s="3264" t="s">
        <v>2486</v>
      </c>
      <c r="D31" s="3265"/>
      <c r="E31" s="3266">
        <v>0.8</v>
      </c>
      <c r="F31" s="3263" t="s">
        <v>2487</v>
      </c>
      <c r="G31" s="1035"/>
      <c r="H31" s="1025"/>
      <c r="I31" s="1025"/>
    </row>
    <row r="32" spans="1:13" s="1408" customFormat="1">
      <c r="A32" s="4342"/>
      <c r="B32" s="4339"/>
      <c r="C32" s="3264" t="s">
        <v>2488</v>
      </c>
      <c r="D32" s="3265"/>
      <c r="E32" s="3266">
        <v>0.7</v>
      </c>
      <c r="F32" s="3263" t="s">
        <v>2489</v>
      </c>
      <c r="G32" s="1035"/>
      <c r="H32" s="1025"/>
      <c r="I32" s="1025"/>
    </row>
    <row r="33" spans="1:9" s="1408" customFormat="1">
      <c r="A33" s="4342"/>
      <c r="B33" s="4339"/>
      <c r="C33" s="3264" t="s">
        <v>2490</v>
      </c>
      <c r="D33" s="3265"/>
      <c r="E33" s="3266">
        <v>0.8</v>
      </c>
      <c r="F33" s="3263" t="s">
        <v>2491</v>
      </c>
      <c r="G33" s="1035"/>
      <c r="H33" s="1025"/>
      <c r="I33" s="1025"/>
    </row>
    <row r="34" spans="1:9" s="1408" customFormat="1">
      <c r="A34" s="4342"/>
      <c r="B34" s="4339"/>
      <c r="C34" s="3264" t="s">
        <v>2492</v>
      </c>
      <c r="D34" s="3265"/>
      <c r="E34" s="3266">
        <v>0.6</v>
      </c>
      <c r="F34" s="3263" t="s">
        <v>2493</v>
      </c>
      <c r="G34" s="1035"/>
      <c r="H34" s="1025"/>
      <c r="I34" s="1025"/>
    </row>
    <row r="35" spans="1:9" s="1408" customFormat="1">
      <c r="A35" s="4342"/>
      <c r="B35" s="4339"/>
      <c r="C35" s="3264" t="s">
        <v>2494</v>
      </c>
      <c r="D35" s="3265"/>
      <c r="E35" s="3266">
        <v>0.2</v>
      </c>
      <c r="F35" s="3263" t="s">
        <v>2495</v>
      </c>
      <c r="G35" s="1035"/>
      <c r="H35" s="1025"/>
      <c r="I35" s="1025"/>
    </row>
    <row r="36" spans="1:9" s="1408" customFormat="1">
      <c r="A36" s="4342"/>
      <c r="B36" s="4339"/>
      <c r="C36" s="3264" t="s">
        <v>2496</v>
      </c>
      <c r="D36" s="3265"/>
      <c r="E36" s="3266">
        <v>0.2</v>
      </c>
      <c r="F36" s="3263" t="s">
        <v>2497</v>
      </c>
      <c r="G36" s="1035"/>
      <c r="H36" s="1025"/>
      <c r="I36" s="1025"/>
    </row>
    <row r="37" spans="1:9" s="1408" customFormat="1">
      <c r="A37" s="4342"/>
      <c r="B37" s="4344" t="s">
        <v>2498</v>
      </c>
      <c r="C37" s="3264" t="s">
        <v>2499</v>
      </c>
      <c r="D37" s="3265"/>
      <c r="E37" s="3266">
        <v>0.6</v>
      </c>
      <c r="F37" s="3263" t="s">
        <v>2500</v>
      </c>
      <c r="G37" s="1035"/>
      <c r="H37" s="1025"/>
      <c r="I37" s="1025"/>
    </row>
    <row r="38" spans="1:9" s="1408" customFormat="1">
      <c r="A38" s="4342"/>
      <c r="B38" s="4339"/>
      <c r="C38" s="3264" t="s">
        <v>2501</v>
      </c>
      <c r="D38" s="3265"/>
      <c r="E38" s="3266">
        <v>0.6</v>
      </c>
      <c r="F38" s="3263" t="s">
        <v>2502</v>
      </c>
      <c r="G38" s="1035"/>
      <c r="H38" s="1025"/>
      <c r="I38" s="1025"/>
    </row>
    <row r="39" spans="1:9" s="1408" customFormat="1" ht="14.25" thickBot="1">
      <c r="A39" s="4343"/>
      <c r="B39" s="4340"/>
      <c r="C39" s="3267" t="s">
        <v>2503</v>
      </c>
      <c r="D39" s="3268"/>
      <c r="E39" s="3269">
        <v>0.6</v>
      </c>
      <c r="F39" s="3263" t="s">
        <v>2504</v>
      </c>
      <c r="G39" s="1035"/>
      <c r="H39" s="1025"/>
      <c r="I39" s="1025"/>
    </row>
    <row r="40" spans="1:9" s="1408" customFormat="1" ht="14.25" thickBot="1">
      <c r="A40" s="3270" t="s">
        <v>2455</v>
      </c>
      <c r="B40" s="3271" t="s">
        <v>2455</v>
      </c>
      <c r="C40" s="3272" t="s">
        <v>2505</v>
      </c>
      <c r="D40" s="3273"/>
      <c r="E40" s="3274">
        <v>1</v>
      </c>
      <c r="F40" s="3263" t="s">
        <v>2506</v>
      </c>
      <c r="G40" s="1035"/>
      <c r="H40" s="1025"/>
      <c r="I40" s="1025"/>
    </row>
    <row r="41" spans="1:9" s="1408" customFormat="1">
      <c r="A41" s="4335" t="s">
        <v>2456</v>
      </c>
      <c r="B41" s="4338" t="s">
        <v>2507</v>
      </c>
      <c r="C41" s="3260" t="s">
        <v>2508</v>
      </c>
      <c r="D41" s="3261"/>
      <c r="E41" s="3262">
        <v>1</v>
      </c>
      <c r="F41" s="3263" t="s">
        <v>2509</v>
      </c>
      <c r="G41" s="1035"/>
      <c r="H41" s="1025"/>
      <c r="I41" s="1025"/>
    </row>
    <row r="42" spans="1:9" s="1408" customFormat="1">
      <c r="A42" s="4336"/>
      <c r="B42" s="4339"/>
      <c r="C42" s="3264" t="s">
        <v>2510</v>
      </c>
      <c r="D42" s="3265"/>
      <c r="E42" s="3266">
        <v>1</v>
      </c>
      <c r="F42" s="3263" t="s">
        <v>2511</v>
      </c>
      <c r="G42" s="1035"/>
      <c r="H42" s="1025"/>
      <c r="I42" s="1025"/>
    </row>
    <row r="43" spans="1:9" s="1408" customFormat="1">
      <c r="A43" s="4336"/>
      <c r="B43" s="4345"/>
      <c r="C43" s="3264" t="s">
        <v>2512</v>
      </c>
      <c r="D43" s="3265"/>
      <c r="E43" s="3266">
        <v>1.5</v>
      </c>
      <c r="F43" s="3263" t="s">
        <v>2513</v>
      </c>
      <c r="G43" s="1035"/>
      <c r="H43" s="1025"/>
      <c r="I43" s="1025"/>
    </row>
    <row r="44" spans="1:9" s="1408" customFormat="1">
      <c r="A44" s="4336"/>
      <c r="B44" s="3275" t="s">
        <v>2458</v>
      </c>
      <c r="C44" s="3264" t="s">
        <v>2457</v>
      </c>
      <c r="D44" s="3265"/>
      <c r="E44" s="3266">
        <v>2</v>
      </c>
      <c r="F44" s="3263" t="s">
        <v>2514</v>
      </c>
      <c r="G44" s="1035"/>
      <c r="H44" s="1025"/>
      <c r="I44" s="1025"/>
    </row>
    <row r="45" spans="1:9" s="1408" customFormat="1">
      <c r="A45" s="4336"/>
      <c r="B45" s="4344" t="s">
        <v>2515</v>
      </c>
      <c r="C45" s="3264" t="s">
        <v>2516</v>
      </c>
      <c r="D45" s="3265"/>
      <c r="E45" s="3266">
        <v>1</v>
      </c>
      <c r="F45" s="3263" t="s">
        <v>2517</v>
      </c>
      <c r="G45" s="1035"/>
      <c r="H45" s="1025"/>
      <c r="I45" s="1025"/>
    </row>
    <row r="46" spans="1:9" s="1408" customFormat="1">
      <c r="A46" s="4336"/>
      <c r="B46" s="4339"/>
      <c r="C46" s="3264" t="s">
        <v>2518</v>
      </c>
      <c r="D46" s="3265"/>
      <c r="E46" s="3266">
        <v>1</v>
      </c>
      <c r="F46" s="3263" t="s">
        <v>2519</v>
      </c>
      <c r="G46" s="1035"/>
      <c r="H46" s="1025"/>
      <c r="I46" s="1025"/>
    </row>
    <row r="47" spans="1:9" s="1408" customFormat="1">
      <c r="A47" s="4336"/>
      <c r="B47" s="4339"/>
      <c r="C47" s="3264" t="s">
        <v>2520</v>
      </c>
      <c r="D47" s="3265"/>
      <c r="E47" s="3266">
        <v>1</v>
      </c>
      <c r="F47" s="3263" t="s">
        <v>2521</v>
      </c>
      <c r="G47" s="1035"/>
      <c r="H47" s="1025"/>
      <c r="I47" s="1025"/>
    </row>
    <row r="48" spans="1:9" s="1408" customFormat="1">
      <c r="A48" s="4336"/>
      <c r="B48" s="4339"/>
      <c r="C48" s="3264" t="s">
        <v>2522</v>
      </c>
      <c r="D48" s="3265"/>
      <c r="E48" s="3266">
        <v>1</v>
      </c>
      <c r="F48" s="3263" t="s">
        <v>2523</v>
      </c>
      <c r="G48" s="1035"/>
      <c r="H48" s="1025"/>
      <c r="I48" s="1025"/>
    </row>
    <row r="49" spans="1:9" s="1408" customFormat="1">
      <c r="A49" s="4336"/>
      <c r="B49" s="4339"/>
      <c r="C49" s="3264" t="s">
        <v>2524</v>
      </c>
      <c r="D49" s="3265"/>
      <c r="E49" s="3266">
        <v>1</v>
      </c>
      <c r="F49" s="3263" t="s">
        <v>2525</v>
      </c>
      <c r="G49" s="1035"/>
      <c r="H49" s="1025"/>
      <c r="I49" s="1025"/>
    </row>
    <row r="50" spans="1:9" s="1408" customFormat="1">
      <c r="A50" s="4336"/>
      <c r="B50" s="4339"/>
      <c r="C50" s="3264" t="s">
        <v>2526</v>
      </c>
      <c r="D50" s="3265"/>
      <c r="E50" s="3266">
        <v>1</v>
      </c>
      <c r="F50" s="3263" t="s">
        <v>2527</v>
      </c>
      <c r="G50" s="1035"/>
      <c r="H50" s="1025"/>
      <c r="I50" s="1025"/>
    </row>
    <row r="51" spans="1:9" s="1408" customFormat="1" ht="14.25" thickBot="1">
      <c r="A51" s="4337"/>
      <c r="B51" s="4340"/>
      <c r="C51" s="3267" t="s">
        <v>2528</v>
      </c>
      <c r="D51" s="3268"/>
      <c r="E51" s="3269">
        <v>1</v>
      </c>
      <c r="F51" s="3263" t="s">
        <v>2529</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2530</v>
      </c>
      <c r="D72" s="1053"/>
      <c r="E72" s="1040" t="s">
        <v>1159</v>
      </c>
      <c r="F72" s="1053" t="s">
        <v>1159</v>
      </c>
    </row>
    <row r="73" spans="1:8" s="1025" customFormat="1">
      <c r="A73" s="3275">
        <v>1</v>
      </c>
      <c r="B73" s="4344" t="s">
        <v>2531</v>
      </c>
      <c r="C73" s="3253" t="s">
        <v>2532</v>
      </c>
      <c r="D73" s="3253" t="s">
        <v>2533</v>
      </c>
      <c r="E73" s="3276">
        <v>0.2</v>
      </c>
      <c r="F73" s="3275">
        <v>25</v>
      </c>
      <c r="H73" s="1025">
        <f>SUMIF(C71:C139,基准地价!C8,E71:E139)</f>
        <v>0</v>
      </c>
    </row>
    <row r="74" spans="1:8" s="1025" customFormat="1" ht="24">
      <c r="A74" s="3275">
        <v>2</v>
      </c>
      <c r="B74" s="4339"/>
      <c r="C74" s="3253" t="s">
        <v>2534</v>
      </c>
      <c r="D74" s="3253" t="s">
        <v>2535</v>
      </c>
      <c r="E74" s="3276">
        <v>0.2</v>
      </c>
      <c r="F74" s="3275">
        <v>25</v>
      </c>
    </row>
    <row r="75" spans="1:8" s="1025" customFormat="1" ht="24">
      <c r="A75" s="3275">
        <v>3</v>
      </c>
      <c r="B75" s="4339"/>
      <c r="C75" s="3253" t="s">
        <v>2536</v>
      </c>
      <c r="D75" s="3253" t="s">
        <v>2537</v>
      </c>
      <c r="E75" s="3276">
        <v>0.2</v>
      </c>
      <c r="F75" s="3275">
        <v>25</v>
      </c>
    </row>
    <row r="76" spans="1:8" s="1025" customFormat="1">
      <c r="A76" s="3275">
        <v>4</v>
      </c>
      <c r="B76" s="4339"/>
      <c r="C76" s="3253" t="s">
        <v>2538</v>
      </c>
      <c r="D76" s="3253" t="s">
        <v>2539</v>
      </c>
      <c r="E76" s="3276">
        <v>0.15</v>
      </c>
      <c r="F76" s="3275">
        <v>20</v>
      </c>
    </row>
    <row r="77" spans="1:8" s="1025" customFormat="1" ht="24">
      <c r="A77" s="3275">
        <v>5</v>
      </c>
      <c r="B77" s="4339"/>
      <c r="C77" s="3253" t="s">
        <v>2540</v>
      </c>
      <c r="D77" s="3253" t="s">
        <v>2541</v>
      </c>
      <c r="E77" s="3276">
        <v>0.15</v>
      </c>
      <c r="F77" s="3275">
        <v>20</v>
      </c>
    </row>
    <row r="78" spans="1:8" s="1025" customFormat="1" ht="24">
      <c r="A78" s="3275">
        <v>6</v>
      </c>
      <c r="B78" s="4339"/>
      <c r="C78" s="3253" t="s">
        <v>2542</v>
      </c>
      <c r="D78" s="3253" t="s">
        <v>2543</v>
      </c>
      <c r="E78" s="3276">
        <v>0.15</v>
      </c>
      <c r="F78" s="3275">
        <v>20</v>
      </c>
    </row>
    <row r="79" spans="1:8" s="1025" customFormat="1" ht="24">
      <c r="A79" s="3275">
        <v>7</v>
      </c>
      <c r="B79" s="4339"/>
      <c r="C79" s="3253" t="s">
        <v>2544</v>
      </c>
      <c r="D79" s="3253" t="s">
        <v>2545</v>
      </c>
      <c r="E79" s="3276">
        <v>0.15</v>
      </c>
      <c r="F79" s="3275">
        <v>20</v>
      </c>
    </row>
    <row r="80" spans="1:8" s="1025" customFormat="1" ht="24">
      <c r="A80" s="3275">
        <v>8</v>
      </c>
      <c r="B80" s="4339"/>
      <c r="C80" s="3253" t="s">
        <v>2546</v>
      </c>
      <c r="D80" s="3253" t="s">
        <v>2547</v>
      </c>
      <c r="E80" s="3276">
        <v>0.1</v>
      </c>
      <c r="F80" s="3275">
        <v>15</v>
      </c>
    </row>
    <row r="81" spans="1:6" s="1025" customFormat="1" ht="24">
      <c r="A81" s="3275">
        <v>9</v>
      </c>
      <c r="B81" s="4339"/>
      <c r="C81" s="3253" t="s">
        <v>2548</v>
      </c>
      <c r="D81" s="3253" t="s">
        <v>2549</v>
      </c>
      <c r="E81" s="3276">
        <v>0.1</v>
      </c>
      <c r="F81" s="3275">
        <v>15</v>
      </c>
    </row>
    <row r="82" spans="1:6" s="1025" customFormat="1" ht="24">
      <c r="A82" s="3275">
        <v>10</v>
      </c>
      <c r="B82" s="4339"/>
      <c r="C82" s="3253" t="s">
        <v>2550</v>
      </c>
      <c r="D82" s="3253" t="s">
        <v>2551</v>
      </c>
      <c r="E82" s="3276">
        <v>0.1</v>
      </c>
      <c r="F82" s="3275">
        <v>15</v>
      </c>
    </row>
    <row r="83" spans="1:6" s="1025" customFormat="1" ht="24">
      <c r="A83" s="3275">
        <v>11</v>
      </c>
      <c r="B83" s="4339"/>
      <c r="C83" s="3253" t="s">
        <v>2552</v>
      </c>
      <c r="D83" s="3253" t="s">
        <v>2553</v>
      </c>
      <c r="E83" s="3276">
        <v>0.1</v>
      </c>
      <c r="F83" s="3275">
        <v>15</v>
      </c>
    </row>
    <row r="84" spans="1:6" s="1025" customFormat="1" ht="24">
      <c r="A84" s="3275">
        <v>12</v>
      </c>
      <c r="B84" s="4339"/>
      <c r="C84" s="3253" t="s">
        <v>2554</v>
      </c>
      <c r="D84" s="3253" t="s">
        <v>2555</v>
      </c>
      <c r="E84" s="3276">
        <v>0.1</v>
      </c>
      <c r="F84" s="3275">
        <v>15</v>
      </c>
    </row>
    <row r="85" spans="1:6" s="1025" customFormat="1">
      <c r="A85" s="3275">
        <v>13</v>
      </c>
      <c r="B85" s="4339"/>
      <c r="C85" s="3253" t="s">
        <v>2556</v>
      </c>
      <c r="D85" s="3253" t="s">
        <v>2557</v>
      </c>
      <c r="E85" s="3276">
        <v>0.1</v>
      </c>
      <c r="F85" s="3275">
        <v>15</v>
      </c>
    </row>
    <row r="86" spans="1:6" s="1025" customFormat="1">
      <c r="A86" s="3275">
        <v>14</v>
      </c>
      <c r="B86" s="4339"/>
      <c r="C86" s="3253" t="s">
        <v>2558</v>
      </c>
      <c r="D86" s="3253" t="s">
        <v>2559</v>
      </c>
      <c r="E86" s="3276">
        <v>0.1</v>
      </c>
      <c r="F86" s="3275">
        <v>15</v>
      </c>
    </row>
    <row r="87" spans="1:6" s="1025" customFormat="1">
      <c r="A87" s="3275">
        <v>15</v>
      </c>
      <c r="B87" s="4339"/>
      <c r="C87" s="3253" t="s">
        <v>2560</v>
      </c>
      <c r="D87" s="3253" t="s">
        <v>2561</v>
      </c>
      <c r="E87" s="3276">
        <v>0.1</v>
      </c>
      <c r="F87" s="3275">
        <v>15</v>
      </c>
    </row>
    <row r="88" spans="1:6" s="1025" customFormat="1" ht="24">
      <c r="A88" s="3275">
        <v>16</v>
      </c>
      <c r="B88" s="4339"/>
      <c r="C88" s="3253" t="s">
        <v>2562</v>
      </c>
      <c r="D88" s="3253" t="s">
        <v>2563</v>
      </c>
      <c r="E88" s="3276">
        <v>0.1</v>
      </c>
      <c r="F88" s="3275">
        <v>15</v>
      </c>
    </row>
    <row r="89" spans="1:6" s="1025" customFormat="1" ht="24">
      <c r="A89" s="3275">
        <v>17</v>
      </c>
      <c r="B89" s="4345"/>
      <c r="C89" s="3253" t="s">
        <v>2564</v>
      </c>
      <c r="D89" s="3253" t="s">
        <v>2565</v>
      </c>
      <c r="E89" s="3276">
        <v>0.1</v>
      </c>
      <c r="F89" s="3275">
        <v>15</v>
      </c>
    </row>
    <row r="90" spans="1:6" s="1025" customFormat="1">
      <c r="A90" s="3275">
        <v>18</v>
      </c>
      <c r="B90" s="4344" t="s">
        <v>2566</v>
      </c>
      <c r="C90" s="3253" t="s">
        <v>2567</v>
      </c>
      <c r="D90" s="3253" t="s">
        <v>2568</v>
      </c>
      <c r="E90" s="3276">
        <v>0.2</v>
      </c>
      <c r="F90" s="3275">
        <v>25</v>
      </c>
    </row>
    <row r="91" spans="1:6" s="1025" customFormat="1" ht="24">
      <c r="A91" s="3275">
        <v>19</v>
      </c>
      <c r="B91" s="4339"/>
      <c r="C91" s="3253" t="s">
        <v>2569</v>
      </c>
      <c r="D91" s="3253" t="s">
        <v>2570</v>
      </c>
      <c r="E91" s="3276">
        <v>0.2</v>
      </c>
      <c r="F91" s="3275">
        <v>25</v>
      </c>
    </row>
    <row r="92" spans="1:6" s="1025" customFormat="1">
      <c r="A92" s="3275">
        <v>20</v>
      </c>
      <c r="B92" s="4339"/>
      <c r="C92" s="3253" t="s">
        <v>2571</v>
      </c>
      <c r="D92" s="3253" t="s">
        <v>2572</v>
      </c>
      <c r="E92" s="3276">
        <v>0.15</v>
      </c>
      <c r="F92" s="3275">
        <v>20</v>
      </c>
    </row>
    <row r="93" spans="1:6" s="1025" customFormat="1" ht="24">
      <c r="A93" s="3275">
        <v>21</v>
      </c>
      <c r="B93" s="4339"/>
      <c r="C93" s="3253" t="s">
        <v>2573</v>
      </c>
      <c r="D93" s="3253" t="s">
        <v>2574</v>
      </c>
      <c r="E93" s="3276">
        <v>0.15</v>
      </c>
      <c r="F93" s="3275">
        <v>20</v>
      </c>
    </row>
    <row r="94" spans="1:6" s="1025" customFormat="1" ht="24">
      <c r="A94" s="3275">
        <v>22</v>
      </c>
      <c r="B94" s="4339"/>
      <c r="C94" s="3253" t="s">
        <v>2575</v>
      </c>
      <c r="D94" s="3253" t="s">
        <v>2576</v>
      </c>
      <c r="E94" s="3276">
        <v>0.15</v>
      </c>
      <c r="F94" s="3275">
        <v>20</v>
      </c>
    </row>
    <row r="95" spans="1:6" s="1025" customFormat="1" ht="36">
      <c r="A95" s="3275">
        <v>23</v>
      </c>
      <c r="B95" s="4339"/>
      <c r="C95" s="3253" t="s">
        <v>2577</v>
      </c>
      <c r="D95" s="3253" t="s">
        <v>2578</v>
      </c>
      <c r="E95" s="3276">
        <v>0.15</v>
      </c>
      <c r="F95" s="3275">
        <v>20</v>
      </c>
    </row>
    <row r="96" spans="1:6" s="1025" customFormat="1">
      <c r="A96" s="3275">
        <v>24</v>
      </c>
      <c r="B96" s="4339"/>
      <c r="C96" s="3253" t="s">
        <v>2579</v>
      </c>
      <c r="D96" s="3253" t="s">
        <v>2580</v>
      </c>
      <c r="E96" s="3276">
        <v>0.1</v>
      </c>
      <c r="F96" s="3275">
        <v>15</v>
      </c>
    </row>
    <row r="97" spans="1:6" s="1025" customFormat="1" ht="24">
      <c r="A97" s="3275">
        <v>25</v>
      </c>
      <c r="B97" s="4339"/>
      <c r="C97" s="3253" t="s">
        <v>2581</v>
      </c>
      <c r="D97" s="3253" t="s">
        <v>2582</v>
      </c>
      <c r="E97" s="3276">
        <v>0.1</v>
      </c>
      <c r="F97" s="3275">
        <v>15</v>
      </c>
    </row>
    <row r="98" spans="1:6" s="1025" customFormat="1" ht="24">
      <c r="A98" s="3275">
        <v>26</v>
      </c>
      <c r="B98" s="4339"/>
      <c r="C98" s="3253" t="s">
        <v>2583</v>
      </c>
      <c r="D98" s="3253" t="s">
        <v>2584</v>
      </c>
      <c r="E98" s="3276">
        <v>0.1</v>
      </c>
      <c r="F98" s="3275">
        <v>15</v>
      </c>
    </row>
    <row r="99" spans="1:6" s="1025" customFormat="1" ht="24">
      <c r="A99" s="3275">
        <v>27</v>
      </c>
      <c r="B99" s="4339"/>
      <c r="C99" s="3253" t="s">
        <v>2585</v>
      </c>
      <c r="D99" s="3253" t="s">
        <v>2586</v>
      </c>
      <c r="E99" s="3276">
        <v>0.1</v>
      </c>
      <c r="F99" s="3275">
        <v>15</v>
      </c>
    </row>
    <row r="100" spans="1:6" s="1025" customFormat="1" ht="24">
      <c r="A100" s="3275">
        <v>28</v>
      </c>
      <c r="B100" s="4339"/>
      <c r="C100" s="3253" t="s">
        <v>2587</v>
      </c>
      <c r="D100" s="3253" t="s">
        <v>2588</v>
      </c>
      <c r="E100" s="3276">
        <v>0.1</v>
      </c>
      <c r="F100" s="3275">
        <v>15</v>
      </c>
    </row>
    <row r="101" spans="1:6" s="1025" customFormat="1" ht="24">
      <c r="A101" s="3275">
        <v>29</v>
      </c>
      <c r="B101" s="4339"/>
      <c r="C101" s="3253" t="s">
        <v>2589</v>
      </c>
      <c r="D101" s="3253" t="s">
        <v>2590</v>
      </c>
      <c r="E101" s="3276">
        <v>0.1</v>
      </c>
      <c r="F101" s="3275">
        <v>15</v>
      </c>
    </row>
    <row r="102" spans="1:6" s="1025" customFormat="1" ht="24">
      <c r="A102" s="3275">
        <v>30</v>
      </c>
      <c r="B102" s="4339"/>
      <c r="C102" s="3253" t="s">
        <v>2591</v>
      </c>
      <c r="D102" s="3253" t="s">
        <v>2592</v>
      </c>
      <c r="E102" s="3276">
        <v>0.1</v>
      </c>
      <c r="F102" s="3275">
        <v>15</v>
      </c>
    </row>
    <row r="103" spans="1:6" s="1025" customFormat="1" ht="24">
      <c r="A103" s="3275">
        <v>31</v>
      </c>
      <c r="B103" s="4339"/>
      <c r="C103" s="3253" t="s">
        <v>2593</v>
      </c>
      <c r="D103" s="3253" t="s">
        <v>2594</v>
      </c>
      <c r="E103" s="3276">
        <v>0.1</v>
      </c>
      <c r="F103" s="3275">
        <v>15</v>
      </c>
    </row>
    <row r="104" spans="1:6" s="1025" customFormat="1" ht="24">
      <c r="A104" s="3275">
        <v>32</v>
      </c>
      <c r="B104" s="4339"/>
      <c r="C104" s="3253" t="s">
        <v>2595</v>
      </c>
      <c r="D104" s="3253" t="s">
        <v>2596</v>
      </c>
      <c r="E104" s="3276">
        <v>0.1</v>
      </c>
      <c r="F104" s="3275">
        <v>15</v>
      </c>
    </row>
    <row r="105" spans="1:6" s="1025" customFormat="1" ht="24">
      <c r="A105" s="3275">
        <v>33</v>
      </c>
      <c r="B105" s="4339"/>
      <c r="C105" s="3253" t="s">
        <v>2597</v>
      </c>
      <c r="D105" s="3253" t="s">
        <v>2598</v>
      </c>
      <c r="E105" s="3276">
        <v>0.1</v>
      </c>
      <c r="F105" s="3275">
        <v>15</v>
      </c>
    </row>
    <row r="106" spans="1:6" s="1025" customFormat="1" ht="24">
      <c r="A106" s="3275">
        <v>34</v>
      </c>
      <c r="B106" s="4345"/>
      <c r="C106" s="3253" t="s">
        <v>2599</v>
      </c>
      <c r="D106" s="3253" t="s">
        <v>2600</v>
      </c>
      <c r="E106" s="3276">
        <v>0.1</v>
      </c>
      <c r="F106" s="3275">
        <v>15</v>
      </c>
    </row>
    <row r="107" spans="1:6" s="1025" customFormat="1" ht="24">
      <c r="A107" s="3275">
        <v>35</v>
      </c>
      <c r="B107" s="4344" t="s">
        <v>2601</v>
      </c>
      <c r="C107" s="3275" t="s">
        <v>2602</v>
      </c>
      <c r="D107" s="3253" t="s">
        <v>2603</v>
      </c>
      <c r="E107" s="3276">
        <v>0.15</v>
      </c>
      <c r="F107" s="3275">
        <v>20</v>
      </c>
    </row>
    <row r="108" spans="1:6" s="1025" customFormat="1" ht="24">
      <c r="A108" s="3275">
        <v>36</v>
      </c>
      <c r="B108" s="4339"/>
      <c r="C108" s="3275" t="s">
        <v>2604</v>
      </c>
      <c r="D108" s="3253" t="s">
        <v>2605</v>
      </c>
      <c r="E108" s="3276">
        <v>0.15</v>
      </c>
      <c r="F108" s="3275">
        <v>20</v>
      </c>
    </row>
    <row r="109" spans="1:6" s="1025" customFormat="1" ht="24">
      <c r="A109" s="3275">
        <v>37</v>
      </c>
      <c r="B109" s="4339"/>
      <c r="C109" s="3275" t="s">
        <v>2606</v>
      </c>
      <c r="D109" s="3253" t="s">
        <v>2607</v>
      </c>
      <c r="E109" s="3276">
        <v>0.15</v>
      </c>
      <c r="F109" s="3275">
        <v>20</v>
      </c>
    </row>
    <row r="110" spans="1:6" s="1025" customFormat="1">
      <c r="A110" s="3275">
        <v>38</v>
      </c>
      <c r="B110" s="4339"/>
      <c r="C110" s="3275" t="s">
        <v>2608</v>
      </c>
      <c r="D110" s="3253" t="s">
        <v>2609</v>
      </c>
      <c r="E110" s="3276">
        <v>0.1</v>
      </c>
      <c r="F110" s="3275">
        <v>15</v>
      </c>
    </row>
    <row r="111" spans="1:6" s="1025" customFormat="1" ht="24">
      <c r="A111" s="3275">
        <v>39</v>
      </c>
      <c r="B111" s="4339"/>
      <c r="C111" s="3275" t="s">
        <v>2610</v>
      </c>
      <c r="D111" s="3253" t="s">
        <v>2611</v>
      </c>
      <c r="E111" s="3276">
        <v>0.1</v>
      </c>
      <c r="F111" s="3275">
        <v>15</v>
      </c>
    </row>
    <row r="112" spans="1:6" s="1025" customFormat="1" ht="24">
      <c r="A112" s="3275">
        <v>40</v>
      </c>
      <c r="B112" s="4345"/>
      <c r="C112" s="3275" t="s">
        <v>2612</v>
      </c>
      <c r="D112" s="3253" t="s">
        <v>2613</v>
      </c>
      <c r="E112" s="3276">
        <v>0.1</v>
      </c>
      <c r="F112" s="3275">
        <v>15</v>
      </c>
    </row>
    <row r="113" spans="1:6" s="1025" customFormat="1" ht="24">
      <c r="A113" s="3275">
        <v>41</v>
      </c>
      <c r="B113" s="4346" t="s">
        <v>2614</v>
      </c>
      <c r="C113" s="3275" t="s">
        <v>2615</v>
      </c>
      <c r="D113" s="3253" t="s">
        <v>2616</v>
      </c>
      <c r="E113" s="3276">
        <v>0.1</v>
      </c>
      <c r="F113" s="3275">
        <v>15</v>
      </c>
    </row>
    <row r="114" spans="1:6" s="1025" customFormat="1">
      <c r="A114" s="3275">
        <v>42</v>
      </c>
      <c r="B114" s="4346"/>
      <c r="C114" s="3275" t="s">
        <v>2617</v>
      </c>
      <c r="D114" s="3253" t="s">
        <v>2618</v>
      </c>
      <c r="E114" s="3276">
        <v>0.1</v>
      </c>
      <c r="F114" s="3275">
        <v>15</v>
      </c>
    </row>
    <row r="115" spans="1:6" s="1025" customFormat="1" ht="24">
      <c r="A115" s="3275">
        <v>43</v>
      </c>
      <c r="B115" s="4346"/>
      <c r="C115" s="3275" t="s">
        <v>2619</v>
      </c>
      <c r="D115" s="3253" t="s">
        <v>2620</v>
      </c>
      <c r="E115" s="3276">
        <v>0.1</v>
      </c>
      <c r="F115" s="3275">
        <v>15</v>
      </c>
    </row>
    <row r="116" spans="1:6" s="1025" customFormat="1" ht="24">
      <c r="A116" s="3275">
        <v>44</v>
      </c>
      <c r="B116" s="4344" t="s">
        <v>2621</v>
      </c>
      <c r="C116" s="3275" t="s">
        <v>2622</v>
      </c>
      <c r="D116" s="3253" t="s">
        <v>2623</v>
      </c>
      <c r="E116" s="3276">
        <v>0.1</v>
      </c>
      <c r="F116" s="3275">
        <v>15</v>
      </c>
    </row>
    <row r="117" spans="1:6" s="1025" customFormat="1" ht="24">
      <c r="A117" s="3275">
        <v>45</v>
      </c>
      <c r="B117" s="4345"/>
      <c r="C117" s="3253" t="s">
        <v>2624</v>
      </c>
      <c r="D117" s="3253" t="s">
        <v>2625</v>
      </c>
      <c r="E117" s="3276">
        <v>0.1</v>
      </c>
      <c r="F117" s="3275">
        <v>15</v>
      </c>
    </row>
    <row r="118" spans="1:6" s="1025" customFormat="1" ht="24">
      <c r="A118" s="3275">
        <v>46</v>
      </c>
      <c r="B118" s="4344" t="s">
        <v>2626</v>
      </c>
      <c r="C118" s="3275" t="s">
        <v>2627</v>
      </c>
      <c r="D118" s="3253" t="s">
        <v>2628</v>
      </c>
      <c r="E118" s="3276">
        <v>0.1</v>
      </c>
      <c r="F118" s="3275">
        <v>15</v>
      </c>
    </row>
    <row r="119" spans="1:6" s="1025" customFormat="1" ht="24">
      <c r="A119" s="3275">
        <v>47</v>
      </c>
      <c r="B119" s="4345"/>
      <c r="C119" s="3275" t="s">
        <v>2629</v>
      </c>
      <c r="D119" s="3253" t="s">
        <v>2630</v>
      </c>
      <c r="E119" s="3276">
        <v>0.1</v>
      </c>
      <c r="F119" s="3275">
        <v>15</v>
      </c>
    </row>
    <row r="120" spans="1:6" s="1025" customFormat="1" ht="24">
      <c r="A120" s="3275">
        <v>48</v>
      </c>
      <c r="B120" s="4344" t="s">
        <v>2631</v>
      </c>
      <c r="C120" s="3275" t="s">
        <v>2632</v>
      </c>
      <c r="D120" s="3253" t="s">
        <v>2633</v>
      </c>
      <c r="E120" s="3276">
        <v>0.1</v>
      </c>
      <c r="F120" s="3275">
        <v>15</v>
      </c>
    </row>
    <row r="121" spans="1:6" s="1025" customFormat="1">
      <c r="A121" s="3275">
        <v>49</v>
      </c>
      <c r="B121" s="4345"/>
      <c r="C121" s="3275" t="s">
        <v>2634</v>
      </c>
      <c r="D121" s="3253" t="s">
        <v>2635</v>
      </c>
      <c r="E121" s="3276">
        <v>0.1</v>
      </c>
      <c r="F121" s="3275">
        <v>15</v>
      </c>
    </row>
    <row r="122" spans="1:6" s="1025" customFormat="1" ht="24">
      <c r="A122" s="3275">
        <v>50</v>
      </c>
      <c r="B122" s="4346" t="s">
        <v>2636</v>
      </c>
      <c r="C122" s="3275" t="s">
        <v>2637</v>
      </c>
      <c r="D122" s="3253" t="s">
        <v>2638</v>
      </c>
      <c r="E122" s="3276">
        <v>0.1</v>
      </c>
      <c r="F122" s="3275">
        <v>15</v>
      </c>
    </row>
    <row r="123" spans="1:6" s="1025" customFormat="1" ht="24">
      <c r="A123" s="3275">
        <v>51</v>
      </c>
      <c r="B123" s="4346"/>
      <c r="C123" s="3275" t="s">
        <v>2639</v>
      </c>
      <c r="D123" s="3253" t="s">
        <v>2640</v>
      </c>
      <c r="E123" s="3276">
        <v>0.1</v>
      </c>
      <c r="F123" s="3275">
        <v>15</v>
      </c>
    </row>
    <row r="124" spans="1:6" s="1025" customFormat="1" ht="24">
      <c r="A124" s="3275">
        <v>52</v>
      </c>
      <c r="B124" s="4346" t="s">
        <v>2641</v>
      </c>
      <c r="C124" s="3275" t="s">
        <v>2642</v>
      </c>
      <c r="D124" s="3253" t="s">
        <v>2643</v>
      </c>
      <c r="E124" s="3276">
        <v>0.1</v>
      </c>
      <c r="F124" s="3275">
        <v>15</v>
      </c>
    </row>
    <row r="125" spans="1:6" s="1025" customFormat="1" ht="24">
      <c r="A125" s="3275">
        <v>53</v>
      </c>
      <c r="B125" s="4346"/>
      <c r="C125" s="3275" t="s">
        <v>2644</v>
      </c>
      <c r="D125" s="3253" t="s">
        <v>2645</v>
      </c>
      <c r="E125" s="3276">
        <v>0.1</v>
      </c>
      <c r="F125" s="3275">
        <v>15</v>
      </c>
    </row>
    <row r="126" spans="1:6" ht="24">
      <c r="A126" s="3275">
        <v>54</v>
      </c>
      <c r="B126" s="3275" t="s">
        <v>2646</v>
      </c>
      <c r="C126" s="3275" t="s">
        <v>2647</v>
      </c>
      <c r="D126" s="3253" t="s">
        <v>2648</v>
      </c>
      <c r="E126" s="3276">
        <v>0.1</v>
      </c>
      <c r="F126" s="3275">
        <v>15</v>
      </c>
    </row>
    <row r="127" spans="1:6">
      <c r="A127" s="3275">
        <v>55</v>
      </c>
      <c r="B127" s="4346" t="s">
        <v>2649</v>
      </c>
      <c r="C127" s="3275" t="s">
        <v>2650</v>
      </c>
      <c r="D127" s="3253" t="s">
        <v>2651</v>
      </c>
      <c r="E127" s="3276">
        <v>0.1</v>
      </c>
      <c r="F127" s="3275">
        <v>15</v>
      </c>
    </row>
    <row r="128" spans="1:6">
      <c r="A128" s="3275">
        <v>56</v>
      </c>
      <c r="B128" s="4346"/>
      <c r="C128" s="3275" t="s">
        <v>2652</v>
      </c>
      <c r="D128" s="3253" t="s">
        <v>2653</v>
      </c>
      <c r="E128" s="3276">
        <v>0.1</v>
      </c>
      <c r="F128" s="3275">
        <v>15</v>
      </c>
    </row>
    <row r="129" spans="1:14" ht="24">
      <c r="A129" s="3275">
        <v>57</v>
      </c>
      <c r="B129" s="4346"/>
      <c r="C129" s="3275" t="s">
        <v>2654</v>
      </c>
      <c r="D129" s="3253" t="s">
        <v>2655</v>
      </c>
      <c r="E129" s="3276">
        <v>0.1</v>
      </c>
      <c r="F129" s="3275">
        <v>15</v>
      </c>
    </row>
    <row r="130" spans="1:14" ht="24">
      <c r="A130" s="3275">
        <v>58</v>
      </c>
      <c r="B130" s="4346" t="s">
        <v>2656</v>
      </c>
      <c r="C130" s="3275" t="s">
        <v>2657</v>
      </c>
      <c r="D130" s="3253" t="s">
        <v>2658</v>
      </c>
      <c r="E130" s="3276">
        <v>0.1</v>
      </c>
      <c r="F130" s="3275">
        <v>15</v>
      </c>
    </row>
    <row r="131" spans="1:14" ht="24">
      <c r="A131" s="3275">
        <v>59</v>
      </c>
      <c r="B131" s="4346"/>
      <c r="C131" s="3275" t="s">
        <v>2659</v>
      </c>
      <c r="D131" s="3253" t="s">
        <v>2660</v>
      </c>
      <c r="E131" s="3276">
        <v>0.1</v>
      </c>
      <c r="F131" s="3275">
        <v>15</v>
      </c>
    </row>
    <row r="132" spans="1:14" ht="24">
      <c r="A132" s="3275">
        <v>60</v>
      </c>
      <c r="B132" s="4344" t="s">
        <v>2661</v>
      </c>
      <c r="C132" s="3275" t="s">
        <v>2662</v>
      </c>
      <c r="D132" s="3253" t="s">
        <v>2663</v>
      </c>
      <c r="E132" s="3276">
        <v>0.1</v>
      </c>
      <c r="F132" s="3275">
        <v>15</v>
      </c>
    </row>
    <row r="133" spans="1:14" ht="24">
      <c r="A133" s="3275">
        <v>61</v>
      </c>
      <c r="B133" s="4345"/>
      <c r="C133" s="3275" t="s">
        <v>2664</v>
      </c>
      <c r="D133" s="3253" t="s">
        <v>2665</v>
      </c>
      <c r="E133" s="3276">
        <v>0.1</v>
      </c>
      <c r="F133" s="3275">
        <v>15</v>
      </c>
    </row>
    <row r="134" spans="1:14" ht="24">
      <c r="A134" s="3275">
        <v>62</v>
      </c>
      <c r="B134" s="3275" t="s">
        <v>2666</v>
      </c>
      <c r="C134" s="3275" t="s">
        <v>2667</v>
      </c>
      <c r="D134" s="3253" t="s">
        <v>2668</v>
      </c>
      <c r="E134" s="3276">
        <v>0.1</v>
      </c>
      <c r="F134" s="3275">
        <v>15</v>
      </c>
    </row>
    <row r="135" spans="1:14" ht="24">
      <c r="A135" s="3275">
        <v>63</v>
      </c>
      <c r="B135" s="4346" t="s">
        <v>2669</v>
      </c>
      <c r="C135" s="3275" t="s">
        <v>2670</v>
      </c>
      <c r="D135" s="3253" t="s">
        <v>2671</v>
      </c>
      <c r="E135" s="3276">
        <v>0.1</v>
      </c>
      <c r="F135" s="3275">
        <v>15</v>
      </c>
    </row>
    <row r="136" spans="1:14">
      <c r="A136" s="3275">
        <v>64</v>
      </c>
      <c r="B136" s="4346"/>
      <c r="C136" s="3275" t="s">
        <v>2672</v>
      </c>
      <c r="D136" s="3253" t="s">
        <v>2673</v>
      </c>
      <c r="E136" s="3276">
        <v>0.1</v>
      </c>
      <c r="F136" s="3275">
        <v>15</v>
      </c>
    </row>
    <row r="137" spans="1:14" ht="24">
      <c r="A137" s="3275">
        <v>65</v>
      </c>
      <c r="B137" s="3275" t="s">
        <v>2674</v>
      </c>
      <c r="C137" s="3275" t="s">
        <v>2675</v>
      </c>
      <c r="D137" s="3253" t="s">
        <v>2676</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4347" t="s">
        <v>2816</v>
      </c>
      <c r="B1" s="4347"/>
      <c r="C1" s="4347"/>
      <c r="D1" s="4347"/>
      <c r="E1" s="4347"/>
      <c r="F1" s="4347"/>
      <c r="G1" s="4348"/>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2817</v>
      </c>
      <c r="B2" s="3420"/>
      <c r="C2" s="3420"/>
      <c r="D2" s="3420"/>
      <c r="E2" s="3420"/>
      <c r="F2" s="3420"/>
      <c r="G2" s="3415" t="s">
        <v>2818</v>
      </c>
      <c r="J2" s="3444" t="s">
        <v>2824</v>
      </c>
      <c r="K2" s="3424" t="s">
        <v>2826</v>
      </c>
      <c r="L2" s="3424" t="s">
        <v>2828</v>
      </c>
      <c r="M2" s="3424" t="s">
        <v>2834</v>
      </c>
      <c r="N2" s="3424" t="s">
        <v>2844</v>
      </c>
      <c r="O2" s="3424" t="s">
        <v>2859</v>
      </c>
      <c r="P2" s="3424" t="s">
        <v>2896</v>
      </c>
      <c r="Q2" s="3424" t="s">
        <v>2927</v>
      </c>
      <c r="R2" s="3424" t="s">
        <v>2955</v>
      </c>
      <c r="S2" s="3424" t="s">
        <v>2990</v>
      </c>
      <c r="T2" s="3424" t="s">
        <v>3010</v>
      </c>
      <c r="U2" s="3424" t="s">
        <v>3022</v>
      </c>
    </row>
    <row r="3" spans="1:21" s="1012" customFormat="1" ht="19.5" customHeight="1">
      <c r="A3" s="4349" t="s">
        <v>2819</v>
      </c>
      <c r="B3" s="3416"/>
      <c r="C3" s="3417" t="s">
        <v>2796</v>
      </c>
      <c r="D3" s="3417" t="s">
        <v>2820</v>
      </c>
      <c r="E3" s="3417" t="s">
        <v>2798</v>
      </c>
      <c r="F3" s="3417" t="s">
        <v>2821</v>
      </c>
      <c r="G3" s="3417" t="s">
        <v>2741</v>
      </c>
      <c r="H3" s="1015"/>
      <c r="J3" s="3444" t="s">
        <v>2825</v>
      </c>
      <c r="K3" s="3424" t="s">
        <v>973</v>
      </c>
      <c r="L3" s="3424" t="s">
        <v>974</v>
      </c>
      <c r="M3" s="3424" t="s">
        <v>975</v>
      </c>
      <c r="N3" s="3424" t="s">
        <v>976</v>
      </c>
      <c r="O3" s="3424" t="s">
        <v>977</v>
      </c>
      <c r="P3" s="3424" t="s">
        <v>978</v>
      </c>
      <c r="Q3" s="3424" t="s">
        <v>979</v>
      </c>
      <c r="R3" s="3424" t="s">
        <v>980</v>
      </c>
      <c r="S3" s="3424" t="s">
        <v>981</v>
      </c>
      <c r="T3" s="3424" t="s">
        <v>3011</v>
      </c>
      <c r="U3" s="3424" t="s">
        <v>3023</v>
      </c>
    </row>
    <row r="4" spans="1:21" s="1012" customFormat="1" ht="19.5" customHeight="1" thickBot="1">
      <c r="A4" s="4350"/>
      <c r="B4" s="3418" t="s">
        <v>2822</v>
      </c>
      <c r="C4" s="3418" t="s">
        <v>2823</v>
      </c>
      <c r="D4" s="3418" t="s">
        <v>2823</v>
      </c>
      <c r="E4" s="3418" t="s">
        <v>2823</v>
      </c>
      <c r="F4" s="3419" t="s">
        <v>2823</v>
      </c>
      <c r="G4" s="3419" t="s">
        <v>2823</v>
      </c>
      <c r="H4" s="1015"/>
      <c r="J4" s="3444" t="s">
        <v>982</v>
      </c>
      <c r="K4" s="3424" t="s">
        <v>983</v>
      </c>
      <c r="L4" s="3424" t="s">
        <v>984</v>
      </c>
      <c r="M4" s="3424" t="s">
        <v>985</v>
      </c>
      <c r="N4" s="3424" t="s">
        <v>986</v>
      </c>
      <c r="O4" s="3424" t="s">
        <v>987</v>
      </c>
      <c r="P4" s="3424" t="s">
        <v>988</v>
      </c>
      <c r="Q4" s="3424" t="s">
        <v>989</v>
      </c>
      <c r="R4" s="3424" t="s">
        <v>2956</v>
      </c>
      <c r="S4" s="3424" t="s">
        <v>2991</v>
      </c>
      <c r="T4" s="3424" t="s">
        <v>3012</v>
      </c>
      <c r="U4" s="3424" t="s">
        <v>3024</v>
      </c>
    </row>
    <row r="5" spans="1:21" ht="14.25" customHeight="1">
      <c r="A5" s="3421" t="s">
        <v>990</v>
      </c>
      <c r="B5" s="3422" t="s">
        <v>2824</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2957</v>
      </c>
      <c r="S5" s="3424" t="s">
        <v>2992</v>
      </c>
      <c r="T5" s="3424" t="s">
        <v>999</v>
      </c>
      <c r="U5" s="3424" t="s">
        <v>3025</v>
      </c>
    </row>
    <row r="6" spans="1:21" ht="14.25" customHeight="1">
      <c r="A6" s="3424" t="s">
        <v>990</v>
      </c>
      <c r="B6" s="3424" t="s">
        <v>2825</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2928</v>
      </c>
      <c r="R6" s="3424" t="s">
        <v>2958</v>
      </c>
      <c r="S6" s="3424" t="s">
        <v>1008</v>
      </c>
      <c r="T6" s="3424" t="s">
        <v>3013</v>
      </c>
      <c r="U6" s="3424" t="s">
        <v>3026</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2929</v>
      </c>
      <c r="R7" s="3424" t="s">
        <v>2959</v>
      </c>
      <c r="S7" s="3424" t="s">
        <v>2993</v>
      </c>
      <c r="T7" s="3424" t="s">
        <v>3014</v>
      </c>
      <c r="U7" s="1289" t="s">
        <v>3027</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2930</v>
      </c>
      <c r="R8" s="3424" t="s">
        <v>1021</v>
      </c>
      <c r="S8" s="3424" t="s">
        <v>2994</v>
      </c>
      <c r="T8" s="3424" t="s">
        <v>3015</v>
      </c>
      <c r="U8" s="3424" t="s">
        <v>3028</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2931</v>
      </c>
      <c r="R9" s="3424" t="s">
        <v>1029</v>
      </c>
      <c r="S9" s="3424" t="s">
        <v>1030</v>
      </c>
      <c r="T9" s="3424" t="s">
        <v>1047</v>
      </c>
    </row>
    <row r="10" spans="1:21" ht="14.25" customHeight="1">
      <c r="A10" s="3421" t="s">
        <v>1031</v>
      </c>
      <c r="B10" s="3422" t="s">
        <v>2826</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3016</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2897</v>
      </c>
      <c r="Q11" s="3424" t="s">
        <v>1038</v>
      </c>
      <c r="R11" s="3424" t="s">
        <v>1046</v>
      </c>
      <c r="S11" s="3424" t="s">
        <v>2995</v>
      </c>
      <c r="T11" s="3424" t="s">
        <v>3017</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1320</v>
      </c>
      <c r="K12" s="3424" t="s">
        <v>1048</v>
      </c>
      <c r="L12" s="3424" t="s">
        <v>1049</v>
      </c>
      <c r="M12" s="3424" t="s">
        <v>1050</v>
      </c>
      <c r="N12" s="3424" t="s">
        <v>1051</v>
      </c>
      <c r="O12" s="3424" t="s">
        <v>1052</v>
      </c>
      <c r="P12" s="3424" t="s">
        <v>2898</v>
      </c>
      <c r="Q12" s="3424" t="s">
        <v>2932</v>
      </c>
      <c r="R12" s="3424" t="s">
        <v>2960</v>
      </c>
      <c r="S12" s="3424" t="s">
        <v>2996</v>
      </c>
      <c r="T12" s="3424" t="s">
        <v>3018</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2899</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2961</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2900</v>
      </c>
      <c r="Q15" s="3424" t="s">
        <v>2933</v>
      </c>
      <c r="R15" s="3424" t="s">
        <v>1090</v>
      </c>
      <c r="S15" s="3424" t="s">
        <v>2997</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2901</v>
      </c>
      <c r="Q16" s="3424" t="s">
        <v>1075</v>
      </c>
      <c r="R16" s="3424" t="s">
        <v>1098</v>
      </c>
      <c r="S16" s="3424" t="s">
        <v>1054</v>
      </c>
      <c r="T16" s="3424" t="s">
        <v>3019</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2902</v>
      </c>
      <c r="Q17" s="3424" t="s">
        <v>2934</v>
      </c>
      <c r="R17" s="3424" t="s">
        <v>1104</v>
      </c>
      <c r="S17" s="3424" t="s">
        <v>2998</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2903</v>
      </c>
      <c r="Q18" s="3424" t="s">
        <v>1089</v>
      </c>
      <c r="R18" s="3424" t="s">
        <v>2962</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2904</v>
      </c>
      <c r="Q19" s="3424" t="s">
        <v>1097</v>
      </c>
      <c r="R19" s="3424" t="s">
        <v>2963</v>
      </c>
      <c r="S19" s="3424" t="s">
        <v>1113</v>
      </c>
      <c r="T19" s="3424" t="s">
        <v>3020</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2905</v>
      </c>
      <c r="Q20" s="3424" t="s">
        <v>2935</v>
      </c>
      <c r="R20" s="3424" t="s">
        <v>1139</v>
      </c>
      <c r="S20" s="3424" t="s">
        <v>2999</v>
      </c>
      <c r="T20" s="3424" t="s">
        <v>1126</v>
      </c>
    </row>
    <row r="21" spans="1:20" ht="14.25" customHeight="1">
      <c r="A21" s="3424" t="s">
        <v>1031</v>
      </c>
      <c r="B21" s="1289" t="s">
        <v>1055</v>
      </c>
      <c r="C21" s="3424">
        <v>32370</v>
      </c>
      <c r="D21" s="3424">
        <v>26730</v>
      </c>
      <c r="E21" s="3424">
        <v>26640</v>
      </c>
      <c r="F21" s="3430"/>
      <c r="G21" s="3431">
        <v>19440</v>
      </c>
      <c r="K21" s="3433" t="s">
        <v>2827</v>
      </c>
      <c r="L21" s="3424" t="s">
        <v>1115</v>
      </c>
      <c r="M21" s="3424" t="s">
        <v>1116</v>
      </c>
      <c r="N21" s="3424" t="s">
        <v>1117</v>
      </c>
      <c r="O21" s="3424" t="s">
        <v>1118</v>
      </c>
      <c r="P21" s="3424" t="s">
        <v>1112</v>
      </c>
      <c r="Q21" s="3424" t="s">
        <v>1132</v>
      </c>
      <c r="R21" s="3424" t="s">
        <v>1142</v>
      </c>
      <c r="S21" s="3424" t="s">
        <v>3000</v>
      </c>
      <c r="T21" s="3424" t="s">
        <v>3021</v>
      </c>
    </row>
    <row r="22" spans="1:20" ht="14.25" customHeight="1">
      <c r="A22" s="3424" t="s">
        <v>1031</v>
      </c>
      <c r="B22" s="1289" t="s">
        <v>1062</v>
      </c>
      <c r="C22" s="3424">
        <v>29830</v>
      </c>
      <c r="D22" s="3424">
        <v>27600</v>
      </c>
      <c r="E22" s="3424">
        <v>28150</v>
      </c>
      <c r="F22" s="3430"/>
      <c r="G22" s="3431">
        <v>20080</v>
      </c>
      <c r="L22" s="3433" t="s">
        <v>2829</v>
      </c>
      <c r="M22" s="3424" t="s">
        <v>1120</v>
      </c>
      <c r="N22" s="3424" t="s">
        <v>1121</v>
      </c>
      <c r="O22" s="3424" t="s">
        <v>1122</v>
      </c>
      <c r="P22" s="3424" t="s">
        <v>2906</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2830</v>
      </c>
      <c r="M23" s="3424" t="s">
        <v>1127</v>
      </c>
      <c r="N23" s="3424" t="s">
        <v>1128</v>
      </c>
      <c r="O23" s="3424" t="s">
        <v>2860</v>
      </c>
      <c r="P23" s="3424" t="s">
        <v>2907</v>
      </c>
      <c r="Q23" s="3424" t="s">
        <v>1138</v>
      </c>
      <c r="R23" s="3424" t="s">
        <v>1147</v>
      </c>
      <c r="S23" s="3424" t="s">
        <v>3001</v>
      </c>
    </row>
    <row r="24" spans="1:20" ht="14.25" customHeight="1">
      <c r="A24" s="3424" t="s">
        <v>1031</v>
      </c>
      <c r="B24" s="1289" t="s">
        <v>1078</v>
      </c>
      <c r="C24" s="3424">
        <v>27930</v>
      </c>
      <c r="D24" s="3424">
        <v>32260</v>
      </c>
      <c r="E24" s="3424">
        <v>32120</v>
      </c>
      <c r="F24" s="3430"/>
      <c r="G24" s="3431">
        <v>23470</v>
      </c>
      <c r="L24" s="3433" t="s">
        <v>2831</v>
      </c>
      <c r="M24" s="3424" t="s">
        <v>1130</v>
      </c>
      <c r="N24" s="3424" t="s">
        <v>1131</v>
      </c>
      <c r="O24" s="3424" t="s">
        <v>2861</v>
      </c>
      <c r="P24" s="3424" t="s">
        <v>1134</v>
      </c>
      <c r="Q24" s="3424" t="s">
        <v>2936</v>
      </c>
      <c r="R24" s="3424" t="s">
        <v>2964</v>
      </c>
      <c r="S24" s="3424" t="s">
        <v>3002</v>
      </c>
    </row>
    <row r="25" spans="1:20" ht="14.25" customHeight="1">
      <c r="A25" s="3424" t="s">
        <v>1031</v>
      </c>
      <c r="B25" s="1289" t="s">
        <v>1083</v>
      </c>
      <c r="C25" s="3424">
        <v>32230</v>
      </c>
      <c r="D25" s="3424">
        <v>29640</v>
      </c>
      <c r="E25" s="3424">
        <v>29510</v>
      </c>
      <c r="F25" s="3430"/>
      <c r="G25" s="3431">
        <v>21560</v>
      </c>
      <c r="L25" s="3433" t="s">
        <v>2832</v>
      </c>
      <c r="M25" s="3424" t="s">
        <v>2835</v>
      </c>
      <c r="N25" s="3424" t="s">
        <v>1133</v>
      </c>
      <c r="O25" s="3424" t="s">
        <v>1141</v>
      </c>
      <c r="P25" s="3424" t="s">
        <v>1137</v>
      </c>
      <c r="Q25" s="3424" t="s">
        <v>1124</v>
      </c>
      <c r="R25" s="3424" t="s">
        <v>1119</v>
      </c>
      <c r="S25" s="3424" t="s">
        <v>3003</v>
      </c>
    </row>
    <row r="26" spans="1:20" ht="14.25" customHeight="1">
      <c r="A26" s="3424" t="s">
        <v>1031</v>
      </c>
      <c r="B26" s="1289" t="s">
        <v>1092</v>
      </c>
      <c r="C26" s="3424">
        <v>31690</v>
      </c>
      <c r="D26" s="3424">
        <v>27650</v>
      </c>
      <c r="E26" s="3424">
        <v>28200</v>
      </c>
      <c r="F26" s="3430"/>
      <c r="G26" s="3431">
        <v>20110</v>
      </c>
      <c r="L26" s="3433" t="s">
        <v>2833</v>
      </c>
      <c r="M26" s="3424" t="s">
        <v>2836</v>
      </c>
      <c r="N26" s="3424" t="s">
        <v>1136</v>
      </c>
      <c r="O26" s="3424" t="s">
        <v>1143</v>
      </c>
      <c r="P26" s="3424" t="s">
        <v>2908</v>
      </c>
      <c r="Q26" s="3424" t="s">
        <v>2937</v>
      </c>
      <c r="R26" s="3424" t="s">
        <v>1125</v>
      </c>
      <c r="S26" s="3424" t="s">
        <v>3004</v>
      </c>
    </row>
    <row r="27" spans="1:20" ht="14.25" customHeight="1">
      <c r="A27" s="3424" t="s">
        <v>1031</v>
      </c>
      <c r="B27" s="1289" t="s">
        <v>1099</v>
      </c>
      <c r="C27" s="3424">
        <v>29610</v>
      </c>
      <c r="D27" s="3424">
        <v>27770</v>
      </c>
      <c r="E27" s="3424">
        <v>28300</v>
      </c>
      <c r="F27" s="3430"/>
      <c r="G27" s="3431">
        <v>20210</v>
      </c>
      <c r="M27" s="3424" t="s">
        <v>2837</v>
      </c>
      <c r="N27" s="3424" t="s">
        <v>1140</v>
      </c>
      <c r="O27" s="3424" t="s">
        <v>1146</v>
      </c>
      <c r="P27" s="3424" t="s">
        <v>1123</v>
      </c>
      <c r="Q27" s="3424" t="s">
        <v>2938</v>
      </c>
      <c r="R27" s="3424" t="s">
        <v>2965</v>
      </c>
      <c r="S27" s="3424" t="s">
        <v>3005</v>
      </c>
    </row>
    <row r="28" spans="1:20" ht="14.25" customHeight="1">
      <c r="A28" s="3438" t="s">
        <v>1031</v>
      </c>
      <c r="B28" s="2601" t="s">
        <v>1107</v>
      </c>
      <c r="C28" s="1287"/>
      <c r="D28" s="1287">
        <v>31520</v>
      </c>
      <c r="E28" s="1287">
        <v>31410</v>
      </c>
      <c r="F28" s="3435"/>
      <c r="G28" s="3436">
        <v>22940</v>
      </c>
      <c r="M28" s="3424" t="s">
        <v>2838</v>
      </c>
      <c r="N28" s="3424" t="s">
        <v>2845</v>
      </c>
      <c r="O28" s="3424" t="s">
        <v>2862</v>
      </c>
      <c r="P28" s="3424" t="s">
        <v>2909</v>
      </c>
      <c r="Q28" s="3424" t="s">
        <v>2939</v>
      </c>
      <c r="R28" s="3424" t="s">
        <v>2966</v>
      </c>
      <c r="S28" s="3433" t="s">
        <v>3006</v>
      </c>
    </row>
    <row r="29" spans="1:20" ht="14.25" customHeight="1" thickBot="1">
      <c r="A29" s="3439" t="s">
        <v>1031</v>
      </c>
      <c r="B29" s="3427" t="s">
        <v>2827</v>
      </c>
      <c r="C29" s="3427"/>
      <c r="D29" s="3427">
        <v>29460</v>
      </c>
      <c r="E29" s="3427">
        <v>28640</v>
      </c>
      <c r="F29" s="3428"/>
      <c r="G29" s="3440">
        <v>21430</v>
      </c>
      <c r="M29" s="3433" t="s">
        <v>2839</v>
      </c>
      <c r="N29" s="3424" t="s">
        <v>2846</v>
      </c>
      <c r="O29" s="3424" t="s">
        <v>2863</v>
      </c>
      <c r="P29" s="3424" t="s">
        <v>2910</v>
      </c>
      <c r="Q29" s="3424" t="s">
        <v>2940</v>
      </c>
      <c r="R29" s="3424" t="s">
        <v>2967</v>
      </c>
      <c r="S29" s="3433" t="s">
        <v>1129</v>
      </c>
    </row>
    <row r="30" spans="1:20" ht="14.25" customHeight="1">
      <c r="A30" s="3438" t="s">
        <v>1145</v>
      </c>
      <c r="B30" s="1289" t="s">
        <v>2828</v>
      </c>
      <c r="C30" s="1289">
        <v>26890</v>
      </c>
      <c r="D30" s="1289">
        <v>26770</v>
      </c>
      <c r="E30" s="1289">
        <v>25700</v>
      </c>
      <c r="F30" s="3425">
        <v>8180</v>
      </c>
      <c r="G30" s="3425">
        <v>18740</v>
      </c>
      <c r="I30" s="1022"/>
      <c r="M30" s="3433" t="s">
        <v>2840</v>
      </c>
      <c r="N30" s="3424" t="s">
        <v>2847</v>
      </c>
      <c r="O30" s="3424" t="s">
        <v>2864</v>
      </c>
      <c r="P30" s="3424" t="s">
        <v>2911</v>
      </c>
      <c r="Q30" s="3424" t="s">
        <v>2941</v>
      </c>
      <c r="R30" s="3424" t="s">
        <v>2968</v>
      </c>
      <c r="S30" s="3433" t="s">
        <v>3007</v>
      </c>
    </row>
    <row r="31" spans="1:20" ht="14.25" customHeight="1">
      <c r="A31" s="3424" t="s">
        <v>1145</v>
      </c>
      <c r="B31" s="1289" t="s">
        <v>974</v>
      </c>
      <c r="C31" s="3424">
        <v>24550</v>
      </c>
      <c r="D31" s="3424">
        <v>23990</v>
      </c>
      <c r="E31" s="3424">
        <v>22930</v>
      </c>
      <c r="F31" s="3430">
        <v>7470</v>
      </c>
      <c r="G31" s="3430">
        <v>16790</v>
      </c>
      <c r="I31" s="1022"/>
      <c r="M31" s="3433" t="s">
        <v>2841</v>
      </c>
      <c r="N31" s="3424" t="s">
        <v>2848</v>
      </c>
      <c r="O31" s="3424" t="s">
        <v>2865</v>
      </c>
      <c r="P31" s="3424" t="s">
        <v>2912</v>
      </c>
      <c r="Q31" s="3424" t="s">
        <v>2942</v>
      </c>
      <c r="R31" s="3424" t="s">
        <v>2969</v>
      </c>
      <c r="S31" s="3433" t="s">
        <v>3008</v>
      </c>
    </row>
    <row r="32" spans="1:20" ht="14.25" customHeight="1">
      <c r="A32" s="3424" t="s">
        <v>1145</v>
      </c>
      <c r="B32" s="1289" t="s">
        <v>984</v>
      </c>
      <c r="C32" s="3424">
        <v>27210</v>
      </c>
      <c r="D32" s="3424">
        <v>23240</v>
      </c>
      <c r="E32" s="3424">
        <v>23260</v>
      </c>
      <c r="F32" s="3430">
        <v>7130</v>
      </c>
      <c r="G32" s="3430">
        <v>16270</v>
      </c>
      <c r="I32" s="1022"/>
      <c r="M32" s="3433" t="s">
        <v>2842</v>
      </c>
      <c r="N32" s="3424" t="s">
        <v>2849</v>
      </c>
      <c r="O32" s="3424" t="s">
        <v>1149</v>
      </c>
      <c r="P32" s="3424" t="s">
        <v>2913</v>
      </c>
      <c r="Q32" s="3424" t="s">
        <v>1148</v>
      </c>
      <c r="R32" s="3424" t="s">
        <v>2970</v>
      </c>
      <c r="S32" s="3433" t="s">
        <v>3009</v>
      </c>
    </row>
    <row r="33" spans="1:18" ht="14.25" customHeight="1">
      <c r="A33" s="3424" t="s">
        <v>1145</v>
      </c>
      <c r="B33" s="1289" t="s">
        <v>993</v>
      </c>
      <c r="C33" s="3424">
        <v>27300</v>
      </c>
      <c r="D33" s="3424">
        <v>22980</v>
      </c>
      <c r="E33" s="3424">
        <v>24260</v>
      </c>
      <c r="F33" s="3430">
        <v>5860</v>
      </c>
      <c r="G33" s="3430">
        <v>16090</v>
      </c>
      <c r="I33" s="1022"/>
      <c r="M33" s="3433" t="s">
        <v>2843</v>
      </c>
      <c r="N33" s="3424" t="s">
        <v>2850</v>
      </c>
      <c r="O33" s="3424" t="s">
        <v>1150</v>
      </c>
      <c r="P33" s="3424" t="s">
        <v>2914</v>
      </c>
      <c r="Q33" s="3424" t="s">
        <v>2943</v>
      </c>
      <c r="R33" s="3424" t="s">
        <v>2971</v>
      </c>
    </row>
    <row r="34" spans="1:18" ht="14.25" customHeight="1">
      <c r="A34" s="3424" t="s">
        <v>1145</v>
      </c>
      <c r="B34" s="1289" t="s">
        <v>1003</v>
      </c>
      <c r="C34" s="3424">
        <v>23090</v>
      </c>
      <c r="D34" s="3424">
        <v>23390</v>
      </c>
      <c r="E34" s="3424">
        <v>23510</v>
      </c>
      <c r="F34" s="3430">
        <v>6700</v>
      </c>
      <c r="G34" s="3430">
        <v>16370</v>
      </c>
      <c r="I34" s="1022"/>
      <c r="N34" s="3424" t="s">
        <v>2851</v>
      </c>
      <c r="O34" s="3424" t="s">
        <v>1151</v>
      </c>
      <c r="P34" s="3424" t="s">
        <v>2915</v>
      </c>
      <c r="Q34" s="3424" t="s">
        <v>2944</v>
      </c>
      <c r="R34" s="3424" t="s">
        <v>2972</v>
      </c>
    </row>
    <row r="35" spans="1:18" ht="14.25" customHeight="1">
      <c r="A35" s="3424" t="s">
        <v>1145</v>
      </c>
      <c r="B35" s="1289" t="s">
        <v>1010</v>
      </c>
      <c r="C35" s="3424">
        <v>27270</v>
      </c>
      <c r="D35" s="3424">
        <v>24270</v>
      </c>
      <c r="E35" s="3424">
        <v>24950</v>
      </c>
      <c r="F35" s="3430">
        <v>6600</v>
      </c>
      <c r="G35" s="3430">
        <v>16990</v>
      </c>
      <c r="I35" s="1022"/>
      <c r="N35" s="3424" t="s">
        <v>2852</v>
      </c>
      <c r="O35" s="3424" t="s">
        <v>2866</v>
      </c>
      <c r="P35" s="3424" t="s">
        <v>2916</v>
      </c>
      <c r="Q35" s="3424" t="s">
        <v>2945</v>
      </c>
      <c r="R35" s="3424" t="s">
        <v>2973</v>
      </c>
    </row>
    <row r="36" spans="1:18" ht="14.25" customHeight="1">
      <c r="A36" s="3424" t="s">
        <v>1145</v>
      </c>
      <c r="B36" s="1289" t="s">
        <v>1016</v>
      </c>
      <c r="C36" s="3424">
        <v>23490</v>
      </c>
      <c r="D36" s="3424">
        <v>23020</v>
      </c>
      <c r="E36" s="3424">
        <v>25230</v>
      </c>
      <c r="F36" s="3430">
        <v>6780</v>
      </c>
      <c r="G36" s="3430">
        <v>16120</v>
      </c>
      <c r="I36" s="1022"/>
      <c r="N36" s="3433" t="s">
        <v>2853</v>
      </c>
      <c r="O36" s="3461" t="s">
        <v>2867</v>
      </c>
      <c r="P36" s="3424" t="s">
        <v>2917</v>
      </c>
      <c r="Q36" s="3424" t="s">
        <v>2946</v>
      </c>
      <c r="R36" s="3424" t="s">
        <v>2974</v>
      </c>
    </row>
    <row r="37" spans="1:18" ht="14.25" customHeight="1">
      <c r="A37" s="3424" t="s">
        <v>1145</v>
      </c>
      <c r="B37" s="1289" t="s">
        <v>1023</v>
      </c>
      <c r="C37" s="3424">
        <v>24380</v>
      </c>
      <c r="D37" s="3424">
        <v>22240</v>
      </c>
      <c r="E37" s="3424">
        <v>25980</v>
      </c>
      <c r="F37" s="3430">
        <v>8160</v>
      </c>
      <c r="G37" s="3430">
        <v>15570</v>
      </c>
      <c r="I37" s="1023"/>
      <c r="N37" s="3433" t="s">
        <v>2854</v>
      </c>
      <c r="O37" s="3461" t="s">
        <v>2868</v>
      </c>
      <c r="P37" s="3424" t="s">
        <v>2918</v>
      </c>
      <c r="Q37" s="3424" t="s">
        <v>2947</v>
      </c>
      <c r="R37" s="3424" t="s">
        <v>2975</v>
      </c>
    </row>
    <row r="38" spans="1:18" ht="14.25" customHeight="1">
      <c r="A38" s="3424" t="s">
        <v>1145</v>
      </c>
      <c r="B38" s="1289" t="s">
        <v>1033</v>
      </c>
      <c r="C38" s="3424">
        <v>23120</v>
      </c>
      <c r="D38" s="3424">
        <v>24630</v>
      </c>
      <c r="E38" s="3424">
        <v>25030</v>
      </c>
      <c r="F38" s="3430">
        <v>7710</v>
      </c>
      <c r="G38" s="3430">
        <v>17240</v>
      </c>
      <c r="I38" s="1024"/>
      <c r="N38" s="3433" t="s">
        <v>2855</v>
      </c>
      <c r="O38" s="3461" t="s">
        <v>2869</v>
      </c>
      <c r="P38" s="3424" t="s">
        <v>2919</v>
      </c>
      <c r="Q38" s="3424" t="s">
        <v>2948</v>
      </c>
      <c r="R38" s="3424" t="s">
        <v>2976</v>
      </c>
    </row>
    <row r="39" spans="1:18" ht="14.25" customHeight="1">
      <c r="A39" s="3424" t="s">
        <v>1145</v>
      </c>
      <c r="B39" s="1289" t="s">
        <v>1042</v>
      </c>
      <c r="C39" s="3424">
        <v>22330</v>
      </c>
      <c r="D39" s="3424">
        <v>21140</v>
      </c>
      <c r="E39" s="3424">
        <v>23970</v>
      </c>
      <c r="F39" s="3430">
        <v>7940</v>
      </c>
      <c r="G39" s="3430">
        <v>14790</v>
      </c>
      <c r="I39" s="1024"/>
      <c r="N39" s="3433" t="s">
        <v>2856</v>
      </c>
      <c r="O39" s="3461" t="s">
        <v>2870</v>
      </c>
      <c r="P39" s="3424" t="s">
        <v>2920</v>
      </c>
      <c r="Q39" s="3424" t="s">
        <v>2949</v>
      </c>
      <c r="R39" s="3424" t="s">
        <v>2977</v>
      </c>
    </row>
    <row r="40" spans="1:18" ht="14.25" customHeight="1">
      <c r="A40" s="3424" t="s">
        <v>1145</v>
      </c>
      <c r="B40" s="1289" t="s">
        <v>1049</v>
      </c>
      <c r="C40" s="3424">
        <v>24740</v>
      </c>
      <c r="D40" s="3424">
        <v>24690</v>
      </c>
      <c r="E40" s="3424">
        <v>22610</v>
      </c>
      <c r="F40" s="3430"/>
      <c r="G40" s="3430">
        <v>17280</v>
      </c>
      <c r="I40" s="1024"/>
      <c r="N40" s="3433" t="s">
        <v>2857</v>
      </c>
      <c r="O40" s="3461" t="s">
        <v>2871</v>
      </c>
      <c r="P40" s="3424" t="s">
        <v>2921</v>
      </c>
      <c r="Q40" s="3424" t="s">
        <v>2950</v>
      </c>
      <c r="R40" s="3424" t="s">
        <v>2978</v>
      </c>
    </row>
    <row r="41" spans="1:18" ht="14.25" customHeight="1">
      <c r="A41" s="3424" t="s">
        <v>1145</v>
      </c>
      <c r="B41" s="1289" t="s">
        <v>1056</v>
      </c>
      <c r="C41" s="3424">
        <v>21220</v>
      </c>
      <c r="D41" s="3424">
        <v>21120</v>
      </c>
      <c r="E41" s="3424">
        <v>22590</v>
      </c>
      <c r="F41" s="3430"/>
      <c r="G41" s="3430">
        <v>14780</v>
      </c>
      <c r="I41" s="1024"/>
      <c r="N41" s="3433" t="s">
        <v>2858</v>
      </c>
      <c r="O41" s="3462" t="s">
        <v>2872</v>
      </c>
      <c r="P41" s="1289" t="s">
        <v>2922</v>
      </c>
      <c r="Q41" s="3433" t="s">
        <v>2951</v>
      </c>
      <c r="R41" s="1289" t="s">
        <v>2979</v>
      </c>
    </row>
    <row r="42" spans="1:18" ht="14.25" customHeight="1">
      <c r="A42" s="3424" t="s">
        <v>1145</v>
      </c>
      <c r="B42" s="1289" t="s">
        <v>1063</v>
      </c>
      <c r="C42" s="3424">
        <v>24800</v>
      </c>
      <c r="D42" s="3424">
        <v>22280</v>
      </c>
      <c r="E42" s="3424">
        <v>24350</v>
      </c>
      <c r="F42" s="3430"/>
      <c r="G42" s="3430">
        <v>15590</v>
      </c>
      <c r="I42" s="1024"/>
      <c r="O42" s="3424" t="s">
        <v>2873</v>
      </c>
      <c r="P42" s="3424" t="s">
        <v>2923</v>
      </c>
      <c r="Q42" s="3433" t="s">
        <v>2952</v>
      </c>
      <c r="R42" s="3424" t="s">
        <v>2980</v>
      </c>
    </row>
    <row r="43" spans="1:18" ht="14.25" customHeight="1">
      <c r="A43" s="3424" t="s">
        <v>1145</v>
      </c>
      <c r="B43" s="1289" t="s">
        <v>1071</v>
      </c>
      <c r="C43" s="3424">
        <v>21210</v>
      </c>
      <c r="D43" s="3424">
        <v>21160</v>
      </c>
      <c r="E43" s="3424">
        <v>22650</v>
      </c>
      <c r="F43" s="3430"/>
      <c r="G43" s="3430">
        <v>14800</v>
      </c>
      <c r="I43" s="1024"/>
      <c r="O43" s="3424" t="s">
        <v>2874</v>
      </c>
      <c r="P43" s="3424" t="s">
        <v>2924</v>
      </c>
      <c r="Q43" s="3433" t="s">
        <v>2953</v>
      </c>
      <c r="R43" s="3424" t="s">
        <v>2981</v>
      </c>
    </row>
    <row r="44" spans="1:18" ht="14.25" customHeight="1">
      <c r="A44" s="3424" t="s">
        <v>1145</v>
      </c>
      <c r="B44" s="1289" t="s">
        <v>1079</v>
      </c>
      <c r="C44" s="3424">
        <v>22370</v>
      </c>
      <c r="D44" s="3424">
        <v>23140</v>
      </c>
      <c r="E44" s="3424">
        <v>25090</v>
      </c>
      <c r="F44" s="3430"/>
      <c r="G44" s="3430">
        <v>16190</v>
      </c>
      <c r="I44" s="1024"/>
      <c r="O44" s="3424" t="s">
        <v>2875</v>
      </c>
      <c r="P44" s="3424" t="s">
        <v>2925</v>
      </c>
      <c r="Q44" s="3433" t="s">
        <v>2954</v>
      </c>
      <c r="R44" s="3424" t="s">
        <v>2982</v>
      </c>
    </row>
    <row r="45" spans="1:18" ht="14.25" customHeight="1">
      <c r="A45" s="3424" t="s">
        <v>1145</v>
      </c>
      <c r="B45" s="1289" t="s">
        <v>1084</v>
      </c>
      <c r="C45" s="3424">
        <v>21240</v>
      </c>
      <c r="D45" s="3424">
        <v>27050</v>
      </c>
      <c r="E45" s="3424">
        <v>28000</v>
      </c>
      <c r="F45" s="3430"/>
      <c r="G45" s="3430">
        <v>18940</v>
      </c>
      <c r="I45" s="1022"/>
      <c r="O45" s="3424" t="s">
        <v>2876</v>
      </c>
      <c r="P45" s="3424" t="s">
        <v>2926</v>
      </c>
      <c r="R45" s="3424" t="s">
        <v>2983</v>
      </c>
    </row>
    <row r="46" spans="1:18" ht="14.25" customHeight="1">
      <c r="A46" s="3424" t="s">
        <v>1145</v>
      </c>
      <c r="B46" s="1289" t="s">
        <v>1093</v>
      </c>
      <c r="C46" s="3424">
        <v>23240</v>
      </c>
      <c r="D46" s="3424">
        <v>23000</v>
      </c>
      <c r="E46" s="3424">
        <v>24980</v>
      </c>
      <c r="F46" s="3430"/>
      <c r="G46" s="3430">
        <v>16100</v>
      </c>
      <c r="I46" s="1024"/>
      <c r="O46" s="3424" t="s">
        <v>2877</v>
      </c>
      <c r="P46" s="3424"/>
      <c r="R46" s="3424" t="s">
        <v>2984</v>
      </c>
    </row>
    <row r="47" spans="1:18" ht="14.25" customHeight="1">
      <c r="A47" s="3424" t="s">
        <v>1145</v>
      </c>
      <c r="B47" s="2601" t="s">
        <v>1100</v>
      </c>
      <c r="C47" s="1287">
        <v>27150</v>
      </c>
      <c r="D47" s="1287">
        <v>23310</v>
      </c>
      <c r="E47" s="1287">
        <v>25150</v>
      </c>
      <c r="F47" s="3435"/>
      <c r="G47" s="3435">
        <v>16310</v>
      </c>
      <c r="I47" s="1024"/>
      <c r="O47" s="3424" t="s">
        <v>2878</v>
      </c>
      <c r="P47" s="3424"/>
      <c r="R47" s="3433" t="s">
        <v>2985</v>
      </c>
    </row>
    <row r="48" spans="1:18" ht="14.25" customHeight="1">
      <c r="A48" s="3424" t="s">
        <v>1145</v>
      </c>
      <c r="B48" s="3424" t="s">
        <v>1108</v>
      </c>
      <c r="C48" s="3424">
        <v>23100</v>
      </c>
      <c r="D48" s="3424">
        <v>21110</v>
      </c>
      <c r="E48" s="3424">
        <v>23080</v>
      </c>
      <c r="F48" s="3430"/>
      <c r="G48" s="3437">
        <v>14780</v>
      </c>
      <c r="I48" s="1022"/>
      <c r="O48" s="3424" t="s">
        <v>2879</v>
      </c>
      <c r="P48" s="3424"/>
      <c r="R48" s="3433" t="s">
        <v>2986</v>
      </c>
    </row>
    <row r="49" spans="1:18" ht="14.25" customHeight="1">
      <c r="A49" s="3424" t="s">
        <v>1145</v>
      </c>
      <c r="B49" s="1289" t="s">
        <v>1115</v>
      </c>
      <c r="C49" s="1289">
        <v>23400</v>
      </c>
      <c r="D49" s="1289">
        <v>22920</v>
      </c>
      <c r="E49" s="1289">
        <v>24900</v>
      </c>
      <c r="F49" s="3425"/>
      <c r="G49" s="3425">
        <v>16040</v>
      </c>
      <c r="I49" s="1024"/>
      <c r="O49" s="3424" t="s">
        <v>2880</v>
      </c>
      <c r="P49" s="3424"/>
      <c r="R49" s="3433" t="s">
        <v>2987</v>
      </c>
    </row>
    <row r="50" spans="1:18" ht="14.25" customHeight="1">
      <c r="A50" s="3424" t="s">
        <v>1145</v>
      </c>
      <c r="B50" s="3424" t="s">
        <v>2829</v>
      </c>
      <c r="C50" s="3424">
        <v>21200</v>
      </c>
      <c r="D50" s="3424">
        <v>26540</v>
      </c>
      <c r="E50" s="3424">
        <v>23200</v>
      </c>
      <c r="F50" s="3430"/>
      <c r="G50" s="3430">
        <v>18580</v>
      </c>
      <c r="I50" s="1024"/>
      <c r="O50" s="3433" t="s">
        <v>2881</v>
      </c>
      <c r="R50" s="3433" t="s">
        <v>2988</v>
      </c>
    </row>
    <row r="51" spans="1:18" ht="14.25" customHeight="1">
      <c r="A51" s="3424" t="s">
        <v>1145</v>
      </c>
      <c r="B51" s="3424" t="s">
        <v>2830</v>
      </c>
      <c r="C51" s="3424">
        <v>23000</v>
      </c>
      <c r="D51" s="3424">
        <v>23460</v>
      </c>
      <c r="E51" s="3424">
        <v>25290</v>
      </c>
      <c r="F51" s="3430"/>
      <c r="G51" s="3430">
        <v>16420</v>
      </c>
      <c r="I51" s="1024"/>
      <c r="O51" s="3433" t="s">
        <v>2882</v>
      </c>
      <c r="R51" s="3433" t="s">
        <v>2989</v>
      </c>
    </row>
    <row r="52" spans="1:18" ht="14.25" customHeight="1">
      <c r="A52" s="3424" t="s">
        <v>1145</v>
      </c>
      <c r="B52" s="3424" t="s">
        <v>2831</v>
      </c>
      <c r="C52" s="3424">
        <v>26660</v>
      </c>
      <c r="D52" s="3424">
        <v>22350</v>
      </c>
      <c r="E52" s="3424">
        <v>22920</v>
      </c>
      <c r="F52" s="3430"/>
      <c r="G52" s="3430">
        <v>15640</v>
      </c>
      <c r="I52" s="1024"/>
      <c r="O52" s="3433" t="s">
        <v>2883</v>
      </c>
    </row>
    <row r="53" spans="1:18" ht="14.25" customHeight="1">
      <c r="A53" s="3424" t="s">
        <v>1145</v>
      </c>
      <c r="B53" s="3424" t="s">
        <v>2832</v>
      </c>
      <c r="C53" s="3424">
        <v>23580</v>
      </c>
      <c r="D53" s="3424"/>
      <c r="E53" s="3424">
        <v>24280</v>
      </c>
      <c r="F53" s="3430"/>
      <c r="G53" s="3430"/>
      <c r="I53" s="1024"/>
      <c r="O53" s="3433" t="s">
        <v>2884</v>
      </c>
    </row>
    <row r="54" spans="1:18" ht="14.25" customHeight="1" thickBot="1">
      <c r="A54" s="3439" t="s">
        <v>1145</v>
      </c>
      <c r="B54" s="3427" t="s">
        <v>2833</v>
      </c>
      <c r="C54" s="3427">
        <v>22460</v>
      </c>
      <c r="D54" s="3427"/>
      <c r="E54" s="3427"/>
      <c r="F54" s="3428"/>
      <c r="G54" s="3440"/>
      <c r="I54" s="1024"/>
      <c r="O54" s="3433" t="s">
        <v>2885</v>
      </c>
    </row>
    <row r="55" spans="1:18" ht="14.25" customHeight="1">
      <c r="A55" s="3438" t="s">
        <v>853</v>
      </c>
      <c r="B55" s="1289" t="s">
        <v>2834</v>
      </c>
      <c r="C55" s="1289">
        <v>21970</v>
      </c>
      <c r="D55" s="1289">
        <v>20370</v>
      </c>
      <c r="E55" s="1289">
        <v>20180</v>
      </c>
      <c r="F55" s="3425">
        <v>5730</v>
      </c>
      <c r="G55" s="3425">
        <v>13820</v>
      </c>
      <c r="I55" s="1024"/>
      <c r="O55" s="3433" t="s">
        <v>2886</v>
      </c>
    </row>
    <row r="56" spans="1:18" ht="14.25" customHeight="1">
      <c r="A56" s="3424" t="s">
        <v>853</v>
      </c>
      <c r="B56" s="3424" t="s">
        <v>975</v>
      </c>
      <c r="C56" s="3424">
        <v>20470</v>
      </c>
      <c r="D56" s="3424">
        <v>20700</v>
      </c>
      <c r="E56" s="3424">
        <v>20380</v>
      </c>
      <c r="F56" s="3430">
        <v>4760</v>
      </c>
      <c r="G56" s="3430">
        <v>14050</v>
      </c>
      <c r="I56" s="1024"/>
      <c r="O56" s="3433" t="s">
        <v>2887</v>
      </c>
    </row>
    <row r="57" spans="1:18" ht="14.25" customHeight="1">
      <c r="A57" s="3424" t="s">
        <v>853</v>
      </c>
      <c r="B57" s="3424" t="s">
        <v>985</v>
      </c>
      <c r="C57" s="3424">
        <v>20790</v>
      </c>
      <c r="D57" s="3424">
        <v>21370</v>
      </c>
      <c r="E57" s="3424">
        <v>20890</v>
      </c>
      <c r="F57" s="3430">
        <v>4910</v>
      </c>
      <c r="G57" s="3430">
        <v>14510</v>
      </c>
      <c r="I57" s="1024"/>
      <c r="O57" s="3433" t="s">
        <v>2888</v>
      </c>
    </row>
    <row r="58" spans="1:18" ht="14.25" customHeight="1">
      <c r="A58" s="3424" t="s">
        <v>853</v>
      </c>
      <c r="B58" s="3424" t="s">
        <v>994</v>
      </c>
      <c r="C58" s="3424">
        <v>21460</v>
      </c>
      <c r="D58" s="3424">
        <v>20920</v>
      </c>
      <c r="E58" s="3424">
        <v>23410</v>
      </c>
      <c r="F58" s="3430">
        <v>5100</v>
      </c>
      <c r="G58" s="3430">
        <v>14200</v>
      </c>
      <c r="I58" s="1024"/>
      <c r="O58" s="3433" t="s">
        <v>2889</v>
      </c>
    </row>
    <row r="59" spans="1:18" ht="14.25" customHeight="1">
      <c r="A59" s="3424" t="s">
        <v>853</v>
      </c>
      <c r="B59" s="3424" t="s">
        <v>1004</v>
      </c>
      <c r="C59" s="3424">
        <v>21000</v>
      </c>
      <c r="D59" s="3424">
        <v>21550</v>
      </c>
      <c r="E59" s="3424">
        <v>21150</v>
      </c>
      <c r="F59" s="3430">
        <v>5250</v>
      </c>
      <c r="G59" s="3430">
        <v>14630</v>
      </c>
      <c r="I59" s="1024"/>
      <c r="O59" s="3433" t="s">
        <v>2890</v>
      </c>
    </row>
    <row r="60" spans="1:18" ht="14.25" customHeight="1">
      <c r="A60" s="3424" t="s">
        <v>853</v>
      </c>
      <c r="B60" s="3424" t="s">
        <v>1011</v>
      </c>
      <c r="C60" s="3424">
        <v>21640</v>
      </c>
      <c r="D60" s="3424">
        <v>21260</v>
      </c>
      <c r="E60" s="3424">
        <v>24040</v>
      </c>
      <c r="F60" s="3430">
        <v>4470</v>
      </c>
      <c r="G60" s="3430">
        <v>14430</v>
      </c>
      <c r="I60" s="1024"/>
      <c r="O60" s="3433" t="s">
        <v>2891</v>
      </c>
    </row>
    <row r="61" spans="1:18" ht="14.25" customHeight="1">
      <c r="A61" s="3424" t="s">
        <v>853</v>
      </c>
      <c r="B61" s="3424" t="s">
        <v>1017</v>
      </c>
      <c r="C61" s="3424">
        <v>21330</v>
      </c>
      <c r="D61" s="3424">
        <v>18640</v>
      </c>
      <c r="E61" s="3424">
        <v>21190</v>
      </c>
      <c r="F61" s="3430">
        <v>4180</v>
      </c>
      <c r="G61" s="3432">
        <v>12650</v>
      </c>
      <c r="I61" s="1024"/>
      <c r="O61" s="3433" t="s">
        <v>2892</v>
      </c>
    </row>
    <row r="62" spans="1:18" ht="14.25" customHeight="1">
      <c r="A62" s="3424" t="s">
        <v>853</v>
      </c>
      <c r="B62" s="3424" t="s">
        <v>1024</v>
      </c>
      <c r="C62" s="3424">
        <v>18710</v>
      </c>
      <c r="D62" s="3424">
        <v>19400</v>
      </c>
      <c r="E62" s="3424">
        <v>23750</v>
      </c>
      <c r="F62" s="3430">
        <v>4860</v>
      </c>
      <c r="G62" s="3432">
        <v>13170</v>
      </c>
      <c r="I62" s="1024"/>
      <c r="O62" s="3433" t="s">
        <v>2893</v>
      </c>
    </row>
    <row r="63" spans="1:18" ht="14.25" customHeight="1">
      <c r="A63" s="3424" t="s">
        <v>853</v>
      </c>
      <c r="B63" s="3424" t="s">
        <v>1034</v>
      </c>
      <c r="C63" s="3424">
        <v>19480</v>
      </c>
      <c r="D63" s="3424">
        <v>16830</v>
      </c>
      <c r="E63" s="3424">
        <v>21590</v>
      </c>
      <c r="F63" s="3430">
        <v>4560</v>
      </c>
      <c r="G63" s="3432">
        <v>11420</v>
      </c>
      <c r="I63" s="1024"/>
      <c r="O63" s="3433" t="s">
        <v>2894</v>
      </c>
    </row>
    <row r="64" spans="1:18" ht="14.25" customHeight="1">
      <c r="A64" s="3424" t="s">
        <v>853</v>
      </c>
      <c r="B64" s="3424" t="s">
        <v>1043</v>
      </c>
      <c r="C64" s="3424">
        <v>16920</v>
      </c>
      <c r="D64" s="3424">
        <v>19190</v>
      </c>
      <c r="E64" s="3424">
        <v>22200</v>
      </c>
      <c r="F64" s="3430">
        <v>4390</v>
      </c>
      <c r="G64" s="3432">
        <v>13030</v>
      </c>
      <c r="I64" s="1024"/>
      <c r="O64" s="3433" t="s">
        <v>2895</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2835</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2836</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2837</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2838</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2839</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2840</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2841</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2842</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2843</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2844</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2845</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2846</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2847</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2848</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2849</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2850</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2851</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2852</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2853</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2854</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2855</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2856</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2857</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2858</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2859</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2860</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2861</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2862</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2863</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2864</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2865</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2866</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2867</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2868</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2869</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2870</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2871</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2872</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2873</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2874</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2875</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2876</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2877</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2878</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2879</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2880</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2881</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2882</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2883</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2884</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2885</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2886</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2887</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2888</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2889</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2890</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2891</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2892</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2893</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2894</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2895</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2896</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2897</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2898</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2899</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2900</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2901</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2902</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2903</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2904</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2905</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2906</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2907</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2908</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2909</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2910</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2911</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2912</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2913</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2914</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2915</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2916</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2917</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2918</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2919</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2920</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2921</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2922</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2923</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2924</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2925</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2926</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2927</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2928</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2929</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2930</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2931</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2932</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2933</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2934</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2935</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2936</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2937</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2938</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2939</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2940</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2941</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2942</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2943</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2944</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2945</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2946</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2947</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2948</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2949</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2950</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2951</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2952</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2953</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2954</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2955</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2956</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2957</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2958</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2959</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2960</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2961</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2962</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2963</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2964</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2965</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2966</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2967</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2968</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2969</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2970</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2971</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2972</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2973</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2974</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2975</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2976</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2977</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2978</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2979</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2980</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2981</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2982</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2983</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2984</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2985</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2986</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2987</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2988</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2989</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2990</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2991</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2992</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2993</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2994</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2995</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2996</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2997</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2998</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2999</v>
      </c>
      <c r="C345" s="3433">
        <v>3190</v>
      </c>
      <c r="D345" s="3433">
        <v>3140</v>
      </c>
      <c r="E345" s="3433">
        <v>3450</v>
      </c>
      <c r="F345" s="3433">
        <v>720</v>
      </c>
      <c r="G345" s="3433">
        <v>1880</v>
      </c>
      <c r="H345" s="3446"/>
    </row>
    <row r="346" spans="1:21">
      <c r="A346" s="3433" t="s">
        <v>1157</v>
      </c>
      <c r="B346" s="3433" t="s">
        <v>3000</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3001</v>
      </c>
      <c r="C348" s="3433">
        <v>4000</v>
      </c>
      <c r="D348" s="3433">
        <v>3950</v>
      </c>
      <c r="E348" s="3433">
        <v>4430</v>
      </c>
      <c r="F348" s="3433">
        <v>760</v>
      </c>
      <c r="G348" s="3433">
        <v>2360</v>
      </c>
      <c r="H348" s="3446"/>
    </row>
    <row r="349" spans="1:21">
      <c r="A349" s="3433" t="s">
        <v>1157</v>
      </c>
      <c r="B349" s="3433" t="s">
        <v>3002</v>
      </c>
      <c r="C349" s="3433">
        <v>3820</v>
      </c>
      <c r="D349" s="3433">
        <v>3780</v>
      </c>
      <c r="E349" s="3433">
        <v>4170</v>
      </c>
      <c r="F349" s="3433">
        <v>710</v>
      </c>
      <c r="G349" s="3433">
        <v>2260</v>
      </c>
      <c r="H349" s="3446"/>
    </row>
    <row r="350" spans="1:21">
      <c r="A350" s="3433" t="s">
        <v>1157</v>
      </c>
      <c r="B350" s="3433" t="s">
        <v>3003</v>
      </c>
      <c r="C350" s="3433">
        <v>3760</v>
      </c>
      <c r="D350" s="3433">
        <v>3730</v>
      </c>
      <c r="E350" s="3433">
        <v>4100</v>
      </c>
      <c r="F350" s="3433">
        <v>800</v>
      </c>
      <c r="G350" s="3433">
        <v>2230</v>
      </c>
      <c r="H350" s="3446"/>
    </row>
    <row r="351" spans="1:21">
      <c r="A351" s="3433" t="s">
        <v>1157</v>
      </c>
      <c r="B351" s="3433" t="s">
        <v>3004</v>
      </c>
      <c r="C351" s="3433">
        <v>3610</v>
      </c>
      <c r="D351" s="3433">
        <v>3580</v>
      </c>
      <c r="E351" s="3433">
        <v>3930</v>
      </c>
      <c r="F351" s="3433">
        <v>700</v>
      </c>
      <c r="G351" s="3433">
        <v>2140</v>
      </c>
      <c r="H351" s="3446"/>
    </row>
    <row r="352" spans="1:21">
      <c r="A352" s="3433" t="s">
        <v>1157</v>
      </c>
      <c r="B352" s="3433" t="s">
        <v>3005</v>
      </c>
      <c r="C352" s="3433">
        <v>3670</v>
      </c>
      <c r="D352" s="3433">
        <v>3630</v>
      </c>
      <c r="E352" s="3433">
        <v>4000</v>
      </c>
      <c r="F352" s="3433">
        <v>750</v>
      </c>
      <c r="G352" s="3433">
        <v>2180</v>
      </c>
      <c r="H352" s="3446"/>
    </row>
    <row r="353" spans="1:8">
      <c r="A353" s="3433" t="s">
        <v>1157</v>
      </c>
      <c r="B353" s="3433" t="s">
        <v>3006</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3007</v>
      </c>
      <c r="C355" s="3433">
        <v>3650</v>
      </c>
      <c r="D355" s="3433">
        <v>3610</v>
      </c>
      <c r="E355" s="3433">
        <v>4200</v>
      </c>
      <c r="F355" s="3433">
        <v>640</v>
      </c>
      <c r="G355" s="3433">
        <v>2160</v>
      </c>
      <c r="H355" s="3446"/>
    </row>
    <row r="356" spans="1:8">
      <c r="A356" s="3433" t="s">
        <v>1157</v>
      </c>
      <c r="B356" s="3433" t="s">
        <v>3008</v>
      </c>
      <c r="C356" s="3433">
        <v>3260</v>
      </c>
      <c r="D356" s="3433">
        <v>3230</v>
      </c>
      <c r="E356" s="3433">
        <v>3740</v>
      </c>
      <c r="F356" s="3433">
        <v>600</v>
      </c>
      <c r="G356" s="3433">
        <v>1930</v>
      </c>
      <c r="H356" s="3446"/>
    </row>
    <row r="357" spans="1:8" ht="14.25" thickBot="1">
      <c r="A357" s="3449" t="s">
        <v>1157</v>
      </c>
      <c r="B357" s="3449" t="s">
        <v>3009</v>
      </c>
      <c r="C357" s="3449">
        <v>3690</v>
      </c>
      <c r="D357" s="3449">
        <v>3650</v>
      </c>
      <c r="E357" s="3449">
        <v>4020</v>
      </c>
      <c r="F357" s="3449">
        <v>700</v>
      </c>
      <c r="G357" s="3449">
        <v>2190</v>
      </c>
      <c r="H357" s="3446"/>
    </row>
    <row r="358" spans="1:8">
      <c r="A358" s="3450" t="s">
        <v>2765</v>
      </c>
      <c r="B358" s="3451" t="s">
        <v>3010</v>
      </c>
      <c r="C358" s="3451">
        <v>2080</v>
      </c>
      <c r="D358" s="3451">
        <v>2040</v>
      </c>
      <c r="E358" s="3451">
        <v>2010</v>
      </c>
      <c r="F358" s="3451">
        <v>530</v>
      </c>
      <c r="G358" s="3452">
        <v>1230</v>
      </c>
      <c r="H358" s="3446"/>
    </row>
    <row r="359" spans="1:8">
      <c r="A359" s="3453" t="s">
        <v>2765</v>
      </c>
      <c r="B359" s="3433" t="s">
        <v>3011</v>
      </c>
      <c r="C359" s="3433">
        <v>1850</v>
      </c>
      <c r="D359" s="3433">
        <v>1820</v>
      </c>
      <c r="E359" s="3433">
        <v>1780</v>
      </c>
      <c r="F359" s="3433">
        <v>520</v>
      </c>
      <c r="G359" s="3445">
        <v>1100</v>
      </c>
      <c r="H359" s="3446"/>
    </row>
    <row r="360" spans="1:8">
      <c r="A360" s="3453" t="s">
        <v>2765</v>
      </c>
      <c r="B360" s="3433" t="s">
        <v>3012</v>
      </c>
      <c r="C360" s="3433">
        <v>2020</v>
      </c>
      <c r="D360" s="3433">
        <v>1990</v>
      </c>
      <c r="E360" s="3433">
        <v>1950</v>
      </c>
      <c r="F360" s="3433">
        <v>500</v>
      </c>
      <c r="G360" s="3445">
        <v>1200</v>
      </c>
      <c r="H360" s="3446"/>
    </row>
    <row r="361" spans="1:8">
      <c r="A361" s="3453" t="s">
        <v>2765</v>
      </c>
      <c r="B361" s="3433" t="s">
        <v>999</v>
      </c>
      <c r="C361" s="3433">
        <v>2260</v>
      </c>
      <c r="D361" s="3433">
        <v>2220</v>
      </c>
      <c r="E361" s="3433">
        <v>2180</v>
      </c>
      <c r="F361" s="3433">
        <v>580</v>
      </c>
      <c r="G361" s="3445">
        <v>1340</v>
      </c>
      <c r="H361" s="3446"/>
    </row>
    <row r="362" spans="1:8">
      <c r="A362" s="3453" t="s">
        <v>2765</v>
      </c>
      <c r="B362" s="3433" t="s">
        <v>3013</v>
      </c>
      <c r="C362" s="3433">
        <v>2650</v>
      </c>
      <c r="D362" s="3433">
        <v>2610</v>
      </c>
      <c r="E362" s="3433">
        <v>2570</v>
      </c>
      <c r="F362" s="3433">
        <v>630</v>
      </c>
      <c r="G362" s="3445">
        <v>1570</v>
      </c>
      <c r="H362" s="3446"/>
    </row>
    <row r="363" spans="1:8">
      <c r="A363" s="3453" t="s">
        <v>2765</v>
      </c>
      <c r="B363" s="3433" t="s">
        <v>3014</v>
      </c>
      <c r="C363" s="3433">
        <v>2390</v>
      </c>
      <c r="D363" s="3433">
        <v>2360</v>
      </c>
      <c r="E363" s="3433">
        <v>2320</v>
      </c>
      <c r="F363" s="3433">
        <v>600</v>
      </c>
      <c r="G363" s="3445">
        <v>1420</v>
      </c>
      <c r="H363" s="3446"/>
    </row>
    <row r="364" spans="1:8">
      <c r="A364" s="3453" t="s">
        <v>2765</v>
      </c>
      <c r="B364" s="3433" t="s">
        <v>3015</v>
      </c>
      <c r="C364" s="3433">
        <v>2050</v>
      </c>
      <c r="D364" s="3433">
        <v>2030</v>
      </c>
      <c r="E364" s="3433">
        <v>1990</v>
      </c>
      <c r="F364" s="3433">
        <v>550</v>
      </c>
      <c r="G364" s="3445">
        <v>1220</v>
      </c>
      <c r="H364" s="3446"/>
    </row>
    <row r="365" spans="1:8">
      <c r="A365" s="3453" t="s">
        <v>2765</v>
      </c>
      <c r="B365" s="3433" t="s">
        <v>1047</v>
      </c>
      <c r="C365" s="3433">
        <v>2140</v>
      </c>
      <c r="D365" s="3433">
        <v>2100</v>
      </c>
      <c r="E365" s="3433">
        <v>2060</v>
      </c>
      <c r="F365" s="3433">
        <v>540</v>
      </c>
      <c r="G365" s="3445">
        <v>1270</v>
      </c>
      <c r="H365" s="3446"/>
    </row>
    <row r="366" spans="1:8">
      <c r="A366" s="3453" t="s">
        <v>2765</v>
      </c>
      <c r="B366" s="3433" t="s">
        <v>3016</v>
      </c>
      <c r="C366" s="3433">
        <v>2410</v>
      </c>
      <c r="D366" s="3433">
        <v>2370</v>
      </c>
      <c r="E366" s="3433">
        <v>2330</v>
      </c>
      <c r="F366" s="3433">
        <v>570</v>
      </c>
      <c r="G366" s="3445">
        <v>1440</v>
      </c>
      <c r="H366" s="3446"/>
    </row>
    <row r="367" spans="1:8">
      <c r="A367" s="3453" t="s">
        <v>2765</v>
      </c>
      <c r="B367" s="3433" t="s">
        <v>3017</v>
      </c>
      <c r="C367" s="3433">
        <v>2300</v>
      </c>
      <c r="D367" s="3433">
        <v>2260</v>
      </c>
      <c r="E367" s="3433">
        <v>2220</v>
      </c>
      <c r="F367" s="3433">
        <v>560</v>
      </c>
      <c r="G367" s="3445">
        <v>1370</v>
      </c>
      <c r="H367" s="3446"/>
    </row>
    <row r="368" spans="1:8">
      <c r="A368" s="3453" t="s">
        <v>2765</v>
      </c>
      <c r="B368" s="3433" t="s">
        <v>3018</v>
      </c>
      <c r="C368" s="3433">
        <v>2430</v>
      </c>
      <c r="D368" s="3433">
        <v>2390</v>
      </c>
      <c r="E368" s="3433">
        <v>2350</v>
      </c>
      <c r="F368" s="3433">
        <v>570</v>
      </c>
      <c r="G368" s="3445">
        <v>1450</v>
      </c>
      <c r="H368" s="3446"/>
    </row>
    <row r="369" spans="1:8">
      <c r="A369" s="3453" t="s">
        <v>2765</v>
      </c>
      <c r="B369" s="3433" t="s">
        <v>1061</v>
      </c>
      <c r="C369" s="3433">
        <v>2320</v>
      </c>
      <c r="D369" s="3433">
        <v>2290</v>
      </c>
      <c r="E369" s="3433">
        <v>2250</v>
      </c>
      <c r="F369" s="3433">
        <v>550</v>
      </c>
      <c r="G369" s="3445">
        <v>1380</v>
      </c>
      <c r="H369" s="3446"/>
    </row>
    <row r="370" spans="1:8">
      <c r="A370" s="3453" t="s">
        <v>2765</v>
      </c>
      <c r="B370" s="3433" t="s">
        <v>1069</v>
      </c>
      <c r="C370" s="3433">
        <v>2190</v>
      </c>
      <c r="D370" s="3433">
        <v>2170</v>
      </c>
      <c r="E370" s="3433">
        <v>2130</v>
      </c>
      <c r="F370" s="3433">
        <v>530</v>
      </c>
      <c r="G370" s="3445">
        <v>1310</v>
      </c>
      <c r="H370" s="3446"/>
    </row>
    <row r="371" spans="1:8">
      <c r="A371" s="3453" t="s">
        <v>2765</v>
      </c>
      <c r="B371" s="3433" t="s">
        <v>1077</v>
      </c>
      <c r="C371" s="3433">
        <v>2460</v>
      </c>
      <c r="D371" s="3433">
        <v>2420</v>
      </c>
      <c r="E371" s="3433">
        <v>2370</v>
      </c>
      <c r="F371" s="3433">
        <v>560</v>
      </c>
      <c r="G371" s="3445">
        <v>1470</v>
      </c>
      <c r="H371" s="3446"/>
    </row>
    <row r="372" spans="1:8">
      <c r="A372" s="3453" t="s">
        <v>2765</v>
      </c>
      <c r="B372" s="3433" t="s">
        <v>3019</v>
      </c>
      <c r="C372" s="3433">
        <v>2250</v>
      </c>
      <c r="D372" s="3433">
        <v>2210</v>
      </c>
      <c r="E372" s="3433">
        <v>2180</v>
      </c>
      <c r="F372" s="3433">
        <v>550</v>
      </c>
      <c r="G372" s="3445">
        <v>1340</v>
      </c>
      <c r="H372" s="3446"/>
    </row>
    <row r="373" spans="1:8">
      <c r="A373" s="3453" t="s">
        <v>2765</v>
      </c>
      <c r="B373" s="3433" t="s">
        <v>1106</v>
      </c>
      <c r="C373" s="3433">
        <v>2210</v>
      </c>
      <c r="D373" s="3433">
        <v>2190</v>
      </c>
      <c r="E373" s="3433">
        <v>2150</v>
      </c>
      <c r="F373" s="3433">
        <v>530</v>
      </c>
      <c r="G373" s="3445">
        <v>1320</v>
      </c>
      <c r="H373" s="3446"/>
    </row>
    <row r="374" spans="1:8">
      <c r="A374" s="3453" t="s">
        <v>2765</v>
      </c>
      <c r="B374" s="3433" t="s">
        <v>1114</v>
      </c>
      <c r="C374" s="3433">
        <v>2320</v>
      </c>
      <c r="D374" s="3433">
        <v>2280</v>
      </c>
      <c r="E374" s="3433">
        <v>2230</v>
      </c>
      <c r="F374" s="3433">
        <v>580</v>
      </c>
      <c r="G374" s="3445">
        <v>1380</v>
      </c>
      <c r="H374" s="3446"/>
    </row>
    <row r="375" spans="1:8">
      <c r="A375" s="3453" t="s">
        <v>2765</v>
      </c>
      <c r="B375" s="3433" t="s">
        <v>3020</v>
      </c>
      <c r="C375" s="3433">
        <v>2090</v>
      </c>
      <c r="D375" s="3433">
        <v>2050</v>
      </c>
      <c r="E375" s="3433">
        <v>2020</v>
      </c>
      <c r="F375" s="3433">
        <v>520</v>
      </c>
      <c r="G375" s="3445">
        <v>1240</v>
      </c>
      <c r="H375" s="3446"/>
    </row>
    <row r="376" spans="1:8">
      <c r="A376" s="3453" t="s">
        <v>2765</v>
      </c>
      <c r="B376" s="3433" t="s">
        <v>1126</v>
      </c>
      <c r="C376" s="3433">
        <v>2010</v>
      </c>
      <c r="D376" s="3433">
        <v>1980</v>
      </c>
      <c r="E376" s="3433">
        <v>1940</v>
      </c>
      <c r="F376" s="3433">
        <v>540</v>
      </c>
      <c r="G376" s="3445">
        <v>1190</v>
      </c>
      <c r="H376" s="3446"/>
    </row>
    <row r="377" spans="1:8" ht="14.25" thickBot="1">
      <c r="A377" s="3455" t="s">
        <v>2765</v>
      </c>
      <c r="B377" s="3449" t="s">
        <v>3021</v>
      </c>
      <c r="C377" s="3449">
        <v>1930</v>
      </c>
      <c r="D377" s="3449">
        <v>1890</v>
      </c>
      <c r="E377" s="3449">
        <v>1860</v>
      </c>
      <c r="F377" s="3449">
        <v>530</v>
      </c>
      <c r="G377" s="3456">
        <v>1150</v>
      </c>
      <c r="H377" s="3446"/>
    </row>
    <row r="378" spans="1:8">
      <c r="A378" s="3450" t="s">
        <v>2766</v>
      </c>
      <c r="B378" s="3451" t="s">
        <v>3022</v>
      </c>
      <c r="C378" s="3451">
        <v>1520</v>
      </c>
      <c r="D378" s="3451">
        <v>1490</v>
      </c>
      <c r="E378" s="3451">
        <v>1460</v>
      </c>
      <c r="F378" s="3451">
        <v>460</v>
      </c>
      <c r="G378" s="3452">
        <v>940</v>
      </c>
      <c r="H378" s="3446"/>
    </row>
    <row r="379" spans="1:8">
      <c r="A379" s="3453" t="s">
        <v>2766</v>
      </c>
      <c r="B379" s="3433" t="s">
        <v>3023</v>
      </c>
      <c r="C379" s="3433">
        <v>1500</v>
      </c>
      <c r="D379" s="3433">
        <v>1470</v>
      </c>
      <c r="E379" s="3433">
        <v>1430</v>
      </c>
      <c r="F379" s="3433">
        <v>460</v>
      </c>
      <c r="G379" s="3445">
        <v>920</v>
      </c>
      <c r="H379" s="3446"/>
    </row>
    <row r="380" spans="1:8">
      <c r="A380" s="3453" t="s">
        <v>2766</v>
      </c>
      <c r="B380" s="3433" t="s">
        <v>3024</v>
      </c>
      <c r="C380" s="3433">
        <v>1620</v>
      </c>
      <c r="D380" s="3433">
        <v>1590</v>
      </c>
      <c r="E380" s="3433">
        <v>1560</v>
      </c>
      <c r="F380" s="3433">
        <v>480</v>
      </c>
      <c r="G380" s="3445">
        <v>1000</v>
      </c>
      <c r="H380" s="3446"/>
    </row>
    <row r="381" spans="1:8">
      <c r="A381" s="3453" t="s">
        <v>2766</v>
      </c>
      <c r="B381" s="3433" t="s">
        <v>3025</v>
      </c>
      <c r="C381" s="3433">
        <v>1460</v>
      </c>
      <c r="D381" s="3433">
        <v>1430</v>
      </c>
      <c r="E381" s="3433">
        <v>1390</v>
      </c>
      <c r="F381" s="3433">
        <v>450</v>
      </c>
      <c r="G381" s="3445">
        <v>900</v>
      </c>
      <c r="H381" s="3446"/>
    </row>
    <row r="382" spans="1:8">
      <c r="A382" s="3453" t="s">
        <v>2766</v>
      </c>
      <c r="B382" s="3433" t="s">
        <v>3026</v>
      </c>
      <c r="C382" s="3433">
        <v>1310</v>
      </c>
      <c r="D382" s="3433">
        <v>1280</v>
      </c>
      <c r="E382" s="3433">
        <v>1250</v>
      </c>
      <c r="F382" s="3433">
        <v>440</v>
      </c>
      <c r="G382" s="3445">
        <v>800</v>
      </c>
      <c r="H382" s="3446"/>
    </row>
    <row r="383" spans="1:8">
      <c r="A383" s="3453" t="s">
        <v>2766</v>
      </c>
      <c r="B383" s="3433" t="s">
        <v>3027</v>
      </c>
      <c r="C383" s="3433">
        <v>1260</v>
      </c>
      <c r="D383" s="3433">
        <v>1230</v>
      </c>
      <c r="E383" s="3433">
        <v>1200</v>
      </c>
      <c r="F383" s="3433">
        <v>420</v>
      </c>
      <c r="G383" s="3445">
        <v>770</v>
      </c>
      <c r="H383" s="3446"/>
    </row>
    <row r="384" spans="1:8" ht="14.25" thickBot="1">
      <c r="A384" s="3454" t="s">
        <v>2766</v>
      </c>
      <c r="B384" s="3448" t="s">
        <v>3028</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4351" t="s">
        <v>3191</v>
      </c>
      <c r="B1" s="4351"/>
      <c r="C1" s="4351"/>
      <c r="D1" s="4351"/>
      <c r="E1" s="4351"/>
      <c r="F1" s="4352"/>
    </row>
    <row r="2" spans="1:6">
      <c r="A2" s="3500" t="s">
        <v>3192</v>
      </c>
      <c r="B2" s="3501"/>
      <c r="C2" s="3501"/>
      <c r="D2" s="3501"/>
      <c r="E2" s="3501"/>
      <c r="F2" s="3501"/>
    </row>
    <row r="3" spans="1:6">
      <c r="A3" s="3500" t="s">
        <v>3193</v>
      </c>
      <c r="B3" s="3501"/>
      <c r="C3" s="3501"/>
      <c r="D3" s="3501"/>
      <c r="E3" s="3501"/>
      <c r="F3" s="3502" t="s">
        <v>3194</v>
      </c>
    </row>
    <row r="4" spans="1:6">
      <c r="A4" s="3503" t="s">
        <v>3189</v>
      </c>
      <c r="B4" s="3503" t="s">
        <v>2742</v>
      </c>
      <c r="C4" s="3503" t="s">
        <v>1212</v>
      </c>
      <c r="D4" s="3503" t="s">
        <v>3190</v>
      </c>
      <c r="E4" s="3503" t="s">
        <v>905</v>
      </c>
      <c r="F4" s="3503" t="s">
        <v>3195</v>
      </c>
    </row>
    <row r="5" spans="1:6">
      <c r="A5" s="3504" t="s">
        <v>2764</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2765</v>
      </c>
      <c r="B16" s="3506">
        <v>2230</v>
      </c>
      <c r="C16" s="3506">
        <v>2200</v>
      </c>
      <c r="D16" s="3506">
        <v>2180</v>
      </c>
      <c r="E16" s="3506">
        <v>570</v>
      </c>
      <c r="F16" s="3506">
        <v>1330</v>
      </c>
    </row>
    <row r="17" spans="1:6">
      <c r="A17" s="3504" t="s">
        <v>2766</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SUMPRODUCT((A95:A184=ROUNDDOWN([4]基准地价修正!G3,1))*(B94:M94=[4]基准地价修正!G2)*(B95:M184))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SUMPRODUCT((A371:A460=ROUNDDOWN([4]基准地价修正!G3,1))*(B370:M370=[4]基准地价修正!G2)*(B371:M460))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4353" t="s">
        <v>3029</v>
      </c>
      <c r="B1" s="4353"/>
    </row>
    <row r="2" spans="1:7" ht="14.25" thickBot="1">
      <c r="A2" s="3465"/>
      <c r="B2" s="3465"/>
    </row>
    <row r="3" spans="1:7" ht="14.25" thickBot="1">
      <c r="A3" s="3465"/>
      <c r="B3" s="3465"/>
      <c r="C3" s="3466" t="s">
        <v>3030</v>
      </c>
      <c r="D3" s="3466" t="s">
        <v>3031</v>
      </c>
      <c r="E3" s="3466" t="s">
        <v>3032</v>
      </c>
      <c r="F3" s="3466" t="s">
        <v>3033</v>
      </c>
      <c r="G3" s="3466" t="s">
        <v>3034</v>
      </c>
    </row>
    <row r="4" spans="1:7" ht="14.25" thickBot="1">
      <c r="A4" s="3467" t="s">
        <v>3035</v>
      </c>
      <c r="B4" s="3468" t="s">
        <v>3036</v>
      </c>
      <c r="C4" s="3466"/>
      <c r="D4" s="3466"/>
      <c r="E4" s="3466"/>
      <c r="F4" s="3466"/>
      <c r="G4" s="3466"/>
    </row>
    <row r="5" spans="1:7">
      <c r="A5" s="3469" t="s">
        <v>3037</v>
      </c>
      <c r="B5" s="3470" t="s">
        <v>3038</v>
      </c>
      <c r="C5" s="3471">
        <v>9.8000000000000004E-2</v>
      </c>
      <c r="D5" s="3471">
        <v>8.6999999999999994E-2</v>
      </c>
      <c r="E5" s="3471">
        <v>8.6999999999999994E-2</v>
      </c>
      <c r="F5" s="3471">
        <v>9.8000000000000004E-2</v>
      </c>
      <c r="G5" s="3472">
        <v>9.5000000000000001E-2</v>
      </c>
    </row>
    <row r="6" spans="1:7">
      <c r="A6" s="3473" t="s">
        <v>990</v>
      </c>
      <c r="B6" s="3474" t="s">
        <v>3039</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3040</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3041</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2827</v>
      </c>
      <c r="C29" s="3483"/>
      <c r="D29" s="3479">
        <v>5.1999999999999998E-2</v>
      </c>
      <c r="E29" s="3479">
        <v>7.0000000000000007E-2</v>
      </c>
      <c r="F29" s="3483"/>
      <c r="G29" s="3481">
        <v>7.0999999999999994E-2</v>
      </c>
    </row>
    <row r="30" spans="1:7">
      <c r="A30" s="3484" t="s">
        <v>1145</v>
      </c>
      <c r="B30" s="3470" t="s">
        <v>3042</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3043</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2829</v>
      </c>
      <c r="C50" s="3475">
        <v>9.8000000000000004E-2</v>
      </c>
      <c r="D50" s="3475">
        <v>7.2999999999999995E-2</v>
      </c>
      <c r="E50" s="3475">
        <v>7.0999999999999994E-2</v>
      </c>
      <c r="F50" s="3486"/>
      <c r="G50" s="3476">
        <v>7.2999999999999995E-2</v>
      </c>
    </row>
    <row r="51" spans="1:7">
      <c r="A51" s="3485" t="s">
        <v>1145</v>
      </c>
      <c r="B51" s="3474" t="s">
        <v>2830</v>
      </c>
      <c r="C51" s="3475">
        <v>9.9000000000000005E-2</v>
      </c>
      <c r="D51" s="3475">
        <v>8.5000000000000006E-2</v>
      </c>
      <c r="E51" s="3475">
        <v>6.3E-2</v>
      </c>
      <c r="F51" s="3486"/>
      <c r="G51" s="3476">
        <v>9.6000000000000002E-2</v>
      </c>
    </row>
    <row r="52" spans="1:7">
      <c r="A52" s="3485" t="s">
        <v>1145</v>
      </c>
      <c r="B52" s="3474" t="s">
        <v>2831</v>
      </c>
      <c r="C52" s="3475">
        <v>7.3999999999999996E-2</v>
      </c>
      <c r="D52" s="3475">
        <v>9.6000000000000002E-2</v>
      </c>
      <c r="E52" s="3475">
        <v>0.05</v>
      </c>
      <c r="F52" s="3486"/>
      <c r="G52" s="3476">
        <v>9.8000000000000004E-2</v>
      </c>
    </row>
    <row r="53" spans="1:7">
      <c r="A53" s="3485" t="s">
        <v>1145</v>
      </c>
      <c r="B53" s="3474" t="s">
        <v>2832</v>
      </c>
      <c r="C53" s="3475">
        <v>8.5999999999999993E-2</v>
      </c>
      <c r="D53" s="3486"/>
      <c r="E53" s="3475">
        <v>9.1999999999999998E-2</v>
      </c>
      <c r="F53" s="3486"/>
      <c r="G53" s="3487"/>
    </row>
    <row r="54" spans="1:7" ht="14.25" thickBot="1">
      <c r="A54" s="3488" t="s">
        <v>1145</v>
      </c>
      <c r="B54" s="3478" t="s">
        <v>2833</v>
      </c>
      <c r="C54" s="3479">
        <v>9.6000000000000002E-2</v>
      </c>
      <c r="D54" s="3480"/>
      <c r="E54" s="3489"/>
      <c r="F54" s="3480"/>
      <c r="G54" s="3490"/>
    </row>
    <row r="55" spans="1:7">
      <c r="A55" s="3484" t="s">
        <v>853</v>
      </c>
      <c r="B55" s="3470" t="s">
        <v>3044</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2835</v>
      </c>
      <c r="C78" s="3475">
        <v>0.1</v>
      </c>
      <c r="D78" s="3475">
        <v>8.5000000000000006E-2</v>
      </c>
      <c r="E78" s="3475">
        <v>9.6000000000000002E-2</v>
      </c>
      <c r="F78" s="3486"/>
      <c r="G78" s="3476">
        <v>9.6000000000000002E-2</v>
      </c>
    </row>
    <row r="79" spans="1:7">
      <c r="A79" s="3485" t="s">
        <v>853</v>
      </c>
      <c r="B79" s="3474" t="s">
        <v>2836</v>
      </c>
      <c r="C79" s="3475">
        <v>0.05</v>
      </c>
      <c r="D79" s="3475">
        <v>9.6000000000000002E-2</v>
      </c>
      <c r="E79" s="3475">
        <v>9.5000000000000001E-2</v>
      </c>
      <c r="F79" s="3486"/>
      <c r="G79" s="3476">
        <v>9.8000000000000004E-2</v>
      </c>
    </row>
    <row r="80" spans="1:7">
      <c r="A80" s="3485" t="s">
        <v>853</v>
      </c>
      <c r="B80" s="3474" t="s">
        <v>2837</v>
      </c>
      <c r="C80" s="3475">
        <v>8.5999999999999993E-2</v>
      </c>
      <c r="D80" s="3491"/>
      <c r="E80" s="3475">
        <v>0.1</v>
      </c>
      <c r="F80" s="3486"/>
      <c r="G80" s="3487"/>
    </row>
    <row r="81" spans="1:7">
      <c r="A81" s="3485" t="s">
        <v>853</v>
      </c>
      <c r="B81" s="3474" t="s">
        <v>2838</v>
      </c>
      <c r="C81" s="3475">
        <v>9.6000000000000002E-2</v>
      </c>
      <c r="D81" s="3486"/>
      <c r="E81" s="3475">
        <v>9.8000000000000004E-2</v>
      </c>
      <c r="F81" s="3486"/>
      <c r="G81" s="3487"/>
    </row>
    <row r="82" spans="1:7">
      <c r="A82" s="3485" t="s">
        <v>853</v>
      </c>
      <c r="B82" s="3474" t="s">
        <v>2839</v>
      </c>
      <c r="C82" s="3491"/>
      <c r="D82" s="3486"/>
      <c r="E82" s="3475">
        <v>7.6999999999999999E-2</v>
      </c>
      <c r="F82" s="3486"/>
      <c r="G82" s="3487"/>
    </row>
    <row r="83" spans="1:7">
      <c r="A83" s="3485" t="s">
        <v>853</v>
      </c>
      <c r="B83" s="3474" t="s">
        <v>3045</v>
      </c>
      <c r="C83" s="3486"/>
      <c r="D83" s="3486"/>
      <c r="E83" s="3486"/>
      <c r="F83" s="3475">
        <v>0.1</v>
      </c>
      <c r="G83" s="3492"/>
    </row>
    <row r="84" spans="1:7">
      <c r="A84" s="3485" t="s">
        <v>853</v>
      </c>
      <c r="B84" s="3474" t="s">
        <v>3046</v>
      </c>
      <c r="C84" s="3486"/>
      <c r="D84" s="3486"/>
      <c r="E84" s="3486"/>
      <c r="F84" s="3475">
        <v>0.1</v>
      </c>
      <c r="G84" s="3492"/>
    </row>
    <row r="85" spans="1:7">
      <c r="A85" s="3485" t="s">
        <v>853</v>
      </c>
      <c r="B85" s="3474" t="s">
        <v>3047</v>
      </c>
      <c r="C85" s="3486"/>
      <c r="D85" s="3486"/>
      <c r="E85" s="3486"/>
      <c r="F85" s="3475">
        <v>0.1</v>
      </c>
      <c r="G85" s="3492"/>
    </row>
    <row r="86" spans="1:7" ht="14.25" thickBot="1">
      <c r="A86" s="3488" t="s">
        <v>853</v>
      </c>
      <c r="B86" s="3478" t="s">
        <v>3048</v>
      </c>
      <c r="C86" s="3479">
        <v>9.8000000000000004E-2</v>
      </c>
      <c r="D86" s="3479">
        <v>9.8000000000000004E-2</v>
      </c>
      <c r="E86" s="3479">
        <v>9.6000000000000002E-2</v>
      </c>
      <c r="F86" s="3489"/>
      <c r="G86" s="3481">
        <v>0.1</v>
      </c>
    </row>
    <row r="87" spans="1:7">
      <c r="A87" s="3484" t="s">
        <v>1152</v>
      </c>
      <c r="B87" s="3470" t="s">
        <v>3049</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2845</v>
      </c>
      <c r="C113" s="3475">
        <v>0.1</v>
      </c>
      <c r="D113" s="3475">
        <v>0.1</v>
      </c>
      <c r="E113" s="3486"/>
      <c r="F113" s="3486"/>
      <c r="G113" s="3476">
        <v>0.1</v>
      </c>
    </row>
    <row r="114" spans="1:7">
      <c r="A114" s="3485" t="s">
        <v>1152</v>
      </c>
      <c r="B114" s="3474" t="s">
        <v>2846</v>
      </c>
      <c r="C114" s="3475">
        <v>9.7000000000000003E-2</v>
      </c>
      <c r="D114" s="3475">
        <v>9.7000000000000003E-2</v>
      </c>
      <c r="E114" s="3486"/>
      <c r="F114" s="3486"/>
      <c r="G114" s="3476">
        <v>9.9000000000000005E-2</v>
      </c>
    </row>
    <row r="115" spans="1:7">
      <c r="A115" s="3485" t="s">
        <v>1152</v>
      </c>
      <c r="B115" s="3474" t="s">
        <v>2847</v>
      </c>
      <c r="C115" s="3475">
        <v>0.1</v>
      </c>
      <c r="D115" s="3475">
        <v>0.1</v>
      </c>
      <c r="E115" s="3486"/>
      <c r="F115" s="3486"/>
      <c r="G115" s="3476">
        <v>0.1</v>
      </c>
    </row>
    <row r="116" spans="1:7">
      <c r="A116" s="3485" t="s">
        <v>1152</v>
      </c>
      <c r="B116" s="3474" t="s">
        <v>2848</v>
      </c>
      <c r="C116" s="3475">
        <v>0.1</v>
      </c>
      <c r="D116" s="3475">
        <v>0.1</v>
      </c>
      <c r="E116" s="3486"/>
      <c r="F116" s="3486"/>
      <c r="G116" s="3476">
        <v>0.1</v>
      </c>
    </row>
    <row r="117" spans="1:7">
      <c r="A117" s="3485" t="s">
        <v>1152</v>
      </c>
      <c r="B117" s="3474" t="s">
        <v>2849</v>
      </c>
      <c r="C117" s="3475">
        <v>9.7000000000000003E-2</v>
      </c>
      <c r="D117" s="3475">
        <v>9.7000000000000003E-2</v>
      </c>
      <c r="E117" s="3486"/>
      <c r="F117" s="3486"/>
      <c r="G117" s="3476">
        <v>9.7000000000000003E-2</v>
      </c>
    </row>
    <row r="118" spans="1:7">
      <c r="A118" s="3485" t="s">
        <v>1152</v>
      </c>
      <c r="B118" s="3474" t="s">
        <v>2850</v>
      </c>
      <c r="C118" s="3475">
        <v>0.1</v>
      </c>
      <c r="D118" s="3475">
        <v>0.1</v>
      </c>
      <c r="E118" s="3486"/>
      <c r="F118" s="3486"/>
      <c r="G118" s="3476">
        <v>0.1</v>
      </c>
    </row>
    <row r="119" spans="1:7">
      <c r="A119" s="3485" t="s">
        <v>1152</v>
      </c>
      <c r="B119" s="3474" t="s">
        <v>2851</v>
      </c>
      <c r="C119" s="3475">
        <v>5.0999999999999997E-2</v>
      </c>
      <c r="D119" s="3475">
        <v>5.1999999999999998E-2</v>
      </c>
      <c r="E119" s="3486"/>
      <c r="F119" s="3491"/>
      <c r="G119" s="3476">
        <v>0.06</v>
      </c>
    </row>
    <row r="120" spans="1:7">
      <c r="A120" s="3485" t="s">
        <v>1152</v>
      </c>
      <c r="B120" s="3474" t="s">
        <v>3050</v>
      </c>
      <c r="C120" s="3486"/>
      <c r="D120" s="3486"/>
      <c r="E120" s="3486"/>
      <c r="F120" s="3475">
        <v>0.1</v>
      </c>
      <c r="G120" s="3492"/>
    </row>
    <row r="121" spans="1:7">
      <c r="A121" s="3485" t="s">
        <v>1152</v>
      </c>
      <c r="B121" s="3474" t="s">
        <v>3051</v>
      </c>
      <c r="C121" s="3486"/>
      <c r="D121" s="3486"/>
      <c r="E121" s="3486"/>
      <c r="F121" s="3475">
        <v>0.1</v>
      </c>
      <c r="G121" s="3492"/>
    </row>
    <row r="122" spans="1:7">
      <c r="A122" s="3485" t="s">
        <v>1152</v>
      </c>
      <c r="B122" s="3474" t="s">
        <v>3052</v>
      </c>
      <c r="C122" s="3475">
        <v>0.1</v>
      </c>
      <c r="D122" s="3475">
        <v>0.1</v>
      </c>
      <c r="E122" s="3475">
        <v>9.8000000000000004E-2</v>
      </c>
      <c r="F122" s="3475">
        <v>0.1</v>
      </c>
      <c r="G122" s="3476">
        <v>0.1</v>
      </c>
    </row>
    <row r="123" spans="1:7">
      <c r="A123" s="3485" t="s">
        <v>1152</v>
      </c>
      <c r="B123" s="3474" t="s">
        <v>2855</v>
      </c>
      <c r="C123" s="3475">
        <v>0.1</v>
      </c>
      <c r="D123" s="3475">
        <v>0.1</v>
      </c>
      <c r="E123" s="3475">
        <v>9.8000000000000004E-2</v>
      </c>
      <c r="F123" s="3475">
        <v>0.1</v>
      </c>
      <c r="G123" s="3476">
        <v>0.1</v>
      </c>
    </row>
    <row r="124" spans="1:7">
      <c r="A124" s="3485" t="s">
        <v>1152</v>
      </c>
      <c r="B124" s="3474" t="s">
        <v>2856</v>
      </c>
      <c r="C124" s="3475">
        <v>0.1</v>
      </c>
      <c r="D124" s="3475">
        <v>0.1</v>
      </c>
      <c r="E124" s="3475">
        <v>9.8000000000000004E-2</v>
      </c>
      <c r="F124" s="3491"/>
      <c r="G124" s="3476">
        <v>0.1</v>
      </c>
    </row>
    <row r="125" spans="1:7">
      <c r="A125" s="3485" t="s">
        <v>1152</v>
      </c>
      <c r="B125" s="3474" t="s">
        <v>2857</v>
      </c>
      <c r="C125" s="3475">
        <v>9.8000000000000004E-2</v>
      </c>
      <c r="D125" s="3475">
        <v>9.8000000000000004E-2</v>
      </c>
      <c r="E125" s="3475">
        <v>9.6000000000000002E-2</v>
      </c>
      <c r="F125" s="3491"/>
      <c r="G125" s="3476">
        <v>0.1</v>
      </c>
    </row>
    <row r="126" spans="1:7" ht="14.25" thickBot="1">
      <c r="A126" s="3488" t="s">
        <v>1152</v>
      </c>
      <c r="B126" s="3478" t="s">
        <v>3053</v>
      </c>
      <c r="C126" s="3479">
        <v>0.1</v>
      </c>
      <c r="D126" s="3479">
        <v>0.1</v>
      </c>
      <c r="E126" s="3479">
        <v>9.8000000000000004E-2</v>
      </c>
      <c r="F126" s="3479">
        <v>0.1</v>
      </c>
      <c r="G126" s="3481">
        <v>0.1</v>
      </c>
    </row>
    <row r="127" spans="1:7">
      <c r="A127" s="3484" t="s">
        <v>1153</v>
      </c>
      <c r="B127" s="3470" t="s">
        <v>3054</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3055</v>
      </c>
      <c r="C148" s="3475">
        <v>0.13</v>
      </c>
      <c r="D148" s="3475">
        <v>0.13</v>
      </c>
      <c r="E148" s="3475">
        <v>0.13</v>
      </c>
      <c r="F148" s="3486"/>
      <c r="G148" s="3476">
        <v>0.13</v>
      </c>
    </row>
    <row r="149" spans="1:7">
      <c r="A149" s="3485" t="s">
        <v>1153</v>
      </c>
      <c r="B149" s="3474" t="s">
        <v>3056</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2862</v>
      </c>
      <c r="C153" s="3475">
        <v>0.13</v>
      </c>
      <c r="D153" s="3475">
        <v>0.13</v>
      </c>
      <c r="E153" s="3475">
        <v>0.13</v>
      </c>
      <c r="F153" s="3475">
        <v>0.13</v>
      </c>
      <c r="G153" s="3476">
        <v>0.13</v>
      </c>
    </row>
    <row r="154" spans="1:7">
      <c r="A154" s="3485" t="s">
        <v>1153</v>
      </c>
      <c r="B154" s="3474" t="s">
        <v>3057</v>
      </c>
      <c r="C154" s="3475">
        <v>0.121</v>
      </c>
      <c r="D154" s="3475">
        <v>0.121</v>
      </c>
      <c r="E154" s="3475">
        <v>0.105</v>
      </c>
      <c r="F154" s="3475">
        <v>0.121</v>
      </c>
      <c r="G154" s="3476">
        <v>0.123</v>
      </c>
    </row>
    <row r="155" spans="1:7">
      <c r="A155" s="3485" t="s">
        <v>1153</v>
      </c>
      <c r="B155" s="3474" t="s">
        <v>2864</v>
      </c>
      <c r="C155" s="3475">
        <v>0.1</v>
      </c>
      <c r="D155" s="3475">
        <v>0.1</v>
      </c>
      <c r="E155" s="3475">
        <v>0.1</v>
      </c>
      <c r="F155" s="3475">
        <v>0.1</v>
      </c>
      <c r="G155" s="3476">
        <v>0.1</v>
      </c>
    </row>
    <row r="156" spans="1:7">
      <c r="A156" s="3485" t="s">
        <v>1153</v>
      </c>
      <c r="B156" s="3474" t="s">
        <v>3058</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3059</v>
      </c>
      <c r="C160" s="3475">
        <v>0.13</v>
      </c>
      <c r="D160" s="3475">
        <v>0.13</v>
      </c>
      <c r="E160" s="3475">
        <v>0.124</v>
      </c>
      <c r="F160" s="3475">
        <v>0.126</v>
      </c>
      <c r="G160" s="3476">
        <v>0.13</v>
      </c>
    </row>
    <row r="161" spans="1:7">
      <c r="A161" s="3485" t="s">
        <v>1153</v>
      </c>
      <c r="B161" s="3474" t="s">
        <v>2867</v>
      </c>
      <c r="C161" s="3475">
        <v>0.13</v>
      </c>
      <c r="D161" s="3475">
        <v>0.13</v>
      </c>
      <c r="E161" s="3475">
        <v>0.124</v>
      </c>
      <c r="F161" s="3475">
        <v>0.127</v>
      </c>
      <c r="G161" s="3476">
        <v>0.13</v>
      </c>
    </row>
    <row r="162" spans="1:7">
      <c r="A162" s="3485" t="s">
        <v>1153</v>
      </c>
      <c r="B162" s="3474" t="s">
        <v>2868</v>
      </c>
      <c r="C162" s="3475">
        <v>0.1</v>
      </c>
      <c r="D162" s="3475">
        <v>0.1</v>
      </c>
      <c r="E162" s="3475">
        <v>0.1</v>
      </c>
      <c r="F162" s="3475">
        <v>0.121</v>
      </c>
      <c r="G162" s="3476">
        <v>0.105</v>
      </c>
    </row>
    <row r="163" spans="1:7">
      <c r="A163" s="3485" t="s">
        <v>1153</v>
      </c>
      <c r="B163" s="3474" t="s">
        <v>2869</v>
      </c>
      <c r="C163" s="3475">
        <v>0.1</v>
      </c>
      <c r="D163" s="3475">
        <v>0.1</v>
      </c>
      <c r="E163" s="3475">
        <v>0.1</v>
      </c>
      <c r="F163" s="3475">
        <v>0.1</v>
      </c>
      <c r="G163" s="3476">
        <v>0.1</v>
      </c>
    </row>
    <row r="164" spans="1:7">
      <c r="A164" s="3485" t="s">
        <v>1153</v>
      </c>
      <c r="B164" s="3474" t="s">
        <v>2870</v>
      </c>
      <c r="C164" s="3491"/>
      <c r="D164" s="3491"/>
      <c r="E164" s="3491"/>
      <c r="F164" s="3475">
        <v>0.1</v>
      </c>
      <c r="G164" s="3487"/>
    </row>
    <row r="165" spans="1:7">
      <c r="A165" s="3485" t="s">
        <v>1153</v>
      </c>
      <c r="B165" s="3474" t="s">
        <v>3060</v>
      </c>
      <c r="C165" s="3475">
        <v>0.126</v>
      </c>
      <c r="D165" s="3475">
        <v>0.126</v>
      </c>
      <c r="E165" s="3475">
        <v>0.11899999999999999</v>
      </c>
      <c r="F165" s="3475">
        <v>0.13</v>
      </c>
      <c r="G165" s="3476">
        <v>0.128</v>
      </c>
    </row>
    <row r="166" spans="1:7">
      <c r="A166" s="3485" t="s">
        <v>1153</v>
      </c>
      <c r="B166" s="3474" t="s">
        <v>2872</v>
      </c>
      <c r="C166" s="3475">
        <v>0.129</v>
      </c>
      <c r="D166" s="3475">
        <v>0.129</v>
      </c>
      <c r="E166" s="3475">
        <v>0.123</v>
      </c>
      <c r="F166" s="3475">
        <v>0.128</v>
      </c>
      <c r="G166" s="3476">
        <v>0.13</v>
      </c>
    </row>
    <row r="167" spans="1:7">
      <c r="A167" s="3485" t="s">
        <v>1153</v>
      </c>
      <c r="B167" s="3474" t="s">
        <v>2873</v>
      </c>
      <c r="C167" s="3475">
        <v>0.125</v>
      </c>
      <c r="D167" s="3475">
        <v>0.125</v>
      </c>
      <c r="E167" s="3475">
        <v>0.11700000000000001</v>
      </c>
      <c r="F167" s="3475">
        <v>0.13</v>
      </c>
      <c r="G167" s="3476">
        <v>0.126</v>
      </c>
    </row>
    <row r="168" spans="1:7">
      <c r="A168" s="3485" t="s">
        <v>1153</v>
      </c>
      <c r="B168" s="3474" t="s">
        <v>2874</v>
      </c>
      <c r="C168" s="3475">
        <v>0.128</v>
      </c>
      <c r="D168" s="3475">
        <v>0.128</v>
      </c>
      <c r="E168" s="3475">
        <v>0.123</v>
      </c>
      <c r="F168" s="3486"/>
      <c r="G168" s="3476">
        <v>0.13</v>
      </c>
    </row>
    <row r="169" spans="1:7">
      <c r="A169" s="3485" t="s">
        <v>1153</v>
      </c>
      <c r="B169" s="3474" t="s">
        <v>3061</v>
      </c>
      <c r="C169" s="3491"/>
      <c r="D169" s="3491"/>
      <c r="E169" s="3491"/>
      <c r="F169" s="3475">
        <v>0.05</v>
      </c>
      <c r="G169" s="3487"/>
    </row>
    <row r="170" spans="1:7">
      <c r="A170" s="3485" t="s">
        <v>1153</v>
      </c>
      <c r="B170" s="3474" t="s">
        <v>3062</v>
      </c>
      <c r="C170" s="3491"/>
      <c r="D170" s="3491"/>
      <c r="E170" s="3491"/>
      <c r="F170" s="3475">
        <v>0.05</v>
      </c>
      <c r="G170" s="3487"/>
    </row>
    <row r="171" spans="1:7">
      <c r="A171" s="3485" t="s">
        <v>1153</v>
      </c>
      <c r="B171" s="3474" t="s">
        <v>3063</v>
      </c>
      <c r="C171" s="3491"/>
      <c r="D171" s="3491"/>
      <c r="E171" s="3491"/>
      <c r="F171" s="3475">
        <v>0.05</v>
      </c>
      <c r="G171" s="3492"/>
    </row>
    <row r="172" spans="1:7">
      <c r="A172" s="3485" t="s">
        <v>1153</v>
      </c>
      <c r="B172" s="3474" t="s">
        <v>3064</v>
      </c>
      <c r="C172" s="3491"/>
      <c r="D172" s="3491"/>
      <c r="E172" s="3491"/>
      <c r="F172" s="3475">
        <v>0.05</v>
      </c>
      <c r="G172" s="3492"/>
    </row>
    <row r="173" spans="1:7">
      <c r="A173" s="3485" t="s">
        <v>1153</v>
      </c>
      <c r="B173" s="3474" t="s">
        <v>3065</v>
      </c>
      <c r="C173" s="3491"/>
      <c r="D173" s="3491"/>
      <c r="E173" s="3491"/>
      <c r="F173" s="3475">
        <v>0.05</v>
      </c>
      <c r="G173" s="3487"/>
    </row>
    <row r="174" spans="1:7">
      <c r="A174" s="3485" t="s">
        <v>1153</v>
      </c>
      <c r="B174" s="3474" t="s">
        <v>3066</v>
      </c>
      <c r="C174" s="3491"/>
      <c r="D174" s="3491"/>
      <c r="E174" s="3491"/>
      <c r="F174" s="3475">
        <v>0.05</v>
      </c>
      <c r="G174" s="3487"/>
    </row>
    <row r="175" spans="1:7">
      <c r="A175" s="3485" t="s">
        <v>1153</v>
      </c>
      <c r="B175" s="3474" t="s">
        <v>3067</v>
      </c>
      <c r="C175" s="3491"/>
      <c r="D175" s="3491"/>
      <c r="E175" s="3491"/>
      <c r="F175" s="3475">
        <v>0.05</v>
      </c>
      <c r="G175" s="3487"/>
    </row>
    <row r="176" spans="1:7">
      <c r="A176" s="3485" t="s">
        <v>1153</v>
      </c>
      <c r="B176" s="3474" t="s">
        <v>3068</v>
      </c>
      <c r="C176" s="3491"/>
      <c r="D176" s="3491"/>
      <c r="E176" s="3491"/>
      <c r="F176" s="3475">
        <v>0.05</v>
      </c>
      <c r="G176" s="3487"/>
    </row>
    <row r="177" spans="1:7">
      <c r="A177" s="3485" t="s">
        <v>1153</v>
      </c>
      <c r="B177" s="3474" t="s">
        <v>3069</v>
      </c>
      <c r="C177" s="3486"/>
      <c r="D177" s="3486"/>
      <c r="E177" s="3486"/>
      <c r="F177" s="3475">
        <v>0.05</v>
      </c>
      <c r="G177" s="3492"/>
    </row>
    <row r="178" spans="1:7">
      <c r="A178" s="3485" t="s">
        <v>1153</v>
      </c>
      <c r="B178" s="3474" t="s">
        <v>3070</v>
      </c>
      <c r="C178" s="3486"/>
      <c r="D178" s="3486"/>
      <c r="E178" s="3486"/>
      <c r="F178" s="3475">
        <v>0.05</v>
      </c>
      <c r="G178" s="3492"/>
    </row>
    <row r="179" spans="1:7">
      <c r="A179" s="3485" t="s">
        <v>1153</v>
      </c>
      <c r="B179" s="3474" t="s">
        <v>3071</v>
      </c>
      <c r="C179" s="3486"/>
      <c r="D179" s="3486"/>
      <c r="E179" s="3486"/>
      <c r="F179" s="3475">
        <v>0.05</v>
      </c>
      <c r="G179" s="3492"/>
    </row>
    <row r="180" spans="1:7">
      <c r="A180" s="3485" t="s">
        <v>1153</v>
      </c>
      <c r="B180" s="3474" t="s">
        <v>3072</v>
      </c>
      <c r="C180" s="3486"/>
      <c r="D180" s="3486"/>
      <c r="E180" s="3486"/>
      <c r="F180" s="3475">
        <v>0.05</v>
      </c>
      <c r="G180" s="3492"/>
    </row>
    <row r="181" spans="1:7">
      <c r="A181" s="3485" t="s">
        <v>1153</v>
      </c>
      <c r="B181" s="3474" t="s">
        <v>3073</v>
      </c>
      <c r="C181" s="3486"/>
      <c r="D181" s="3486"/>
      <c r="E181" s="3486"/>
      <c r="F181" s="3475">
        <v>0.05</v>
      </c>
      <c r="G181" s="3492"/>
    </row>
    <row r="182" spans="1:7">
      <c r="A182" s="3485" t="s">
        <v>1153</v>
      </c>
      <c r="B182" s="3474" t="s">
        <v>3074</v>
      </c>
      <c r="C182" s="3486"/>
      <c r="D182" s="3486"/>
      <c r="E182" s="3486"/>
      <c r="F182" s="3475">
        <v>0.05</v>
      </c>
      <c r="G182" s="3492"/>
    </row>
    <row r="183" spans="1:7">
      <c r="A183" s="3485" t="s">
        <v>1153</v>
      </c>
      <c r="B183" s="3474" t="s">
        <v>3075</v>
      </c>
      <c r="C183" s="3486"/>
      <c r="D183" s="3486"/>
      <c r="E183" s="3486"/>
      <c r="F183" s="3475">
        <v>0.05</v>
      </c>
      <c r="G183" s="3492"/>
    </row>
    <row r="184" spans="1:7">
      <c r="A184" s="3485" t="s">
        <v>1153</v>
      </c>
      <c r="B184" s="3474" t="s">
        <v>3076</v>
      </c>
      <c r="C184" s="3486"/>
      <c r="D184" s="3486"/>
      <c r="E184" s="3486"/>
      <c r="F184" s="3475">
        <v>0.05</v>
      </c>
      <c r="G184" s="3492"/>
    </row>
    <row r="185" spans="1:7">
      <c r="A185" s="3485" t="s">
        <v>1153</v>
      </c>
      <c r="B185" s="3474" t="s">
        <v>3077</v>
      </c>
      <c r="C185" s="3486"/>
      <c r="D185" s="3486"/>
      <c r="E185" s="3486"/>
      <c r="F185" s="3475">
        <v>0.05</v>
      </c>
      <c r="G185" s="3492"/>
    </row>
    <row r="186" spans="1:7">
      <c r="A186" s="3485" t="s">
        <v>1153</v>
      </c>
      <c r="B186" s="3474" t="s">
        <v>3078</v>
      </c>
      <c r="C186" s="3486"/>
      <c r="D186" s="3486"/>
      <c r="E186" s="3486"/>
      <c r="F186" s="3475">
        <v>0.05</v>
      </c>
      <c r="G186" s="3492"/>
    </row>
    <row r="187" spans="1:7">
      <c r="A187" s="3485" t="s">
        <v>1153</v>
      </c>
      <c r="B187" s="3474" t="s">
        <v>3079</v>
      </c>
      <c r="C187" s="3486"/>
      <c r="D187" s="3486"/>
      <c r="E187" s="3486"/>
      <c r="F187" s="3475">
        <v>0.05</v>
      </c>
      <c r="G187" s="3492"/>
    </row>
    <row r="188" spans="1:7">
      <c r="A188" s="3485" t="s">
        <v>1153</v>
      </c>
      <c r="B188" s="3474" t="s">
        <v>3080</v>
      </c>
      <c r="C188" s="3486"/>
      <c r="D188" s="3486"/>
      <c r="E188" s="3486"/>
      <c r="F188" s="3475">
        <v>0.05</v>
      </c>
      <c r="G188" s="3492"/>
    </row>
    <row r="189" spans="1:7" ht="14.25" thickBot="1">
      <c r="A189" s="3488" t="s">
        <v>1153</v>
      </c>
      <c r="B189" s="3478" t="s">
        <v>3081</v>
      </c>
      <c r="C189" s="3480"/>
      <c r="D189" s="3480"/>
      <c r="E189" s="3480"/>
      <c r="F189" s="3479">
        <v>0.05</v>
      </c>
      <c r="G189" s="3493"/>
    </row>
    <row r="190" spans="1:7">
      <c r="A190" s="3484" t="s">
        <v>1154</v>
      </c>
      <c r="B190" s="3470" t="s">
        <v>3082</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3083</v>
      </c>
      <c r="C199" s="3475">
        <v>0.13</v>
      </c>
      <c r="D199" s="3475">
        <v>0.13</v>
      </c>
      <c r="E199" s="3475">
        <v>0.13</v>
      </c>
      <c r="F199" s="3475">
        <v>0.13</v>
      </c>
      <c r="G199" s="3476">
        <v>0.13</v>
      </c>
    </row>
    <row r="200" spans="1:7">
      <c r="A200" s="3485" t="s">
        <v>1154</v>
      </c>
      <c r="B200" s="3474" t="s">
        <v>2898</v>
      </c>
      <c r="C200" s="3491"/>
      <c r="D200" s="3491"/>
      <c r="E200" s="3491"/>
      <c r="F200" s="3475">
        <v>0.13</v>
      </c>
      <c r="G200" s="3487"/>
    </row>
    <row r="201" spans="1:7">
      <c r="A201" s="3485" t="s">
        <v>1154</v>
      </c>
      <c r="B201" s="3474" t="s">
        <v>3084</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3085</v>
      </c>
      <c r="C203" s="3475">
        <v>0.129</v>
      </c>
      <c r="D203" s="3475">
        <v>0.129</v>
      </c>
      <c r="E203" s="3475">
        <v>0.13</v>
      </c>
      <c r="F203" s="3475">
        <v>0.13</v>
      </c>
      <c r="G203" s="3476">
        <v>0.13</v>
      </c>
    </row>
    <row r="204" spans="1:7">
      <c r="A204" s="3485" t="s">
        <v>1154</v>
      </c>
      <c r="B204" s="3474" t="s">
        <v>2901</v>
      </c>
      <c r="C204" s="3475">
        <v>0.129</v>
      </c>
      <c r="D204" s="3475">
        <v>0.129</v>
      </c>
      <c r="E204" s="3475">
        <v>0.123</v>
      </c>
      <c r="F204" s="3475">
        <v>0.13</v>
      </c>
      <c r="G204" s="3476">
        <v>0.13</v>
      </c>
    </row>
    <row r="205" spans="1:7">
      <c r="A205" s="3485" t="s">
        <v>1154</v>
      </c>
      <c r="B205" s="3474" t="s">
        <v>2902</v>
      </c>
      <c r="C205" s="3475">
        <v>0.13</v>
      </c>
      <c r="D205" s="3475">
        <v>0.13</v>
      </c>
      <c r="E205" s="3475">
        <v>0.13</v>
      </c>
      <c r="F205" s="3475">
        <v>0.13</v>
      </c>
      <c r="G205" s="3476">
        <v>0.13</v>
      </c>
    </row>
    <row r="206" spans="1:7">
      <c r="A206" s="3485" t="s">
        <v>1154</v>
      </c>
      <c r="B206" s="3474" t="s">
        <v>2903</v>
      </c>
      <c r="C206" s="3475">
        <v>0.13</v>
      </c>
      <c r="D206" s="3475">
        <v>0.13</v>
      </c>
      <c r="E206" s="3475">
        <v>0.13</v>
      </c>
      <c r="F206" s="3475">
        <v>0.128</v>
      </c>
      <c r="G206" s="3476">
        <v>0.13</v>
      </c>
    </row>
    <row r="207" spans="1:7">
      <c r="A207" s="3485" t="s">
        <v>1154</v>
      </c>
      <c r="B207" s="3474" t="s">
        <v>2904</v>
      </c>
      <c r="C207" s="3475">
        <v>0.13</v>
      </c>
      <c r="D207" s="3475">
        <v>0.13</v>
      </c>
      <c r="E207" s="3475">
        <v>0.13</v>
      </c>
      <c r="F207" s="3475">
        <v>0.13</v>
      </c>
      <c r="G207" s="3476">
        <v>0.13</v>
      </c>
    </row>
    <row r="208" spans="1:7">
      <c r="A208" s="3485" t="s">
        <v>1154</v>
      </c>
      <c r="B208" s="3474" t="s">
        <v>3086</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2906</v>
      </c>
      <c r="C210" s="3475">
        <v>0.121</v>
      </c>
      <c r="D210" s="3475">
        <v>0.121</v>
      </c>
      <c r="E210" s="3475">
        <v>0.125</v>
      </c>
      <c r="F210" s="3475">
        <v>0.13</v>
      </c>
      <c r="G210" s="3476">
        <v>0.123</v>
      </c>
    </row>
    <row r="211" spans="1:7">
      <c r="A211" s="3485" t="s">
        <v>1154</v>
      </c>
      <c r="B211" s="3474" t="s">
        <v>3087</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3088</v>
      </c>
      <c r="C214" s="3475">
        <v>0.128</v>
      </c>
      <c r="D214" s="3475">
        <v>0.128</v>
      </c>
      <c r="E214" s="3475">
        <v>0.13</v>
      </c>
      <c r="F214" s="3475">
        <v>0.13</v>
      </c>
      <c r="G214" s="3476">
        <v>0.13</v>
      </c>
    </row>
    <row r="215" spans="1:7">
      <c r="A215" s="3485" t="s">
        <v>1154</v>
      </c>
      <c r="B215" s="3474" t="s">
        <v>3089</v>
      </c>
      <c r="C215" s="3475">
        <v>0.13</v>
      </c>
      <c r="D215" s="3475">
        <v>0.13</v>
      </c>
      <c r="E215" s="3475">
        <v>0.13</v>
      </c>
      <c r="F215" s="3475">
        <v>0.129</v>
      </c>
      <c r="G215" s="3476">
        <v>0.13</v>
      </c>
    </row>
    <row r="216" spans="1:7">
      <c r="A216" s="3485" t="s">
        <v>1154</v>
      </c>
      <c r="B216" s="3474" t="s">
        <v>3090</v>
      </c>
      <c r="C216" s="3475">
        <v>0.13</v>
      </c>
      <c r="D216" s="3475">
        <v>0.13</v>
      </c>
      <c r="E216" s="3475">
        <v>0.13</v>
      </c>
      <c r="F216" s="3475">
        <v>0.13</v>
      </c>
      <c r="G216" s="3476">
        <v>0.13</v>
      </c>
    </row>
    <row r="217" spans="1:7">
      <c r="A217" s="3485" t="s">
        <v>1154</v>
      </c>
      <c r="B217" s="3474" t="s">
        <v>2910</v>
      </c>
      <c r="C217" s="3475">
        <v>0.129</v>
      </c>
      <c r="D217" s="3475">
        <v>0.129</v>
      </c>
      <c r="E217" s="3475">
        <v>0.13</v>
      </c>
      <c r="F217" s="3475">
        <v>0.13</v>
      </c>
      <c r="G217" s="3476">
        <v>0.13</v>
      </c>
    </row>
    <row r="218" spans="1:7">
      <c r="A218" s="3485" t="s">
        <v>1154</v>
      </c>
      <c r="B218" s="3474" t="s">
        <v>3091</v>
      </c>
      <c r="C218" s="3486"/>
      <c r="D218" s="3486"/>
      <c r="E218" s="3486"/>
      <c r="F218" s="3475">
        <v>0.05</v>
      </c>
      <c r="G218" s="3492"/>
    </row>
    <row r="219" spans="1:7">
      <c r="A219" s="3485" t="s">
        <v>1154</v>
      </c>
      <c r="B219" s="3474" t="s">
        <v>3092</v>
      </c>
      <c r="C219" s="3486"/>
      <c r="D219" s="3486"/>
      <c r="E219" s="3486"/>
      <c r="F219" s="3475">
        <v>0.05</v>
      </c>
      <c r="G219" s="3492"/>
    </row>
    <row r="220" spans="1:7">
      <c r="A220" s="3485" t="s">
        <v>1154</v>
      </c>
      <c r="B220" s="3474" t="s">
        <v>3093</v>
      </c>
      <c r="C220" s="3486"/>
      <c r="D220" s="3486"/>
      <c r="E220" s="3486"/>
      <c r="F220" s="3475">
        <v>0.05</v>
      </c>
      <c r="G220" s="3492"/>
    </row>
    <row r="221" spans="1:7">
      <c r="A221" s="3485" t="s">
        <v>1154</v>
      </c>
      <c r="B221" s="3474" t="s">
        <v>3094</v>
      </c>
      <c r="C221" s="3486"/>
      <c r="D221" s="3486"/>
      <c r="E221" s="3486"/>
      <c r="F221" s="3475">
        <v>0.05</v>
      </c>
      <c r="G221" s="3492"/>
    </row>
    <row r="222" spans="1:7">
      <c r="A222" s="3485" t="s">
        <v>1154</v>
      </c>
      <c r="B222" s="3474" t="s">
        <v>3095</v>
      </c>
      <c r="C222" s="3486"/>
      <c r="D222" s="3486"/>
      <c r="E222" s="3486"/>
      <c r="F222" s="3475">
        <v>0.05</v>
      </c>
      <c r="G222" s="3492"/>
    </row>
    <row r="223" spans="1:7">
      <c r="A223" s="3485" t="s">
        <v>1154</v>
      </c>
      <c r="B223" s="3474" t="s">
        <v>3096</v>
      </c>
      <c r="C223" s="3486"/>
      <c r="D223" s="3486"/>
      <c r="E223" s="3486"/>
      <c r="F223" s="3475">
        <v>0.05</v>
      </c>
      <c r="G223" s="3492"/>
    </row>
    <row r="224" spans="1:7">
      <c r="A224" s="3485" t="s">
        <v>1154</v>
      </c>
      <c r="B224" s="3474" t="s">
        <v>3097</v>
      </c>
      <c r="C224" s="3486"/>
      <c r="D224" s="3486"/>
      <c r="E224" s="3486"/>
      <c r="F224" s="3475">
        <v>0.05</v>
      </c>
      <c r="G224" s="3492"/>
    </row>
    <row r="225" spans="1:7">
      <c r="A225" s="3485" t="s">
        <v>1154</v>
      </c>
      <c r="B225" s="3474" t="s">
        <v>3098</v>
      </c>
      <c r="C225" s="3486"/>
      <c r="D225" s="3486"/>
      <c r="E225" s="3486"/>
      <c r="F225" s="3475">
        <v>0.05</v>
      </c>
      <c r="G225" s="3492"/>
    </row>
    <row r="226" spans="1:7">
      <c r="A226" s="3485" t="s">
        <v>1154</v>
      </c>
      <c r="B226" s="3474" t="s">
        <v>3099</v>
      </c>
      <c r="C226" s="3486"/>
      <c r="D226" s="3486"/>
      <c r="E226" s="3486"/>
      <c r="F226" s="3475">
        <v>0.05</v>
      </c>
      <c r="G226" s="3492"/>
    </row>
    <row r="227" spans="1:7">
      <c r="A227" s="3485" t="s">
        <v>1154</v>
      </c>
      <c r="B227" s="3474" t="s">
        <v>3100</v>
      </c>
      <c r="C227" s="3486"/>
      <c r="D227" s="3486"/>
      <c r="E227" s="3486"/>
      <c r="F227" s="3475">
        <v>0.05</v>
      </c>
      <c r="G227" s="3492"/>
    </row>
    <row r="228" spans="1:7">
      <c r="A228" s="3485" t="s">
        <v>1154</v>
      </c>
      <c r="B228" s="3474" t="s">
        <v>3101</v>
      </c>
      <c r="C228" s="3486"/>
      <c r="D228" s="3486"/>
      <c r="E228" s="3486"/>
      <c r="F228" s="3475">
        <v>0.05</v>
      </c>
      <c r="G228" s="3492"/>
    </row>
    <row r="229" spans="1:7">
      <c r="A229" s="3485" t="s">
        <v>1154</v>
      </c>
      <c r="B229" s="3474" t="s">
        <v>3102</v>
      </c>
      <c r="C229" s="3486"/>
      <c r="D229" s="3486"/>
      <c r="E229" s="3486"/>
      <c r="F229" s="3475">
        <v>0.05</v>
      </c>
      <c r="G229" s="3492"/>
    </row>
    <row r="230" spans="1:7">
      <c r="A230" s="3485" t="s">
        <v>1154</v>
      </c>
      <c r="B230" s="3474" t="s">
        <v>3103</v>
      </c>
      <c r="C230" s="3486"/>
      <c r="D230" s="3486"/>
      <c r="E230" s="3486"/>
      <c r="F230" s="3475">
        <v>0.05</v>
      </c>
      <c r="G230" s="3492"/>
    </row>
    <row r="231" spans="1:7">
      <c r="A231" s="3485" t="s">
        <v>1154</v>
      </c>
      <c r="B231" s="3474" t="s">
        <v>3104</v>
      </c>
      <c r="C231" s="3486"/>
      <c r="D231" s="3486"/>
      <c r="E231" s="3486"/>
      <c r="F231" s="3475">
        <v>0.05</v>
      </c>
      <c r="G231" s="3492"/>
    </row>
    <row r="232" spans="1:7">
      <c r="A232" s="3485" t="s">
        <v>1154</v>
      </c>
      <c r="B232" s="3474" t="s">
        <v>3105</v>
      </c>
      <c r="C232" s="3486"/>
      <c r="D232" s="3486"/>
      <c r="E232" s="3486"/>
      <c r="F232" s="3475">
        <v>0.05</v>
      </c>
      <c r="G232" s="3492"/>
    </row>
    <row r="233" spans="1:7" ht="14.25" thickBot="1">
      <c r="A233" s="3488" t="s">
        <v>1154</v>
      </c>
      <c r="B233" s="3478" t="s">
        <v>3106</v>
      </c>
      <c r="C233" s="3480"/>
      <c r="D233" s="3480"/>
      <c r="E233" s="3480"/>
      <c r="F233" s="3479">
        <v>0.05</v>
      </c>
      <c r="G233" s="3493"/>
    </row>
    <row r="234" spans="1:7">
      <c r="A234" s="3484" t="s">
        <v>1155</v>
      </c>
      <c r="B234" s="3470" t="s">
        <v>3107</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2928</v>
      </c>
      <c r="C238" s="3475">
        <v>0.14899999999999999</v>
      </c>
      <c r="D238" s="3475">
        <v>0.14899999999999999</v>
      </c>
      <c r="E238" s="3475">
        <v>0.15</v>
      </c>
      <c r="F238" s="3475">
        <v>0.15</v>
      </c>
      <c r="G238" s="3476">
        <v>0.15</v>
      </c>
    </row>
    <row r="239" spans="1:7">
      <c r="A239" s="3485" t="s">
        <v>1155</v>
      </c>
      <c r="B239" s="3474" t="s">
        <v>3108</v>
      </c>
      <c r="C239" s="3475">
        <v>0.15</v>
      </c>
      <c r="D239" s="3475">
        <v>0.15</v>
      </c>
      <c r="E239" s="3475">
        <v>0.15</v>
      </c>
      <c r="F239" s="3475">
        <v>0.15</v>
      </c>
      <c r="G239" s="3476">
        <v>0.15</v>
      </c>
    </row>
    <row r="240" spans="1:7">
      <c r="A240" s="3485" t="s">
        <v>1155</v>
      </c>
      <c r="B240" s="3474" t="s">
        <v>3109</v>
      </c>
      <c r="C240" s="3475">
        <v>0.15</v>
      </c>
      <c r="D240" s="3475">
        <v>0.15</v>
      </c>
      <c r="E240" s="3475">
        <v>0.15</v>
      </c>
      <c r="F240" s="3475">
        <v>0.15</v>
      </c>
      <c r="G240" s="3476">
        <v>0.15</v>
      </c>
    </row>
    <row r="241" spans="1:7">
      <c r="A241" s="3485" t="s">
        <v>1155</v>
      </c>
      <c r="B241" s="3474" t="s">
        <v>3110</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3111</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3112</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3113</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3114</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3115</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2937</v>
      </c>
      <c r="C258" s="3475">
        <v>0.14299999999999999</v>
      </c>
      <c r="D258" s="3475">
        <v>0.14299999999999999</v>
      </c>
      <c r="E258" s="3475">
        <v>0.15</v>
      </c>
      <c r="F258" s="3475">
        <v>0.14799999999999999</v>
      </c>
      <c r="G258" s="3476">
        <v>0.14599999999999999</v>
      </c>
    </row>
    <row r="259" spans="1:7">
      <c r="A259" s="3485" t="s">
        <v>1155</v>
      </c>
      <c r="B259" s="3474" t="s">
        <v>3116</v>
      </c>
      <c r="C259" s="3475">
        <v>0.14399999999999999</v>
      </c>
      <c r="D259" s="3475">
        <v>0.14399999999999999</v>
      </c>
      <c r="E259" s="3475">
        <v>0.14899999999999999</v>
      </c>
      <c r="F259" s="3475">
        <v>0.14699999999999999</v>
      </c>
      <c r="G259" s="3476">
        <v>0.14599999999999999</v>
      </c>
    </row>
    <row r="260" spans="1:7">
      <c r="A260" s="3485" t="s">
        <v>1155</v>
      </c>
      <c r="B260" s="3474" t="s">
        <v>3117</v>
      </c>
      <c r="C260" s="3475">
        <v>0.109</v>
      </c>
      <c r="D260" s="3475">
        <v>0.111</v>
      </c>
      <c r="E260" s="3475">
        <v>0.13100000000000001</v>
      </c>
      <c r="F260" s="3475">
        <v>0.126</v>
      </c>
      <c r="G260" s="3476">
        <v>0.11899999999999999</v>
      </c>
    </row>
    <row r="261" spans="1:7">
      <c r="A261" s="3485" t="s">
        <v>1155</v>
      </c>
      <c r="B261" s="3474" t="s">
        <v>3118</v>
      </c>
      <c r="C261" s="3475">
        <v>0.1</v>
      </c>
      <c r="D261" s="3475">
        <v>0.1</v>
      </c>
      <c r="E261" s="3475">
        <v>0.11799999999999999</v>
      </c>
      <c r="F261" s="3475">
        <v>0.108</v>
      </c>
      <c r="G261" s="3476">
        <v>0.107</v>
      </c>
    </row>
    <row r="262" spans="1:7">
      <c r="A262" s="3485" t="s">
        <v>1155</v>
      </c>
      <c r="B262" s="3474" t="s">
        <v>3119</v>
      </c>
      <c r="C262" s="3475">
        <v>0.1</v>
      </c>
      <c r="D262" s="3475">
        <v>0.1</v>
      </c>
      <c r="E262" s="3475">
        <v>0.1</v>
      </c>
      <c r="F262" s="3475">
        <v>0.14099999999999999</v>
      </c>
      <c r="G262" s="3476">
        <v>0.1</v>
      </c>
    </row>
    <row r="263" spans="1:7">
      <c r="A263" s="3485" t="s">
        <v>1155</v>
      </c>
      <c r="B263" s="3474" t="s">
        <v>3120</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3121</v>
      </c>
      <c r="C265" s="3486"/>
      <c r="D265" s="3486"/>
      <c r="E265" s="3486"/>
      <c r="F265" s="3475">
        <v>0.05</v>
      </c>
      <c r="G265" s="3492"/>
    </row>
    <row r="266" spans="1:7">
      <c r="A266" s="3485" t="s">
        <v>1155</v>
      </c>
      <c r="B266" s="3474" t="s">
        <v>3122</v>
      </c>
      <c r="C266" s="3486"/>
      <c r="D266" s="3486"/>
      <c r="E266" s="3486"/>
      <c r="F266" s="3475">
        <v>0.05</v>
      </c>
      <c r="G266" s="3492"/>
    </row>
    <row r="267" spans="1:7">
      <c r="A267" s="3485" t="s">
        <v>1155</v>
      </c>
      <c r="B267" s="3474" t="s">
        <v>3123</v>
      </c>
      <c r="C267" s="3486"/>
      <c r="D267" s="3486"/>
      <c r="E267" s="3486"/>
      <c r="F267" s="3475">
        <v>0.05</v>
      </c>
      <c r="G267" s="3492"/>
    </row>
    <row r="268" spans="1:7">
      <c r="A268" s="3485" t="s">
        <v>1155</v>
      </c>
      <c r="B268" s="3474" t="s">
        <v>3124</v>
      </c>
      <c r="C268" s="3486"/>
      <c r="D268" s="3486"/>
      <c r="E268" s="3486"/>
      <c r="F268" s="3475">
        <v>0.05</v>
      </c>
      <c r="G268" s="3492"/>
    </row>
    <row r="269" spans="1:7">
      <c r="A269" s="3485" t="s">
        <v>1155</v>
      </c>
      <c r="B269" s="3474" t="s">
        <v>3125</v>
      </c>
      <c r="C269" s="3486"/>
      <c r="D269" s="3486"/>
      <c r="E269" s="3486"/>
      <c r="F269" s="3475">
        <v>0.05</v>
      </c>
      <c r="G269" s="3492"/>
    </row>
    <row r="270" spans="1:7">
      <c r="A270" s="3485" t="s">
        <v>1155</v>
      </c>
      <c r="B270" s="3474" t="s">
        <v>3126</v>
      </c>
      <c r="C270" s="3486"/>
      <c r="D270" s="3486"/>
      <c r="E270" s="3486"/>
      <c r="F270" s="3475">
        <v>0.05</v>
      </c>
      <c r="G270" s="3492"/>
    </row>
    <row r="271" spans="1:7">
      <c r="A271" s="3485" t="s">
        <v>1155</v>
      </c>
      <c r="B271" s="3474" t="s">
        <v>3127</v>
      </c>
      <c r="C271" s="3486"/>
      <c r="D271" s="3486"/>
      <c r="E271" s="3486"/>
      <c r="F271" s="3475">
        <v>0.05</v>
      </c>
      <c r="G271" s="3492"/>
    </row>
    <row r="272" spans="1:7">
      <c r="A272" s="3485" t="s">
        <v>1155</v>
      </c>
      <c r="B272" s="3474" t="s">
        <v>3128</v>
      </c>
      <c r="C272" s="3486"/>
      <c r="D272" s="3486"/>
      <c r="E272" s="3486"/>
      <c r="F272" s="3475">
        <v>0.05</v>
      </c>
      <c r="G272" s="3492"/>
    </row>
    <row r="273" spans="1:7">
      <c r="A273" s="3485" t="s">
        <v>1155</v>
      </c>
      <c r="B273" s="3474" t="s">
        <v>3129</v>
      </c>
      <c r="C273" s="3486"/>
      <c r="D273" s="3486"/>
      <c r="E273" s="3486"/>
      <c r="F273" s="3475">
        <v>0.05</v>
      </c>
      <c r="G273" s="3492"/>
    </row>
    <row r="274" spans="1:7">
      <c r="A274" s="3485" t="s">
        <v>1155</v>
      </c>
      <c r="B274" s="3474" t="s">
        <v>3130</v>
      </c>
      <c r="C274" s="3486"/>
      <c r="D274" s="3486"/>
      <c r="E274" s="3486"/>
      <c r="F274" s="3475">
        <v>0.05</v>
      </c>
      <c r="G274" s="3492"/>
    </row>
    <row r="275" spans="1:7">
      <c r="A275" s="3485" t="s">
        <v>1155</v>
      </c>
      <c r="B275" s="3474" t="s">
        <v>3131</v>
      </c>
      <c r="C275" s="3486"/>
      <c r="D275" s="3486"/>
      <c r="E275" s="3486"/>
      <c r="F275" s="3475">
        <v>0.05</v>
      </c>
      <c r="G275" s="3492"/>
    </row>
    <row r="276" spans="1:7" ht="14.25" thickBot="1">
      <c r="A276" s="3488" t="s">
        <v>1155</v>
      </c>
      <c r="B276" s="3478" t="s">
        <v>3132</v>
      </c>
      <c r="C276" s="3480"/>
      <c r="D276" s="3480"/>
      <c r="E276" s="3480"/>
      <c r="F276" s="3479">
        <v>0.05</v>
      </c>
      <c r="G276" s="3493"/>
    </row>
    <row r="277" spans="1:7">
      <c r="A277" s="3484" t="s">
        <v>1156</v>
      </c>
      <c r="B277" s="3470" t="s">
        <v>3133</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3134</v>
      </c>
      <c r="C279" s="3475">
        <v>0.15</v>
      </c>
      <c r="D279" s="3475">
        <v>0.15</v>
      </c>
      <c r="E279" s="3475">
        <v>0.15</v>
      </c>
      <c r="F279" s="3475">
        <v>0.15</v>
      </c>
      <c r="G279" s="3476">
        <v>0.15</v>
      </c>
    </row>
    <row r="280" spans="1:7">
      <c r="A280" s="3485" t="s">
        <v>1156</v>
      </c>
      <c r="B280" s="3474" t="s">
        <v>3135</v>
      </c>
      <c r="C280" s="3475">
        <v>0.15</v>
      </c>
      <c r="D280" s="3475">
        <v>0.15</v>
      </c>
      <c r="E280" s="3475">
        <v>0.15</v>
      </c>
      <c r="F280" s="3475">
        <v>0.15</v>
      </c>
      <c r="G280" s="3476">
        <v>0.15</v>
      </c>
    </row>
    <row r="281" spans="1:7">
      <c r="A281" s="3485" t="s">
        <v>1156</v>
      </c>
      <c r="B281" s="3474" t="s">
        <v>3136</v>
      </c>
      <c r="C281" s="3475">
        <v>0.15</v>
      </c>
      <c r="D281" s="3475">
        <v>0.15</v>
      </c>
      <c r="E281" s="3475">
        <v>0.15</v>
      </c>
      <c r="F281" s="3475">
        <v>0.15</v>
      </c>
      <c r="G281" s="3476">
        <v>0.15</v>
      </c>
    </row>
    <row r="282" spans="1:7">
      <c r="A282" s="3485" t="s">
        <v>1156</v>
      </c>
      <c r="B282" s="3474" t="s">
        <v>3137</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3138</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3139</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2962</v>
      </c>
      <c r="C293" s="3475">
        <v>0.15</v>
      </c>
      <c r="D293" s="3475">
        <v>0.15</v>
      </c>
      <c r="E293" s="3475">
        <v>0.15</v>
      </c>
      <c r="F293" s="3475">
        <v>0.14499999999999999</v>
      </c>
      <c r="G293" s="3476">
        <v>0.15</v>
      </c>
    </row>
    <row r="294" spans="1:7">
      <c r="A294" s="3485" t="s">
        <v>1156</v>
      </c>
      <c r="B294" s="3474" t="s">
        <v>3140</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2964</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3141</v>
      </c>
      <c r="C302" s="3475">
        <v>0.15</v>
      </c>
      <c r="D302" s="3475">
        <v>0.15</v>
      </c>
      <c r="E302" s="3475">
        <v>0.15</v>
      </c>
      <c r="F302" s="3475">
        <v>0.14699999999999999</v>
      </c>
      <c r="G302" s="3476">
        <v>0.15</v>
      </c>
    </row>
    <row r="303" spans="1:7">
      <c r="A303" s="3485" t="s">
        <v>1156</v>
      </c>
      <c r="B303" s="3474" t="s">
        <v>2966</v>
      </c>
      <c r="C303" s="3475">
        <v>0.15</v>
      </c>
      <c r="D303" s="3475">
        <v>0.15</v>
      </c>
      <c r="E303" s="3475">
        <v>0.15</v>
      </c>
      <c r="F303" s="3475">
        <v>0.14199999999999999</v>
      </c>
      <c r="G303" s="3476">
        <v>0.15</v>
      </c>
    </row>
    <row r="304" spans="1:7">
      <c r="A304" s="3485" t="s">
        <v>1156</v>
      </c>
      <c r="B304" s="3474" t="s">
        <v>2967</v>
      </c>
      <c r="C304" s="3475">
        <v>0.15</v>
      </c>
      <c r="D304" s="3475">
        <v>0.15</v>
      </c>
      <c r="E304" s="3475">
        <v>0.15</v>
      </c>
      <c r="F304" s="3475">
        <v>0.14499999999999999</v>
      </c>
      <c r="G304" s="3476">
        <v>0.15</v>
      </c>
    </row>
    <row r="305" spans="1:7">
      <c r="A305" s="3485" t="s">
        <v>1156</v>
      </c>
      <c r="B305" s="3474" t="s">
        <v>2968</v>
      </c>
      <c r="C305" s="3475">
        <v>0.15</v>
      </c>
      <c r="D305" s="3475">
        <v>0.15</v>
      </c>
      <c r="E305" s="3475">
        <v>0.15</v>
      </c>
      <c r="F305" s="3475">
        <v>0.111</v>
      </c>
      <c r="G305" s="3476">
        <v>0.15</v>
      </c>
    </row>
    <row r="306" spans="1:7">
      <c r="A306" s="3485" t="s">
        <v>1156</v>
      </c>
      <c r="B306" s="3474" t="s">
        <v>3142</v>
      </c>
      <c r="C306" s="3475">
        <v>0.15</v>
      </c>
      <c r="D306" s="3475">
        <v>0.15</v>
      </c>
      <c r="E306" s="3475">
        <v>0.15</v>
      </c>
      <c r="F306" s="3475">
        <v>0.126</v>
      </c>
      <c r="G306" s="3476">
        <v>0.15</v>
      </c>
    </row>
    <row r="307" spans="1:7">
      <c r="A307" s="3485" t="s">
        <v>1156</v>
      </c>
      <c r="B307" s="3474" t="s">
        <v>2970</v>
      </c>
      <c r="C307" s="3475">
        <v>0.15</v>
      </c>
      <c r="D307" s="3475">
        <v>0.15</v>
      </c>
      <c r="E307" s="3475">
        <v>0.15</v>
      </c>
      <c r="F307" s="3475">
        <v>0.12</v>
      </c>
      <c r="G307" s="3476">
        <v>0.15</v>
      </c>
    </row>
    <row r="308" spans="1:7">
      <c r="A308" s="3485" t="s">
        <v>1156</v>
      </c>
      <c r="B308" s="3474" t="s">
        <v>3143</v>
      </c>
      <c r="C308" s="3475">
        <v>0.15</v>
      </c>
      <c r="D308" s="3475">
        <v>0.15</v>
      </c>
      <c r="E308" s="3475">
        <v>0.15</v>
      </c>
      <c r="F308" s="3475">
        <v>0.13</v>
      </c>
      <c r="G308" s="3476">
        <v>0.15</v>
      </c>
    </row>
    <row r="309" spans="1:7">
      <c r="A309" s="3485" t="s">
        <v>1156</v>
      </c>
      <c r="B309" s="3474" t="s">
        <v>3144</v>
      </c>
      <c r="C309" s="3475">
        <v>0.15</v>
      </c>
      <c r="D309" s="3475">
        <v>0.15</v>
      </c>
      <c r="E309" s="3475">
        <v>0.15</v>
      </c>
      <c r="F309" s="3475">
        <v>0.14099999999999999</v>
      </c>
      <c r="G309" s="3476">
        <v>0.15</v>
      </c>
    </row>
    <row r="310" spans="1:7">
      <c r="A310" s="3485" t="s">
        <v>1156</v>
      </c>
      <c r="B310" s="3474" t="s">
        <v>2973</v>
      </c>
      <c r="C310" s="3475">
        <v>0.15</v>
      </c>
      <c r="D310" s="3475">
        <v>0.15</v>
      </c>
      <c r="E310" s="3475">
        <v>0.15</v>
      </c>
      <c r="F310" s="3475">
        <v>0.15</v>
      </c>
      <c r="G310" s="3476">
        <v>0.15</v>
      </c>
    </row>
    <row r="311" spans="1:7">
      <c r="A311" s="3485" t="s">
        <v>1156</v>
      </c>
      <c r="B311" s="3474" t="s">
        <v>3145</v>
      </c>
      <c r="C311" s="3475">
        <v>0.13200000000000001</v>
      </c>
      <c r="D311" s="3475">
        <v>0.13300000000000001</v>
      </c>
      <c r="E311" s="3475">
        <v>0.14499999999999999</v>
      </c>
      <c r="F311" s="3475">
        <v>0.14199999999999999</v>
      </c>
      <c r="G311" s="3476">
        <v>0.14000000000000001</v>
      </c>
    </row>
    <row r="312" spans="1:7">
      <c r="A312" s="3485" t="s">
        <v>1156</v>
      </c>
      <c r="B312" s="3474" t="s">
        <v>2975</v>
      </c>
      <c r="C312" s="3475">
        <v>0.13800000000000001</v>
      </c>
      <c r="D312" s="3475">
        <v>0.14000000000000001</v>
      </c>
      <c r="E312" s="3475">
        <v>0.14599999999999999</v>
      </c>
      <c r="F312" s="3475">
        <v>0.14899999999999999</v>
      </c>
      <c r="G312" s="3476">
        <v>0.14199999999999999</v>
      </c>
    </row>
    <row r="313" spans="1:7">
      <c r="A313" s="3485" t="s">
        <v>1156</v>
      </c>
      <c r="B313" s="3474" t="s">
        <v>2976</v>
      </c>
      <c r="C313" s="3475">
        <v>0.125</v>
      </c>
      <c r="D313" s="3475">
        <v>0.127</v>
      </c>
      <c r="E313" s="3475">
        <v>0.14399999999999999</v>
      </c>
      <c r="F313" s="3475">
        <v>0.115</v>
      </c>
      <c r="G313" s="3476">
        <v>0.13600000000000001</v>
      </c>
    </row>
    <row r="314" spans="1:7">
      <c r="A314" s="3485" t="s">
        <v>1156</v>
      </c>
      <c r="B314" s="3474" t="s">
        <v>3146</v>
      </c>
      <c r="C314" s="3491"/>
      <c r="D314" s="3491"/>
      <c r="E314" s="3491"/>
      <c r="F314" s="3475">
        <v>0.05</v>
      </c>
      <c r="G314" s="3492"/>
    </row>
    <row r="315" spans="1:7">
      <c r="A315" s="3485" t="s">
        <v>1156</v>
      </c>
      <c r="B315" s="3474" t="s">
        <v>3147</v>
      </c>
      <c r="C315" s="3491"/>
      <c r="D315" s="3491"/>
      <c r="E315" s="3491"/>
      <c r="F315" s="3475">
        <v>0.05</v>
      </c>
      <c r="G315" s="3492"/>
    </row>
    <row r="316" spans="1:7">
      <c r="A316" s="3485" t="s">
        <v>1156</v>
      </c>
      <c r="B316" s="3474" t="s">
        <v>3148</v>
      </c>
      <c r="C316" s="3486"/>
      <c r="D316" s="3486"/>
      <c r="E316" s="3486"/>
      <c r="F316" s="3475">
        <v>0.05</v>
      </c>
      <c r="G316" s="3492"/>
    </row>
    <row r="317" spans="1:7">
      <c r="A317" s="3485" t="s">
        <v>1156</v>
      </c>
      <c r="B317" s="3474" t="s">
        <v>3149</v>
      </c>
      <c r="C317" s="3486"/>
      <c r="D317" s="3486"/>
      <c r="E317" s="3486"/>
      <c r="F317" s="3475">
        <v>0.05</v>
      </c>
      <c r="G317" s="3492"/>
    </row>
    <row r="318" spans="1:7">
      <c r="A318" s="3485" t="s">
        <v>1156</v>
      </c>
      <c r="B318" s="3474" t="s">
        <v>3150</v>
      </c>
      <c r="C318" s="3486"/>
      <c r="D318" s="3486"/>
      <c r="E318" s="3486"/>
      <c r="F318" s="3475">
        <v>0.05</v>
      </c>
      <c r="G318" s="3492"/>
    </row>
    <row r="319" spans="1:7">
      <c r="A319" s="3485" t="s">
        <v>1156</v>
      </c>
      <c r="B319" s="3474" t="s">
        <v>3151</v>
      </c>
      <c r="C319" s="3486"/>
      <c r="D319" s="3486"/>
      <c r="E319" s="3486"/>
      <c r="F319" s="3475">
        <v>0.05</v>
      </c>
      <c r="G319" s="3492"/>
    </row>
    <row r="320" spans="1:7">
      <c r="A320" s="3485" t="s">
        <v>1156</v>
      </c>
      <c r="B320" s="3474" t="s">
        <v>3152</v>
      </c>
      <c r="C320" s="3486"/>
      <c r="D320" s="3486"/>
      <c r="E320" s="3486"/>
      <c r="F320" s="3475">
        <v>0.05</v>
      </c>
      <c r="G320" s="3492"/>
    </row>
    <row r="321" spans="1:7">
      <c r="A321" s="3485" t="s">
        <v>1156</v>
      </c>
      <c r="B321" s="3474" t="s">
        <v>3153</v>
      </c>
      <c r="C321" s="3486"/>
      <c r="D321" s="3486"/>
      <c r="E321" s="3486"/>
      <c r="F321" s="3475">
        <v>0.05</v>
      </c>
      <c r="G321" s="3492"/>
    </row>
    <row r="322" spans="1:7">
      <c r="A322" s="3485" t="s">
        <v>1156</v>
      </c>
      <c r="B322" s="3474" t="s">
        <v>3154</v>
      </c>
      <c r="C322" s="3486"/>
      <c r="D322" s="3486"/>
      <c r="E322" s="3486"/>
      <c r="F322" s="3475">
        <v>0.05</v>
      </c>
      <c r="G322" s="3492"/>
    </row>
    <row r="323" spans="1:7">
      <c r="A323" s="3485" t="s">
        <v>1156</v>
      </c>
      <c r="B323" s="3474" t="s">
        <v>3155</v>
      </c>
      <c r="C323" s="3486"/>
      <c r="D323" s="3486"/>
      <c r="E323" s="3486"/>
      <c r="F323" s="3475">
        <v>0.05</v>
      </c>
      <c r="G323" s="3492"/>
    </row>
    <row r="324" spans="1:7">
      <c r="A324" s="3485" t="s">
        <v>1156</v>
      </c>
      <c r="B324" s="3474" t="s">
        <v>3156</v>
      </c>
      <c r="C324" s="3486"/>
      <c r="D324" s="3486"/>
      <c r="E324" s="3486"/>
      <c r="F324" s="3475">
        <v>0.05</v>
      </c>
      <c r="G324" s="3492"/>
    </row>
    <row r="325" spans="1:7">
      <c r="A325" s="3485" t="s">
        <v>1156</v>
      </c>
      <c r="B325" s="3474" t="s">
        <v>3157</v>
      </c>
      <c r="C325" s="3486"/>
      <c r="D325" s="3486"/>
      <c r="E325" s="3486"/>
      <c r="F325" s="3475">
        <v>0.05</v>
      </c>
      <c r="G325" s="3492"/>
    </row>
    <row r="326" spans="1:7" ht="14.25" thickBot="1">
      <c r="A326" s="3488" t="s">
        <v>1156</v>
      </c>
      <c r="B326" s="3478" t="s">
        <v>3158</v>
      </c>
      <c r="C326" s="3480"/>
      <c r="D326" s="3480"/>
      <c r="E326" s="3480"/>
      <c r="F326" s="3479">
        <v>0.05</v>
      </c>
      <c r="G326" s="3493"/>
    </row>
    <row r="327" spans="1:7">
      <c r="A327" s="3484" t="s">
        <v>1157</v>
      </c>
      <c r="B327" s="3470" t="s">
        <v>3159</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3160</v>
      </c>
      <c r="C329" s="3475">
        <v>0.15</v>
      </c>
      <c r="D329" s="3475">
        <v>0.15</v>
      </c>
      <c r="E329" s="3475">
        <v>0.15</v>
      </c>
      <c r="F329" s="3475">
        <v>0.15</v>
      </c>
      <c r="G329" s="3476">
        <v>0.15</v>
      </c>
    </row>
    <row r="330" spans="1:7">
      <c r="A330" s="3485" t="s">
        <v>1157</v>
      </c>
      <c r="B330" s="3474" t="s">
        <v>3161</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2993</v>
      </c>
      <c r="C332" s="3475">
        <v>0.15</v>
      </c>
      <c r="D332" s="3475">
        <v>0.15</v>
      </c>
      <c r="E332" s="3475">
        <v>0.15</v>
      </c>
      <c r="F332" s="3475">
        <v>0.15</v>
      </c>
      <c r="G332" s="3476">
        <v>0.15</v>
      </c>
    </row>
    <row r="333" spans="1:7">
      <c r="A333" s="3485" t="s">
        <v>1157</v>
      </c>
      <c r="B333" s="3474" t="s">
        <v>3162</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2995</v>
      </c>
      <c r="C336" s="3475">
        <v>0.15</v>
      </c>
      <c r="D336" s="3475">
        <v>0.15</v>
      </c>
      <c r="E336" s="3475">
        <v>0.15</v>
      </c>
      <c r="F336" s="3475">
        <v>0.14199999999999999</v>
      </c>
      <c r="G336" s="3476">
        <v>0.15</v>
      </c>
    </row>
    <row r="337" spans="1:7">
      <c r="A337" s="3485" t="s">
        <v>1157</v>
      </c>
      <c r="B337" s="3474" t="s">
        <v>3163</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3164</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3165</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2999</v>
      </c>
      <c r="C345" s="3475">
        <v>0.15</v>
      </c>
      <c r="D345" s="3475">
        <v>0.15</v>
      </c>
      <c r="E345" s="3475">
        <v>0.15</v>
      </c>
      <c r="F345" s="3475">
        <v>0.13800000000000001</v>
      </c>
      <c r="G345" s="3476">
        <v>0.15</v>
      </c>
    </row>
    <row r="346" spans="1:7">
      <c r="A346" s="3485" t="s">
        <v>1157</v>
      </c>
      <c r="B346" s="3474" t="s">
        <v>3166</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3001</v>
      </c>
      <c r="C348" s="3475">
        <v>0.15</v>
      </c>
      <c r="D348" s="3475">
        <v>0.15</v>
      </c>
      <c r="E348" s="3475">
        <v>0.15</v>
      </c>
      <c r="F348" s="3475">
        <v>0.14399999999999999</v>
      </c>
      <c r="G348" s="3476">
        <v>0.15</v>
      </c>
    </row>
    <row r="349" spans="1:7">
      <c r="A349" s="3485" t="s">
        <v>1157</v>
      </c>
      <c r="B349" s="3474" t="s">
        <v>3002</v>
      </c>
      <c r="C349" s="3475">
        <v>0.15</v>
      </c>
      <c r="D349" s="3475">
        <v>0.15</v>
      </c>
      <c r="E349" s="3475">
        <v>0.15</v>
      </c>
      <c r="F349" s="3475">
        <v>0.15</v>
      </c>
      <c r="G349" s="3476">
        <v>0.15</v>
      </c>
    </row>
    <row r="350" spans="1:7">
      <c r="A350" s="3485" t="s">
        <v>1157</v>
      </c>
      <c r="B350" s="3474" t="s">
        <v>3167</v>
      </c>
      <c r="C350" s="3475">
        <v>0.15</v>
      </c>
      <c r="D350" s="3475">
        <v>0.15</v>
      </c>
      <c r="E350" s="3475">
        <v>0.15</v>
      </c>
      <c r="F350" s="3475">
        <v>0.14699999999999999</v>
      </c>
      <c r="G350" s="3476">
        <v>0.15</v>
      </c>
    </row>
    <row r="351" spans="1:7">
      <c r="A351" s="3485" t="s">
        <v>1157</v>
      </c>
      <c r="B351" s="3474" t="s">
        <v>3004</v>
      </c>
      <c r="C351" s="3475">
        <v>0.15</v>
      </c>
      <c r="D351" s="3475">
        <v>0.15</v>
      </c>
      <c r="E351" s="3475">
        <v>0.15</v>
      </c>
      <c r="F351" s="3475">
        <v>0.13</v>
      </c>
      <c r="G351" s="3476">
        <v>0.15</v>
      </c>
    </row>
    <row r="352" spans="1:7">
      <c r="A352" s="3485" t="s">
        <v>1157</v>
      </c>
      <c r="B352" s="3474" t="s">
        <v>3005</v>
      </c>
      <c r="C352" s="3475">
        <v>0.15</v>
      </c>
      <c r="D352" s="3475">
        <v>0.15</v>
      </c>
      <c r="E352" s="3475">
        <v>0.15</v>
      </c>
      <c r="F352" s="3475">
        <v>0.14599999999999999</v>
      </c>
      <c r="G352" s="3476">
        <v>0.15</v>
      </c>
    </row>
    <row r="353" spans="1:7">
      <c r="A353" s="3485" t="s">
        <v>1157</v>
      </c>
      <c r="B353" s="3474" t="s">
        <v>3168</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3007</v>
      </c>
      <c r="C355" s="3475">
        <v>0.15</v>
      </c>
      <c r="D355" s="3475">
        <v>0.15</v>
      </c>
      <c r="E355" s="3475">
        <v>0.15</v>
      </c>
      <c r="F355" s="3475">
        <v>0.15</v>
      </c>
      <c r="G355" s="3476">
        <v>0.15</v>
      </c>
    </row>
    <row r="356" spans="1:7">
      <c r="A356" s="3485" t="s">
        <v>1157</v>
      </c>
      <c r="B356" s="3474" t="s">
        <v>3008</v>
      </c>
      <c r="C356" s="3475">
        <v>0.15</v>
      </c>
      <c r="D356" s="3475">
        <v>0.15</v>
      </c>
      <c r="E356" s="3475">
        <v>0.15</v>
      </c>
      <c r="F356" s="3475">
        <v>0.15</v>
      </c>
      <c r="G356" s="3476">
        <v>0.15</v>
      </c>
    </row>
    <row r="357" spans="1:7" ht="14.25" thickBot="1">
      <c r="A357" s="3488" t="s">
        <v>1157</v>
      </c>
      <c r="B357" s="3478" t="s">
        <v>3169</v>
      </c>
      <c r="C357" s="3479">
        <v>0.126</v>
      </c>
      <c r="D357" s="3479">
        <v>0.127</v>
      </c>
      <c r="E357" s="3479">
        <v>0.14299999999999999</v>
      </c>
      <c r="F357" s="3479">
        <v>0.125</v>
      </c>
      <c r="G357" s="3481">
        <v>0.129</v>
      </c>
    </row>
    <row r="358" spans="1:7">
      <c r="A358" s="3484" t="s">
        <v>3170</v>
      </c>
      <c r="B358" s="3470" t="s">
        <v>3171</v>
      </c>
      <c r="C358" s="3471">
        <v>0.15</v>
      </c>
      <c r="D358" s="3471">
        <v>0.15</v>
      </c>
      <c r="E358" s="3471">
        <v>0.15</v>
      </c>
      <c r="F358" s="3471">
        <v>0.15</v>
      </c>
      <c r="G358" s="3472">
        <v>0.15</v>
      </c>
    </row>
    <row r="359" spans="1:7">
      <c r="A359" s="3485" t="s">
        <v>3170</v>
      </c>
      <c r="B359" s="3474" t="s">
        <v>3172</v>
      </c>
      <c r="C359" s="3475">
        <v>0.1</v>
      </c>
      <c r="D359" s="3475">
        <v>0.1</v>
      </c>
      <c r="E359" s="3475">
        <v>0.1</v>
      </c>
      <c r="F359" s="3475">
        <v>0.1</v>
      </c>
      <c r="G359" s="3476">
        <v>0.1</v>
      </c>
    </row>
    <row r="360" spans="1:7">
      <c r="A360" s="3485" t="s">
        <v>3170</v>
      </c>
      <c r="B360" s="3474" t="s">
        <v>3173</v>
      </c>
      <c r="C360" s="3475">
        <v>0.15</v>
      </c>
      <c r="D360" s="3475">
        <v>0.15</v>
      </c>
      <c r="E360" s="3475">
        <v>0.15</v>
      </c>
      <c r="F360" s="3475">
        <v>0.14899999999999999</v>
      </c>
      <c r="G360" s="3476">
        <v>0.15</v>
      </c>
    </row>
    <row r="361" spans="1:7">
      <c r="A361" s="3485" t="s">
        <v>3170</v>
      </c>
      <c r="B361" s="3474" t="s">
        <v>999</v>
      </c>
      <c r="C361" s="3475">
        <v>0.15</v>
      </c>
      <c r="D361" s="3475">
        <v>0.15</v>
      </c>
      <c r="E361" s="3475">
        <v>0.15</v>
      </c>
      <c r="F361" s="3475">
        <v>0.115</v>
      </c>
      <c r="G361" s="3476">
        <v>0.15</v>
      </c>
    </row>
    <row r="362" spans="1:7">
      <c r="A362" s="3485" t="s">
        <v>3170</v>
      </c>
      <c r="B362" s="3474" t="s">
        <v>3174</v>
      </c>
      <c r="C362" s="3475">
        <v>0.15</v>
      </c>
      <c r="D362" s="3475">
        <v>0.15</v>
      </c>
      <c r="E362" s="3475">
        <v>0.15</v>
      </c>
      <c r="F362" s="3475">
        <v>0.106</v>
      </c>
      <c r="G362" s="3476">
        <v>0.15</v>
      </c>
    </row>
    <row r="363" spans="1:7">
      <c r="A363" s="3485" t="s">
        <v>3170</v>
      </c>
      <c r="B363" s="3474" t="s">
        <v>3014</v>
      </c>
      <c r="C363" s="3475">
        <v>0.15</v>
      </c>
      <c r="D363" s="3475">
        <v>0.15</v>
      </c>
      <c r="E363" s="3475">
        <v>0.15</v>
      </c>
      <c r="F363" s="3475">
        <v>0.14699999999999999</v>
      </c>
      <c r="G363" s="3476">
        <v>0.15</v>
      </c>
    </row>
    <row r="364" spans="1:7">
      <c r="A364" s="3485" t="s">
        <v>3170</v>
      </c>
      <c r="B364" s="3474" t="s">
        <v>3175</v>
      </c>
      <c r="C364" s="3475">
        <v>0.15</v>
      </c>
      <c r="D364" s="3475">
        <v>0.15</v>
      </c>
      <c r="E364" s="3475">
        <v>0.15</v>
      </c>
      <c r="F364" s="3475">
        <v>0.14799999999999999</v>
      </c>
      <c r="G364" s="3476">
        <v>0.15</v>
      </c>
    </row>
    <row r="365" spans="1:7">
      <c r="A365" s="3485" t="s">
        <v>3170</v>
      </c>
      <c r="B365" s="3474" t="s">
        <v>1047</v>
      </c>
      <c r="C365" s="3475">
        <v>0.15</v>
      </c>
      <c r="D365" s="3475">
        <v>0.15</v>
      </c>
      <c r="E365" s="3475">
        <v>0.15</v>
      </c>
      <c r="F365" s="3475">
        <v>0.15</v>
      </c>
      <c r="G365" s="3476">
        <v>0.15</v>
      </c>
    </row>
    <row r="366" spans="1:7">
      <c r="A366" s="3485" t="s">
        <v>3170</v>
      </c>
      <c r="B366" s="3474" t="s">
        <v>3016</v>
      </c>
      <c r="C366" s="3475">
        <v>0.15</v>
      </c>
      <c r="D366" s="3475">
        <v>0.15</v>
      </c>
      <c r="E366" s="3475">
        <v>0.15</v>
      </c>
      <c r="F366" s="3475">
        <v>0.15</v>
      </c>
      <c r="G366" s="3476">
        <v>0.15</v>
      </c>
    </row>
    <row r="367" spans="1:7">
      <c r="A367" s="3485" t="s">
        <v>3170</v>
      </c>
      <c r="B367" s="3474" t="s">
        <v>3176</v>
      </c>
      <c r="C367" s="3475">
        <v>0.15</v>
      </c>
      <c r="D367" s="3475">
        <v>0.15</v>
      </c>
      <c r="E367" s="3475">
        <v>0.15</v>
      </c>
      <c r="F367" s="3475">
        <v>0.14699999999999999</v>
      </c>
      <c r="G367" s="3476">
        <v>0.15</v>
      </c>
    </row>
    <row r="368" spans="1:7">
      <c r="A368" s="3485" t="s">
        <v>3170</v>
      </c>
      <c r="B368" s="3474" t="s">
        <v>3177</v>
      </c>
      <c r="C368" s="3475">
        <v>0.15</v>
      </c>
      <c r="D368" s="3475">
        <v>0.15</v>
      </c>
      <c r="E368" s="3475">
        <v>0.15</v>
      </c>
      <c r="F368" s="3475">
        <v>0.13600000000000001</v>
      </c>
      <c r="G368" s="3476">
        <v>0.15</v>
      </c>
    </row>
    <row r="369" spans="1:7">
      <c r="A369" s="3485" t="s">
        <v>3170</v>
      </c>
      <c r="B369" s="3474" t="s">
        <v>1061</v>
      </c>
      <c r="C369" s="3475">
        <v>0.15</v>
      </c>
      <c r="D369" s="3475">
        <v>0.15</v>
      </c>
      <c r="E369" s="3475">
        <v>0.15</v>
      </c>
      <c r="F369" s="3475">
        <v>0.14399999999999999</v>
      </c>
      <c r="G369" s="3476">
        <v>0.15</v>
      </c>
    </row>
    <row r="370" spans="1:7">
      <c r="A370" s="3485" t="s">
        <v>3170</v>
      </c>
      <c r="B370" s="3474" t="s">
        <v>1069</v>
      </c>
      <c r="C370" s="3475">
        <v>0.15</v>
      </c>
      <c r="D370" s="3475">
        <v>0.15</v>
      </c>
      <c r="E370" s="3475">
        <v>0.15</v>
      </c>
      <c r="F370" s="3475">
        <v>0.14599999999999999</v>
      </c>
      <c r="G370" s="3476">
        <v>0.15</v>
      </c>
    </row>
    <row r="371" spans="1:7">
      <c r="A371" s="3485" t="s">
        <v>3170</v>
      </c>
      <c r="B371" s="3474" t="s">
        <v>1077</v>
      </c>
      <c r="C371" s="3475">
        <v>0.15</v>
      </c>
      <c r="D371" s="3475">
        <v>0.15</v>
      </c>
      <c r="E371" s="3475">
        <v>0.15</v>
      </c>
      <c r="F371" s="3475">
        <v>0.12</v>
      </c>
      <c r="G371" s="3476">
        <v>0.15</v>
      </c>
    </row>
    <row r="372" spans="1:7">
      <c r="A372" s="3485" t="s">
        <v>3170</v>
      </c>
      <c r="B372" s="3474" t="s">
        <v>3178</v>
      </c>
      <c r="C372" s="3475">
        <v>0.15</v>
      </c>
      <c r="D372" s="3475">
        <v>0.15</v>
      </c>
      <c r="E372" s="3475">
        <v>0.15</v>
      </c>
      <c r="F372" s="3475">
        <v>0.14299999999999999</v>
      </c>
      <c r="G372" s="3476">
        <v>0.15</v>
      </c>
    </row>
    <row r="373" spans="1:7">
      <c r="A373" s="3485" t="s">
        <v>3170</v>
      </c>
      <c r="B373" s="3474" t="s">
        <v>1106</v>
      </c>
      <c r="C373" s="3475">
        <v>0.15</v>
      </c>
      <c r="D373" s="3475">
        <v>0.15</v>
      </c>
      <c r="E373" s="3475">
        <v>0.15</v>
      </c>
      <c r="F373" s="3475">
        <v>0.14599999999999999</v>
      </c>
      <c r="G373" s="3476">
        <v>0.15</v>
      </c>
    </row>
    <row r="374" spans="1:7">
      <c r="A374" s="3485" t="s">
        <v>3170</v>
      </c>
      <c r="B374" s="3474" t="s">
        <v>1114</v>
      </c>
      <c r="C374" s="3475">
        <v>0.15</v>
      </c>
      <c r="D374" s="3475">
        <v>0.15</v>
      </c>
      <c r="E374" s="3475">
        <v>0.15</v>
      </c>
      <c r="F374" s="3475">
        <v>0.14399999999999999</v>
      </c>
      <c r="G374" s="3476">
        <v>0.15</v>
      </c>
    </row>
    <row r="375" spans="1:7">
      <c r="A375" s="3485" t="s">
        <v>3170</v>
      </c>
      <c r="B375" s="3474" t="s">
        <v>3179</v>
      </c>
      <c r="C375" s="3475">
        <v>0.15</v>
      </c>
      <c r="D375" s="3475">
        <v>0.15</v>
      </c>
      <c r="E375" s="3475">
        <v>0.15</v>
      </c>
      <c r="F375" s="3475">
        <v>0.13</v>
      </c>
      <c r="G375" s="3476">
        <v>0.15</v>
      </c>
    </row>
    <row r="376" spans="1:7">
      <c r="A376" s="3485" t="s">
        <v>3170</v>
      </c>
      <c r="B376" s="3474" t="s">
        <v>1126</v>
      </c>
      <c r="C376" s="3475">
        <v>0.15</v>
      </c>
      <c r="D376" s="3475">
        <v>0.15</v>
      </c>
      <c r="E376" s="3475">
        <v>0.15</v>
      </c>
      <c r="F376" s="3475">
        <v>0.14199999999999999</v>
      </c>
      <c r="G376" s="3476">
        <v>0.15</v>
      </c>
    </row>
    <row r="377" spans="1:7" ht="14.25" thickBot="1">
      <c r="A377" s="3488" t="s">
        <v>3170</v>
      </c>
      <c r="B377" s="3478" t="s">
        <v>3021</v>
      </c>
      <c r="C377" s="3479">
        <v>0.15</v>
      </c>
      <c r="D377" s="3479">
        <v>0.15</v>
      </c>
      <c r="E377" s="3479">
        <v>0.15</v>
      </c>
      <c r="F377" s="3479">
        <v>0.14000000000000001</v>
      </c>
      <c r="G377" s="3481">
        <v>0.15</v>
      </c>
    </row>
    <row r="378" spans="1:7">
      <c r="A378" s="3484" t="s">
        <v>3180</v>
      </c>
      <c r="B378" s="3470" t="s">
        <v>3181</v>
      </c>
      <c r="C378" s="3471">
        <v>0.15</v>
      </c>
      <c r="D378" s="3471">
        <v>0.15</v>
      </c>
      <c r="E378" s="3471">
        <v>0.15</v>
      </c>
      <c r="F378" s="3471">
        <v>0.107</v>
      </c>
      <c r="G378" s="3472">
        <v>0.15</v>
      </c>
    </row>
    <row r="379" spans="1:7">
      <c r="A379" s="3485" t="s">
        <v>3180</v>
      </c>
      <c r="B379" s="3474" t="s">
        <v>3182</v>
      </c>
      <c r="C379" s="3475">
        <v>0.15</v>
      </c>
      <c r="D379" s="3475">
        <v>0.15</v>
      </c>
      <c r="E379" s="3475">
        <v>0.15</v>
      </c>
      <c r="F379" s="3475">
        <v>0.115</v>
      </c>
      <c r="G379" s="3476">
        <v>0.14899999999999999</v>
      </c>
    </row>
    <row r="380" spans="1:7">
      <c r="A380" s="3485" t="s">
        <v>3183</v>
      </c>
      <c r="B380" s="3474" t="s">
        <v>3184</v>
      </c>
      <c r="C380" s="3475">
        <v>0.15</v>
      </c>
      <c r="D380" s="3475">
        <v>0.15</v>
      </c>
      <c r="E380" s="3475">
        <v>0.15</v>
      </c>
      <c r="F380" s="3475">
        <v>0.1</v>
      </c>
      <c r="G380" s="3476">
        <v>0.14799999999999999</v>
      </c>
    </row>
    <row r="381" spans="1:7">
      <c r="A381" s="3485" t="s">
        <v>3183</v>
      </c>
      <c r="B381" s="3474" t="s">
        <v>3185</v>
      </c>
      <c r="C381" s="3475">
        <v>0.15</v>
      </c>
      <c r="D381" s="3475">
        <v>0.15</v>
      </c>
      <c r="E381" s="3475">
        <v>0.15</v>
      </c>
      <c r="F381" s="3475">
        <v>0.126</v>
      </c>
      <c r="G381" s="3476">
        <v>0.15</v>
      </c>
    </row>
    <row r="382" spans="1:7">
      <c r="A382" s="3485" t="s">
        <v>3183</v>
      </c>
      <c r="B382" s="3474" t="s">
        <v>3186</v>
      </c>
      <c r="C382" s="3475">
        <v>0.15</v>
      </c>
      <c r="D382" s="3475">
        <v>0.15</v>
      </c>
      <c r="E382" s="3475">
        <v>0.15</v>
      </c>
      <c r="F382" s="3475">
        <v>0.15</v>
      </c>
      <c r="G382" s="3476">
        <v>0.15</v>
      </c>
    </row>
    <row r="383" spans="1:7">
      <c r="A383" s="3485" t="s">
        <v>3183</v>
      </c>
      <c r="B383" s="3474" t="s">
        <v>3187</v>
      </c>
      <c r="C383" s="3475">
        <v>0.15</v>
      </c>
      <c r="D383" s="3475">
        <v>0.15</v>
      </c>
      <c r="E383" s="3475">
        <v>0.15</v>
      </c>
      <c r="F383" s="3475">
        <v>0.14699999999999999</v>
      </c>
      <c r="G383" s="3476">
        <v>0.15</v>
      </c>
    </row>
    <row r="384" spans="1:7" ht="14.25" thickBot="1">
      <c r="A384" s="3495" t="s">
        <v>3183</v>
      </c>
      <c r="B384" s="3496" t="s">
        <v>3188</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受贵公司委托，我公司对北京市划拨国有建设用地使用权进行了预评估。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59218.34平方米。根据《建设工程规划许可证》[]、《出让合同》[]，估价对象规划建筑面积为59218.34平方米。</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5" t="s">
        <v>1544</v>
      </c>
    </row>
    <row r="11" spans="1:4" ht="18.75">
      <c r="A11" s="1568" t="str">
        <f>TEXT(项目基本情况!D3,"yyyy年m月d日;;")&amp;IF(项目基本情况!B3=项目基本情况!D3,"（评估专业人员勘察现场之日）","")</f>
        <v>2024年3月31日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根据《国有土地使用证》[]，估价对象（分摊）出让国有建设用地使用权面积为59218.34平方米。根据《建设工程规划许可证》[]、《出让合同》[]，估价对象规划建筑面积为59218.34平方米。</v>
      </c>
    </row>
    <row r="21" spans="1:1" ht="18.75">
      <c r="A21" s="1579" t="s">
        <v>1592</v>
      </c>
    </row>
    <row r="22" spans="1:1" ht="18.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9" t="str">
        <f>IF(项目基本情况!A17="出让","本次评估设定估价对象剩余土地使用年限为"&amp;项目基本情况!D20&amp;"。","")</f>
        <v/>
      </c>
    </row>
    <row r="24" spans="1:1" ht="18.75">
      <c r="A24" s="1579" t="s">
        <v>1593</v>
      </c>
    </row>
    <row r="25" spans="1:1" ht="75">
      <c r="A25" s="1579" t="str">
        <f>定义!C53</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26" spans="1:1" ht="93.75">
      <c r="A26" s="1579" t="str">
        <f>IF(项目基本情况!B9="市场价格","——",IF(项目基本情况!E8="抵押价格",定义!C54,IF(项目基本情况!E8="已注销",定义!C55,定义!C56)))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4361" t="s">
        <v>1858</v>
      </c>
      <c r="C1" s="4361"/>
      <c r="D1" s="4361"/>
      <c r="E1" s="4361"/>
      <c r="F1" s="4361"/>
      <c r="G1" s="4360" t="s">
        <v>1859</v>
      </c>
      <c r="H1" s="4360"/>
      <c r="I1" s="4360"/>
      <c r="J1" s="4360"/>
      <c r="K1" s="4360"/>
      <c r="L1" s="4360"/>
      <c r="N1" s="4360" t="s">
        <v>1860</v>
      </c>
      <c r="O1" s="4360"/>
      <c r="P1" s="4360"/>
      <c r="Q1" s="4360"/>
      <c r="S1" s="4360" t="s">
        <v>1861</v>
      </c>
      <c r="T1" s="4360"/>
      <c r="U1" s="4360"/>
      <c r="V1" s="4360"/>
      <c r="X1" s="4359" t="s">
        <v>1921</v>
      </c>
      <c r="Y1" s="4360"/>
      <c r="Z1" s="4360"/>
      <c r="AA1" s="4360"/>
      <c r="AB1" s="4360"/>
      <c r="AD1" s="4359" t="s">
        <v>1925</v>
      </c>
      <c r="AE1" s="4360"/>
      <c r="AF1" s="4360"/>
      <c r="AG1" s="4360"/>
      <c r="AH1" s="4360"/>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2450</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2449</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2448</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2447</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2446</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2295</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2294</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2293</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2292</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4355">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4355"/>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4355"/>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4356"/>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4354">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4355"/>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4355"/>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4356"/>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4354">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4355"/>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4355"/>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4358"/>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4357">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4355"/>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4355"/>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4358"/>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4357">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4355"/>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4355"/>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4358"/>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4362">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4363"/>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4363"/>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4364"/>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4357">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4355"/>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4355"/>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4358"/>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4357">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4355">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4355">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4358">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4357">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4355">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4355">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4358">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4357">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4355">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4355">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4358">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4357">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4355">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4355">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4358">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4357">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4355">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4355">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4358">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4357">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4355">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4355">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4358">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4357">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4355">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4355">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4358">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4357">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4355">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4355">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4358">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4357">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4355">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4355">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4358">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4357">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4355">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4355">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4358">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I29" sqref="I29"/>
    </sheetView>
  </sheetViews>
  <sheetFormatPr defaultRowHeight="13.5"/>
  <cols>
    <col min="1" max="1" width="12.375" customWidth="1"/>
    <col min="11" max="17" width="0" hidden="1" customWidth="1"/>
    <col min="24" max="30" width="0" hidden="1" customWidth="1"/>
  </cols>
  <sheetData>
    <row r="1" spans="1:30">
      <c r="A1" s="3400">
        <f>基准地价!G23</f>
        <v>45382</v>
      </c>
      <c r="B1" s="3348" t="s">
        <v>2792</v>
      </c>
      <c r="C1" s="3349"/>
      <c r="D1" s="3349"/>
      <c r="E1" s="3349"/>
      <c r="F1" s="3349"/>
      <c r="G1" s="3349"/>
      <c r="H1" s="3349"/>
      <c r="I1" s="3349"/>
      <c r="J1" s="3350"/>
      <c r="K1" s="3349" t="s">
        <v>2793</v>
      </c>
      <c r="L1" s="3349"/>
      <c r="M1" s="3349"/>
      <c r="N1" s="3349"/>
      <c r="O1" s="3349"/>
      <c r="P1" s="3349"/>
      <c r="Q1" s="3350"/>
      <c r="R1" s="4365" t="s">
        <v>2802</v>
      </c>
      <c r="S1" s="4366"/>
      <c r="T1" s="4366"/>
      <c r="U1" s="4366"/>
      <c r="V1" s="4366"/>
      <c r="W1" s="4366"/>
      <c r="X1" s="3350"/>
      <c r="Y1" s="4365" t="s">
        <v>2813</v>
      </c>
      <c r="Z1" s="4366"/>
      <c r="AA1" s="4366"/>
      <c r="AB1" s="4366"/>
      <c r="AC1" s="4366"/>
      <c r="AD1" s="4366"/>
    </row>
    <row r="2" spans="1:30" ht="14.25" thickBot="1">
      <c r="A2" s="3341"/>
      <c r="B2" s="3351"/>
      <c r="C2" s="3352"/>
      <c r="D2" s="3353" t="s">
        <v>2795</v>
      </c>
      <c r="E2" s="3354" t="s">
        <v>2796</v>
      </c>
      <c r="F2" s="3354" t="s">
        <v>2797</v>
      </c>
      <c r="G2" s="3354" t="s">
        <v>2798</v>
      </c>
      <c r="H2" s="3354" t="s">
        <v>2799</v>
      </c>
      <c r="I2" s="3354" t="s">
        <v>2741</v>
      </c>
      <c r="J2" s="3355"/>
      <c r="K2" s="3353" t="s">
        <v>2795</v>
      </c>
      <c r="L2" s="3354" t="s">
        <v>2796</v>
      </c>
      <c r="M2" s="3354" t="s">
        <v>2797</v>
      </c>
      <c r="N2" s="3354" t="s">
        <v>2798</v>
      </c>
      <c r="O2" s="3354" t="s">
        <v>2799</v>
      </c>
      <c r="P2" s="3354" t="s">
        <v>2741</v>
      </c>
      <c r="Q2" s="3355"/>
      <c r="R2" s="3353" t="s">
        <v>2803</v>
      </c>
      <c r="S2" s="3354" t="s">
        <v>2804</v>
      </c>
      <c r="T2" s="3354" t="s">
        <v>2805</v>
      </c>
      <c r="U2" s="3354" t="s">
        <v>2806</v>
      </c>
      <c r="V2" s="3354" t="s">
        <v>2807</v>
      </c>
      <c r="W2" s="3354" t="s">
        <v>2808</v>
      </c>
      <c r="X2" s="3355"/>
      <c r="Y2" s="3353" t="s">
        <v>2795</v>
      </c>
      <c r="Z2" s="3354" t="s">
        <v>1470</v>
      </c>
      <c r="AA2" s="3354" t="s">
        <v>2814</v>
      </c>
      <c r="AB2" s="3354" t="s">
        <v>1469</v>
      </c>
      <c r="AC2" s="3354" t="s">
        <v>2799</v>
      </c>
      <c r="AD2" s="3354" t="s">
        <v>2458</v>
      </c>
    </row>
    <row r="3" spans="1:30">
      <c r="A3" s="3342" t="s">
        <v>2783</v>
      </c>
      <c r="B3" s="3356"/>
      <c r="C3" s="3357"/>
      <c r="D3" s="3357">
        <f>ROUND(AVERAGEIF(D4:D18,"&lt;&gt;0"),2)</f>
        <v>0.73</v>
      </c>
      <c r="E3" s="3357">
        <f>ROUND(AVERAGEIF(E4:E18,"&lt;&gt;0"),2)</f>
        <v>0.4</v>
      </c>
      <c r="F3" s="3357">
        <f>ROUND(AVERAGEIF(F4:F18,"&lt;&gt;0"),2)</f>
        <v>0.2</v>
      </c>
      <c r="G3" s="3357">
        <f>ROUND(AVERAGEIF(G4:G18,"&lt;&gt;0"),2)</f>
        <v>0.78</v>
      </c>
      <c r="H3" s="3357">
        <f>ROUND(AVERAGEIF(H4:H18,"&lt;&gt;0"),2)</f>
        <v>0.63</v>
      </c>
      <c r="I3" s="3357">
        <f>F3</f>
        <v>0.2</v>
      </c>
      <c r="J3" s="3358"/>
      <c r="K3" s="3359">
        <f>ROUND(AVERAGEIF(K4:K18,"&lt;&gt;0"),4)</f>
        <v>7.3000000000000001E-3</v>
      </c>
      <c r="L3" s="3360">
        <f>ROUND(AVERAGEIF(L4:L18,"&lt;&gt;0"),4)</f>
        <v>4.0000000000000001E-3</v>
      </c>
      <c r="M3" s="3360">
        <f>ROUND(AVERAGEIF(M4:M18,"&lt;&gt;0"),4)</f>
        <v>2E-3</v>
      </c>
      <c r="N3" s="3360">
        <f>ROUND(AVERAGEIF(N4:N18,"&lt;&gt;0"),4)</f>
        <v>7.7999999999999996E-3</v>
      </c>
      <c r="O3" s="3360">
        <f>ROUND(AVERAGEIF(O4:O18,"&lt;&gt;0"),4)</f>
        <v>6.3E-3</v>
      </c>
      <c r="P3" s="3360">
        <f>M3</f>
        <v>2E-3</v>
      </c>
      <c r="Q3" s="3358"/>
      <c r="R3" s="3375">
        <f>ROUND(SUMPRODUCT(PRODUCT(1+K4:K18)),4)</f>
        <v>1.0908</v>
      </c>
      <c r="S3" s="3376">
        <f>ROUND(SUMPRODUCT(PRODUCT(1+L4:L18)),4)</f>
        <v>1.0488</v>
      </c>
      <c r="T3" s="3376">
        <f>ROUND(SUMPRODUCT(PRODUCT(1+M4:M18)),4)</f>
        <v>1.024</v>
      </c>
      <c r="U3" s="3376">
        <f>ROUND(SUMPRODUCT(PRODUCT(1+N4:N18)),4)</f>
        <v>1.0980000000000001</v>
      </c>
      <c r="V3" s="3376">
        <f>ROUND(SUMPRODUCT(PRODUCT(1+O4:O18)),4)</f>
        <v>1.0779000000000001</v>
      </c>
      <c r="W3" s="3375">
        <f>T3</f>
        <v>1.024</v>
      </c>
      <c r="X3" s="3358"/>
      <c r="Y3" s="3383">
        <f>ROUND(AVERAGEIF(Y5:Y18,"&lt;&gt;0"),4)</f>
        <v>8.3999999999999995E-3</v>
      </c>
      <c r="Z3" s="3384">
        <f>ROUND(AVERAGEIF(Z5:Z18,"&lt;&gt;0"),4)</f>
        <v>3.7000000000000002E-3</v>
      </c>
      <c r="AA3" s="3385">
        <f>ROUND(AVERAGEIF(AA5:AA18,"&lt;&gt;0"),4)</f>
        <v>1.2999999999999999E-3</v>
      </c>
      <c r="AB3" s="3383">
        <f>ROUND(AVERAGEIF(AB5:AB18,"&lt;&gt;0"),4)</f>
        <v>9.1999999999999998E-3</v>
      </c>
      <c r="AC3" s="3386">
        <f>ROUND(AVERAGEIF(AC5:AC18,"&lt;&gt;0"),4)</f>
        <v>6.1999999999999998E-3</v>
      </c>
      <c r="AD3" s="3383">
        <f>AA3</f>
        <v>1.2999999999999999E-3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663" t="s">
        <v>3260</v>
      </c>
      <c r="B5" s="3403">
        <v>2024</v>
      </c>
      <c r="C5" s="3404">
        <v>2</v>
      </c>
      <c r="D5" s="3404">
        <v>0</v>
      </c>
      <c r="E5" s="3404">
        <v>0</v>
      </c>
      <c r="F5" s="3404">
        <v>0</v>
      </c>
      <c r="G5" s="3404">
        <v>0</v>
      </c>
      <c r="H5" s="3404">
        <v>0</v>
      </c>
      <c r="I5" s="3405">
        <f t="shared" ref="I5:I18" si="0">F5</f>
        <v>0</v>
      </c>
      <c r="J5" s="3365"/>
      <c r="K5" s="3366">
        <f t="shared" ref="K5:O18" si="1">D5/100</f>
        <v>0</v>
      </c>
      <c r="L5" s="3367">
        <f t="shared" si="1"/>
        <v>0</v>
      </c>
      <c r="M5" s="3367">
        <f t="shared" si="1"/>
        <v>0</v>
      </c>
      <c r="N5" s="3367">
        <f t="shared" si="1"/>
        <v>0</v>
      </c>
      <c r="O5" s="3367">
        <f t="shared" si="1"/>
        <v>0</v>
      </c>
      <c r="P5" s="3367">
        <f>M5</f>
        <v>0</v>
      </c>
      <c r="Q5" s="3365"/>
      <c r="R5" s="3381">
        <f>ROUND(IF(项目基本情况!$B$8="出让",SUMPRODUCT(PRODUCT(1+K5:$K$18)),SUMPRODUCT(PRODUCT(1+K5:$K$17))),4)</f>
        <v>1.0804</v>
      </c>
      <c r="S5" s="3381">
        <f>ROUND(IF(项目基本情况!$B$8="出让",SUMPRODUCT(PRODUCT(1+L5:$L$18)),SUMPRODUCT(PRODUCT(1+L5:$L$17))),4)</f>
        <v>1.0471999999999999</v>
      </c>
      <c r="T5" s="3381">
        <f>ROUND(IF(项目基本情况!$B$8="出让",SUMPRODUCT(PRODUCT(1+M5:$M$18)),SUMPRODUCT(PRODUCT(1+M5:$M$17))),4)</f>
        <v>1.0266</v>
      </c>
      <c r="U5" s="3381">
        <f>ROUND(IF(项目基本情况!$B$8="出让",SUMPRODUCT(PRODUCT(1+N5:$N$18)),SUMPRODUCT(PRODUCT(1+N5:$N$17))),4)</f>
        <v>1.0859000000000001</v>
      </c>
      <c r="V5" s="3381">
        <f>ROUND(IF(项目基本情况!$B$8="出让",SUMPRODUCT(PRODUCT(1+O5:$O$18)),SUMPRODUCT(PRODUCT(1+O5:$O$17))),4)</f>
        <v>1.0741000000000001</v>
      </c>
      <c r="W5" s="3381">
        <f>T5</f>
        <v>1.0266</v>
      </c>
      <c r="X5" s="3365"/>
      <c r="Y5" s="3390">
        <f>IF(D5=0,0,ROUND(AVERAGE(D5:D18)/100,4))</f>
        <v>0</v>
      </c>
      <c r="Z5" s="3390">
        <f>IF(E5=0,0,ROUND(AVERAGE(E5:E18)/100,4))</f>
        <v>0</v>
      </c>
      <c r="AA5" s="3390">
        <f>IF(F5=0,0,ROUND(AVERAGE(F5:F18)/100,4))</f>
        <v>0</v>
      </c>
      <c r="AB5" s="3390">
        <f>IF(G5=0,0,ROUND(AVERAGE(G5:G18)/100,4))</f>
        <v>0</v>
      </c>
      <c r="AC5" s="3390">
        <f>IF(H5=0,0,ROUND(AVERAGE(H5:H18)/100,4))</f>
        <v>0</v>
      </c>
      <c r="AD5" s="3390">
        <f t="shared" ref="AD5:AD17" si="2">AA5</f>
        <v>0</v>
      </c>
    </row>
    <row r="6" spans="1:30">
      <c r="A6" s="3663" t="s">
        <v>3261</v>
      </c>
      <c r="B6" s="3403">
        <v>2024</v>
      </c>
      <c r="C6" s="3404">
        <v>1</v>
      </c>
      <c r="D6" s="3404">
        <v>0</v>
      </c>
      <c r="E6" s="3404">
        <v>0</v>
      </c>
      <c r="F6" s="3404">
        <v>0</v>
      </c>
      <c r="G6" s="3404">
        <v>0</v>
      </c>
      <c r="H6" s="3410">
        <v>0</v>
      </c>
      <c r="I6" s="3405">
        <f t="shared" si="0"/>
        <v>0</v>
      </c>
      <c r="J6" s="3365"/>
      <c r="K6" s="3366">
        <f t="shared" ref="K6" si="3">D6/100</f>
        <v>0</v>
      </c>
      <c r="L6" s="3367">
        <f t="shared" ref="L6" si="4">E6/100</f>
        <v>0</v>
      </c>
      <c r="M6" s="3367">
        <f t="shared" ref="M6" si="5">F6/100</f>
        <v>0</v>
      </c>
      <c r="N6" s="3367">
        <f t="shared" ref="N6" si="6">G6/100</f>
        <v>0</v>
      </c>
      <c r="O6" s="3367">
        <f t="shared" ref="O6" si="7">H6/100</f>
        <v>0</v>
      </c>
      <c r="P6" s="3367">
        <f t="shared" ref="P6" si="8">M6</f>
        <v>0</v>
      </c>
      <c r="Q6" s="3365"/>
      <c r="R6" s="3381">
        <f>ROUND(IF(项目基本情况!$B$8="出让",SUMPRODUCT(PRODUCT(1+K6:$K$18)),SUMPRODUCT(PRODUCT(1+K6:$K$17))),4)</f>
        <v>1.0804</v>
      </c>
      <c r="S6" s="3381">
        <f>ROUND(IF(项目基本情况!$B$8="出让",SUMPRODUCT(PRODUCT(1+L6:$L$18)),SUMPRODUCT(PRODUCT(1+L6:$L$17))),4)</f>
        <v>1.0471999999999999</v>
      </c>
      <c r="T6" s="3381">
        <f>ROUND(IF(项目基本情况!$B$8="出让",SUMPRODUCT(PRODUCT(1+M6:$M$18)),SUMPRODUCT(PRODUCT(1+M6:$M$17))),4)</f>
        <v>1.0266</v>
      </c>
      <c r="U6" s="3381">
        <f>ROUND(IF(项目基本情况!$B$8="出让",SUMPRODUCT(PRODUCT(1+N6:$N$18)),SUMPRODUCT(PRODUCT(1+N6:$N$17))),4)</f>
        <v>1.0859000000000001</v>
      </c>
      <c r="V6" s="3381">
        <f>ROUND(IF(项目基本情况!$B$8="出让",SUMPRODUCT(PRODUCT(1+O6:$O$18)),SUMPRODUCT(PRODUCT(1+O6:$O$17))),4)</f>
        <v>1.0741000000000001</v>
      </c>
      <c r="W6" s="3381">
        <f t="shared" ref="W6" si="9">T6</f>
        <v>1.0266</v>
      </c>
      <c r="X6" s="3365"/>
      <c r="Y6" s="3390">
        <f t="shared" ref="Y6" si="10">IF(D6=0,0,ROUND(AVERAGE(D6:D17)/100,4))</f>
        <v>0</v>
      </c>
      <c r="Z6" s="3390">
        <f t="shared" ref="Z6" si="11">IF(E6=0,0,ROUND(AVERAGE(E6:E17)/100,4))</f>
        <v>0</v>
      </c>
      <c r="AA6" s="3390">
        <f t="shared" ref="AA6" si="12">IF(F6=0,0,ROUND(AVERAGE(F6:F17)/100,4))</f>
        <v>0</v>
      </c>
      <c r="AB6" s="3390">
        <f t="shared" ref="AB6" si="13">IF(G6=0,0,ROUND(AVERAGE(G6:G17)/100,4))</f>
        <v>0</v>
      </c>
      <c r="AC6" s="3390">
        <f t="shared" ref="AC6" si="14">IF(H6=0,0,ROUND(AVERAGE(H6:H17)/100,4))</f>
        <v>0</v>
      </c>
      <c r="AD6" s="3390">
        <f t="shared" ref="AD6" si="15">AA6</f>
        <v>0</v>
      </c>
    </row>
    <row r="7" spans="1:30">
      <c r="A7" s="3345" t="s">
        <v>3262</v>
      </c>
      <c r="B7" s="3406">
        <v>2023</v>
      </c>
      <c r="C7" s="3407">
        <v>4</v>
      </c>
      <c r="D7" s="3407">
        <v>0.19</v>
      </c>
      <c r="E7" s="3407">
        <v>0.24</v>
      </c>
      <c r="F7" s="3407">
        <v>-0.16</v>
      </c>
      <c r="G7" s="3407">
        <v>0.17</v>
      </c>
      <c r="H7" s="3408">
        <v>0.61</v>
      </c>
      <c r="I7" s="3409">
        <f t="shared" ref="I7" si="16">F7</f>
        <v>-0.16</v>
      </c>
      <c r="J7" s="3368"/>
      <c r="K7" s="3369">
        <f t="shared" si="1"/>
        <v>1.9E-3</v>
      </c>
      <c r="L7" s="3370">
        <f t="shared" si="1"/>
        <v>2.3999999999999998E-3</v>
      </c>
      <c r="M7" s="3370">
        <f t="shared" si="1"/>
        <v>-1.6000000000000001E-3</v>
      </c>
      <c r="N7" s="3370">
        <f t="shared" si="1"/>
        <v>1.7000000000000001E-3</v>
      </c>
      <c r="O7" s="3370">
        <f t="shared" si="1"/>
        <v>6.0999999999999995E-3</v>
      </c>
      <c r="P7" s="3370">
        <f t="shared" ref="P7" si="17">M7</f>
        <v>-1.6000000000000001E-3</v>
      </c>
      <c r="Q7" s="3368"/>
      <c r="R7" s="3368">
        <f>ROUND(IF(项目基本情况!$B$8="出让",SUMPRODUCT(PRODUCT(1+K7:$K$18)),SUMPRODUCT(PRODUCT(1+K7:$K$17))),4)</f>
        <v>1.0804</v>
      </c>
      <c r="S7" s="3368">
        <f>ROUND(IF(项目基本情况!$B$8="出让",SUMPRODUCT(PRODUCT(1+L7:$L$18)),SUMPRODUCT(PRODUCT(1+L7:$L$17))),4)</f>
        <v>1.0471999999999999</v>
      </c>
      <c r="T7" s="3368">
        <f>ROUND(IF(项目基本情况!$B$8="出让",SUMPRODUCT(PRODUCT(1+M7:$M$18)),SUMPRODUCT(PRODUCT(1+M7:$M$17))),4)</f>
        <v>1.0266</v>
      </c>
      <c r="U7" s="3368">
        <f>ROUND(IF(项目基本情况!$B$8="出让",SUMPRODUCT(PRODUCT(1+N7:$N$18)),SUMPRODUCT(PRODUCT(1+N7:$N$17))),4)</f>
        <v>1.0859000000000001</v>
      </c>
      <c r="V7" s="3368">
        <f>ROUND(IF(项目基本情况!$B$8="出让",SUMPRODUCT(PRODUCT(1+O7:$O$18)),SUMPRODUCT(PRODUCT(1+O7:$O$17))),4)</f>
        <v>1.0741000000000001</v>
      </c>
      <c r="W7" s="3368">
        <f t="shared" ref="W7" si="18">T7</f>
        <v>1.0266</v>
      </c>
      <c r="X7" s="3368"/>
      <c r="Y7" s="3370">
        <f t="shared" ref="Y7" si="19">IF(D7=0,0,ROUND(AVERAGE(D7:D18)/100,4))</f>
        <v>7.3000000000000001E-3</v>
      </c>
      <c r="Z7" s="3370">
        <f t="shared" ref="Z7" si="20">IF(E7=0,0,ROUND(AVERAGE(E7:E18)/100,4))</f>
        <v>4.0000000000000001E-3</v>
      </c>
      <c r="AA7" s="3370">
        <f t="shared" ref="AA7" si="21">IF(F7=0,0,ROUND(AVERAGE(F7:F18)/100,4))</f>
        <v>2E-3</v>
      </c>
      <c r="AB7" s="3370">
        <f t="shared" ref="AB7" si="22">IF(G7=0,0,ROUND(AVERAGE(G7:G18)/100,4))</f>
        <v>7.7999999999999996E-3</v>
      </c>
      <c r="AC7" s="3370">
        <f t="shared" ref="AC7" si="23">IF(H7=0,0,ROUND(AVERAGE(H7:H18)/100,4))</f>
        <v>6.3E-3</v>
      </c>
      <c r="AD7" s="3370">
        <f t="shared" si="2"/>
        <v>2E-3</v>
      </c>
    </row>
    <row r="8" spans="1:30">
      <c r="A8" s="3344" t="s">
        <v>3263</v>
      </c>
      <c r="B8" s="3403">
        <v>2023</v>
      </c>
      <c r="C8" s="3404">
        <v>3</v>
      </c>
      <c r="D8" s="3404">
        <v>0.25</v>
      </c>
      <c r="E8" s="3404">
        <v>0.5</v>
      </c>
      <c r="F8" s="3404">
        <v>0.31</v>
      </c>
      <c r="G8" s="3404">
        <v>0.21</v>
      </c>
      <c r="H8" s="3410">
        <v>0.43</v>
      </c>
      <c r="I8" s="3405">
        <f t="shared" si="0"/>
        <v>0.31</v>
      </c>
      <c r="J8" s="3365"/>
      <c r="K8" s="3366">
        <f t="shared" ref="K8:K10" si="24">D8/100</f>
        <v>2.5000000000000001E-3</v>
      </c>
      <c r="L8" s="3367">
        <f t="shared" ref="L8:L10" si="25">E8/100</f>
        <v>5.0000000000000001E-3</v>
      </c>
      <c r="M8" s="3367">
        <f t="shared" ref="M8:M10" si="26">F8/100</f>
        <v>3.0999999999999999E-3</v>
      </c>
      <c r="N8" s="3367">
        <f t="shared" ref="N8:N10" si="27">G8/100</f>
        <v>2.0999999999999999E-3</v>
      </c>
      <c r="O8" s="3367">
        <f t="shared" ref="O8:O10" si="28">H8/100</f>
        <v>4.3E-3</v>
      </c>
      <c r="P8" s="3367">
        <f t="shared" ref="P8:P10" si="29">M8</f>
        <v>3.0999999999999999E-3</v>
      </c>
      <c r="Q8" s="3365"/>
      <c r="R8" s="3381">
        <f>ROUND(IF(项目基本情况!$B$8="出让",SUMPRODUCT(PRODUCT(1+K8:$K$18)),SUMPRODUCT(PRODUCT(1+K8:$K$17))),4)</f>
        <v>1.0783</v>
      </c>
      <c r="S8" s="3381">
        <f>ROUND(IF(项目基本情况!$B$8="出让",SUMPRODUCT(PRODUCT(1+L8:$L$18)),SUMPRODUCT(PRODUCT(1+L8:$L$17))),4)</f>
        <v>1.0447</v>
      </c>
      <c r="T8" s="3381">
        <f>ROUND(IF(项目基本情况!$B$8="出让",SUMPRODUCT(PRODUCT(1+M8:$M$18)),SUMPRODUCT(PRODUCT(1+M8:$M$17))),4)</f>
        <v>1.0282</v>
      </c>
      <c r="U8" s="3381">
        <f>ROUND(IF(项目基本情况!$B$8="出让",SUMPRODUCT(PRODUCT(1+N8:$N$18)),SUMPRODUCT(PRODUCT(1+N8:$N$17))),4)</f>
        <v>1.0841000000000001</v>
      </c>
      <c r="V8" s="3381">
        <f>ROUND(IF(项目基本情况!$B$8="出让",SUMPRODUCT(PRODUCT(1+O8:$O$18)),SUMPRODUCT(PRODUCT(1+O8:$O$17))),4)</f>
        <v>1.0674999999999999</v>
      </c>
      <c r="W8" s="3381">
        <f t="shared" ref="W8:W10" si="30">T8</f>
        <v>1.0282</v>
      </c>
      <c r="X8" s="3365"/>
      <c r="Y8" s="3390">
        <f t="shared" ref="Y8:AC8" si="31">IF(D8=0,0,ROUND(AVERAGE(D8:D19)/100,4))</f>
        <v>7.7999999999999996E-3</v>
      </c>
      <c r="Z8" s="3390">
        <f t="shared" si="31"/>
        <v>4.1000000000000003E-3</v>
      </c>
      <c r="AA8" s="3390">
        <f t="shared" si="31"/>
        <v>2.3E-3</v>
      </c>
      <c r="AB8" s="3390">
        <f t="shared" si="31"/>
        <v>8.3999999999999995E-3</v>
      </c>
      <c r="AC8" s="3390">
        <f t="shared" si="31"/>
        <v>6.3E-3</v>
      </c>
      <c r="AD8" s="3390">
        <f t="shared" ref="AD8:AD10" si="32">AA8</f>
        <v>2.3E-3</v>
      </c>
    </row>
    <row r="9" spans="1:30">
      <c r="A9" s="3344" t="s">
        <v>3258</v>
      </c>
      <c r="B9" s="3403">
        <v>2023</v>
      </c>
      <c r="C9" s="3404">
        <v>2</v>
      </c>
      <c r="D9" s="3404">
        <v>0.91</v>
      </c>
      <c r="E9" s="3404">
        <v>0.66</v>
      </c>
      <c r="F9" s="3404">
        <v>0.47</v>
      </c>
      <c r="G9" s="3404">
        <v>0.96</v>
      </c>
      <c r="H9" s="3410">
        <v>0.71</v>
      </c>
      <c r="I9" s="3405">
        <f t="shared" si="0"/>
        <v>0.47</v>
      </c>
      <c r="J9" s="3365"/>
      <c r="K9" s="3366">
        <f t="shared" si="24"/>
        <v>9.1000000000000004E-3</v>
      </c>
      <c r="L9" s="3367">
        <f t="shared" si="25"/>
        <v>6.6E-3</v>
      </c>
      <c r="M9" s="3367">
        <f t="shared" si="26"/>
        <v>4.6999999999999993E-3</v>
      </c>
      <c r="N9" s="3367">
        <f t="shared" si="27"/>
        <v>9.5999999999999992E-3</v>
      </c>
      <c r="O9" s="3367">
        <f t="shared" si="28"/>
        <v>7.0999999999999995E-3</v>
      </c>
      <c r="P9" s="3367">
        <f t="shared" si="29"/>
        <v>4.6999999999999993E-3</v>
      </c>
      <c r="Q9" s="3365"/>
      <c r="R9" s="3381">
        <f>ROUND(IF(项目基本情况!$B$8="出让",SUMPRODUCT(PRODUCT(1+K9:$K$18)),SUMPRODUCT(PRODUCT(1+K9:$K$17))),4)</f>
        <v>1.0755999999999999</v>
      </c>
      <c r="S9" s="3381">
        <f>ROUND(IF(项目基本情况!$B$8="出让",SUMPRODUCT(PRODUCT(1+L9:$L$18)),SUMPRODUCT(PRODUCT(1+L9:$L$17))),4)</f>
        <v>1.0395000000000001</v>
      </c>
      <c r="T9" s="3381">
        <f>ROUND(IF(项目基本情况!$B$8="出让",SUMPRODUCT(PRODUCT(1+M9:$M$18)),SUMPRODUCT(PRODUCT(1+M9:$M$17))),4)</f>
        <v>1.0250999999999999</v>
      </c>
      <c r="U9" s="3381">
        <f>ROUND(IF(项目基本情况!$B$8="出让",SUMPRODUCT(PRODUCT(1+N9:$N$18)),SUMPRODUCT(PRODUCT(1+N9:$N$17))),4)</f>
        <v>1.0818000000000001</v>
      </c>
      <c r="V9" s="3381">
        <f>ROUND(IF(项目基本情况!$B$8="出让",SUMPRODUCT(PRODUCT(1+O9:$O$18)),SUMPRODUCT(PRODUCT(1+O9:$O$17))),4)</f>
        <v>1.0629999999999999</v>
      </c>
      <c r="W9" s="3381">
        <f t="shared" si="30"/>
        <v>1.0250999999999999</v>
      </c>
      <c r="X9" s="3365"/>
      <c r="Y9" s="3390">
        <f t="shared" ref="Y9:AC9" si="33">IF(D9=0,0,ROUND(AVERAGE(D9:D20)/100,4))</f>
        <v>8.3000000000000001E-3</v>
      </c>
      <c r="Z9" s="3390">
        <f t="shared" si="33"/>
        <v>4.0000000000000001E-3</v>
      </c>
      <c r="AA9" s="3390">
        <f t="shared" si="33"/>
        <v>2.2000000000000001E-3</v>
      </c>
      <c r="AB9" s="3390">
        <f t="shared" si="33"/>
        <v>8.9999999999999993E-3</v>
      </c>
      <c r="AC9" s="3390">
        <f t="shared" si="33"/>
        <v>6.4999999999999997E-3</v>
      </c>
      <c r="AD9" s="3390">
        <f t="shared" si="32"/>
        <v>2.2000000000000001E-3</v>
      </c>
    </row>
    <row r="10" spans="1:30">
      <c r="A10" s="3344" t="s">
        <v>3256</v>
      </c>
      <c r="B10" s="3403">
        <v>2023</v>
      </c>
      <c r="C10" s="3404">
        <v>1</v>
      </c>
      <c r="D10" s="3404">
        <v>0.89</v>
      </c>
      <c r="E10" s="3404">
        <v>0.74</v>
      </c>
      <c r="F10" s="3404">
        <v>0.56999999999999995</v>
      </c>
      <c r="G10" s="3404">
        <v>0.92</v>
      </c>
      <c r="H10" s="3410">
        <v>0.5</v>
      </c>
      <c r="I10" s="3405">
        <f t="shared" si="0"/>
        <v>0.56999999999999995</v>
      </c>
      <c r="J10" s="3365"/>
      <c r="K10" s="3366">
        <f t="shared" si="24"/>
        <v>8.8999999999999999E-3</v>
      </c>
      <c r="L10" s="3367">
        <f t="shared" si="25"/>
        <v>7.4000000000000003E-3</v>
      </c>
      <c r="M10" s="3367">
        <f t="shared" si="26"/>
        <v>5.6999999999999993E-3</v>
      </c>
      <c r="N10" s="3367">
        <f t="shared" si="27"/>
        <v>9.1999999999999998E-3</v>
      </c>
      <c r="O10" s="3367">
        <f t="shared" si="28"/>
        <v>5.0000000000000001E-3</v>
      </c>
      <c r="P10" s="3367">
        <f t="shared" si="29"/>
        <v>5.6999999999999993E-3</v>
      </c>
      <c r="Q10" s="3365"/>
      <c r="R10" s="3381">
        <f>ROUND(IF(项目基本情况!$B$8="出让",SUMPRODUCT(PRODUCT(1+K10:$K$18)),SUMPRODUCT(PRODUCT(1+K10:$K$17))),4)</f>
        <v>1.0659000000000001</v>
      </c>
      <c r="S10" s="3381">
        <f>ROUND(IF(项目基本情况!$B$8="出让",SUMPRODUCT(PRODUCT(1+L10:$L$18)),SUMPRODUCT(PRODUCT(1+L10:$L$17))),4)</f>
        <v>1.0326</v>
      </c>
      <c r="T10" s="3381">
        <f>ROUND(IF(项目基本情况!$B$8="出让",SUMPRODUCT(PRODUCT(1+M10:$M$18)),SUMPRODUCT(PRODUCT(1+M10:$M$17))),4)</f>
        <v>1.0203</v>
      </c>
      <c r="U10" s="3381">
        <f>ROUND(IF(项目基本情况!$B$8="出让",SUMPRODUCT(PRODUCT(1+N10:$N$18)),SUMPRODUCT(PRODUCT(1+N10:$N$17))),4)</f>
        <v>1.0714999999999999</v>
      </c>
      <c r="V10" s="3381">
        <f>ROUND(IF(项目基本情况!$B$8="出让",SUMPRODUCT(PRODUCT(1+O10:$O$18)),SUMPRODUCT(PRODUCT(1+O10:$O$17))),4)</f>
        <v>1.0555000000000001</v>
      </c>
      <c r="W10" s="3381">
        <f t="shared" si="30"/>
        <v>1.0203</v>
      </c>
      <c r="X10" s="3365"/>
      <c r="Y10" s="3390">
        <f t="shared" ref="Y10:AC10" si="34">IF(D10=0,0,ROUND(AVERAGE(D10:D21)/100,4))</f>
        <v>8.2000000000000007E-3</v>
      </c>
      <c r="Z10" s="3390">
        <f t="shared" si="34"/>
        <v>3.8E-3</v>
      </c>
      <c r="AA10" s="3390">
        <f t="shared" si="34"/>
        <v>2E-3</v>
      </c>
      <c r="AB10" s="3390">
        <f t="shared" si="34"/>
        <v>8.8999999999999999E-3</v>
      </c>
      <c r="AC10" s="3390">
        <f t="shared" si="34"/>
        <v>6.4000000000000003E-3</v>
      </c>
      <c r="AD10" s="3390">
        <f t="shared" si="32"/>
        <v>2E-3</v>
      </c>
    </row>
    <row r="11" spans="1:30">
      <c r="A11" s="3344" t="s">
        <v>3254</v>
      </c>
      <c r="B11" s="3403">
        <v>2022</v>
      </c>
      <c r="C11" s="3404">
        <v>4</v>
      </c>
      <c r="D11" s="3404">
        <v>0.62</v>
      </c>
      <c r="E11" s="3404">
        <v>0.2</v>
      </c>
      <c r="F11" s="3404">
        <v>0.11</v>
      </c>
      <c r="G11" s="3404">
        <v>0.69</v>
      </c>
      <c r="H11" s="3410">
        <v>0.53</v>
      </c>
      <c r="I11" s="3405">
        <f t="shared" si="0"/>
        <v>0.11</v>
      </c>
      <c r="J11" s="3365"/>
      <c r="K11" s="3366">
        <f t="shared" si="1"/>
        <v>6.1999999999999998E-3</v>
      </c>
      <c r="L11" s="3367">
        <f t="shared" si="1"/>
        <v>2E-3</v>
      </c>
      <c r="M11" s="3367">
        <f t="shared" si="1"/>
        <v>1.1000000000000001E-3</v>
      </c>
      <c r="N11" s="3367">
        <f t="shared" si="1"/>
        <v>6.8999999999999999E-3</v>
      </c>
      <c r="O11" s="3367">
        <f t="shared" si="1"/>
        <v>5.3E-3</v>
      </c>
      <c r="P11" s="3367">
        <f t="shared" ref="P11:P18" si="35">M11</f>
        <v>1.1000000000000001E-3</v>
      </c>
      <c r="Q11" s="3365"/>
      <c r="R11" s="3381">
        <f>ROUND(IF(项目基本情况!B8="出让",SUMPRODUCT(PRODUCT(1+K11:K18)),SUMPRODUCT(PRODUCT(1+K11:K17))),4)</f>
        <v>1.0565</v>
      </c>
      <c r="S11" s="3381">
        <f>ROUND(IF(项目基本情况!B8="出让",SUMPRODUCT(PRODUCT(1+L11:L18)),SUMPRODUCT(PRODUCT(1+L11:L17))),4)</f>
        <v>1.0250999999999999</v>
      </c>
      <c r="T11" s="3381">
        <f>ROUND(IF(项目基本情况!B8="出让",SUMPRODUCT(PRODUCT(1+M11:M18)),SUMPRODUCT(PRODUCT(1+M11:M17))),4)</f>
        <v>1.0145</v>
      </c>
      <c r="U11" s="3381">
        <f>ROUND(IF(项目基本情况!B8="出让",SUMPRODUCT(PRODUCT(1+N11:N18)),SUMPRODUCT(PRODUCT(1+N11:N17))),4)</f>
        <v>1.0618000000000001</v>
      </c>
      <c r="V11" s="3381">
        <f>ROUND(IF(项目基本情况!B8="出让",SUMPRODUCT(PRODUCT(1+O11:O18)),SUMPRODUCT(PRODUCT(1+O11:O17))),4)</f>
        <v>1.0502</v>
      </c>
      <c r="W11" s="3381">
        <f t="shared" ref="W11:W18" si="36">T11</f>
        <v>1.0145</v>
      </c>
      <c r="X11" s="3365"/>
      <c r="Y11" s="3390">
        <f>IF(D11=0,0,ROUND(AVERAGE(D11:D19)/100,4))</f>
        <v>8.0999999999999996E-3</v>
      </c>
      <c r="Z11" s="3390">
        <f>IF(E11=0,0,ROUND(AVERAGE(E11:E18)/100,4))</f>
        <v>3.3E-3</v>
      </c>
      <c r="AA11" s="3390">
        <f>IF(F11=0,0,ROUND(AVERAGE(F11:F18)/100,4))</f>
        <v>1.5E-3</v>
      </c>
      <c r="AB11" s="3390">
        <f>IF(G11=0,0,ROUND(AVERAGE(G11:G18)/100,4))</f>
        <v>8.8999999999999999E-3</v>
      </c>
      <c r="AC11" s="3390">
        <f>IF(H11=0,0,ROUND(AVERAGE(H11:H18)/100,4))</f>
        <v>6.6E-3</v>
      </c>
      <c r="AD11" s="3390">
        <f t="shared" si="2"/>
        <v>1.5E-3</v>
      </c>
    </row>
    <row r="12" spans="1:30">
      <c r="A12" s="3344" t="s">
        <v>3249</v>
      </c>
      <c r="B12" s="3403">
        <v>2022</v>
      </c>
      <c r="C12" s="3404">
        <v>3</v>
      </c>
      <c r="D12" s="3404">
        <v>0.66</v>
      </c>
      <c r="E12" s="3404">
        <v>0.32</v>
      </c>
      <c r="F12" s="3404">
        <v>0.23</v>
      </c>
      <c r="G12" s="3404">
        <v>0.72</v>
      </c>
      <c r="H12" s="3410">
        <v>0.63</v>
      </c>
      <c r="I12" s="3405">
        <f t="shared" si="0"/>
        <v>0.23</v>
      </c>
      <c r="J12" s="3365"/>
      <c r="K12" s="3366">
        <f t="shared" si="1"/>
        <v>6.6E-3</v>
      </c>
      <c r="L12" s="3367">
        <f t="shared" si="1"/>
        <v>3.2000000000000002E-3</v>
      </c>
      <c r="M12" s="3367">
        <f t="shared" si="1"/>
        <v>2.3E-3</v>
      </c>
      <c r="N12" s="3367">
        <f t="shared" si="1"/>
        <v>7.1999999999999998E-3</v>
      </c>
      <c r="O12" s="3367">
        <f t="shared" si="1"/>
        <v>6.3E-3</v>
      </c>
      <c r="P12" s="3367">
        <f t="shared" si="35"/>
        <v>2.3E-3</v>
      </c>
      <c r="Q12" s="3365"/>
      <c r="R12" s="3381">
        <f>ROUND(IF(项目基本情况!B8="出让",SUMPRODUCT(PRODUCT(1+K12:K18)),SUMPRODUCT(PRODUCT(1+K12:K17))),4)</f>
        <v>1.05</v>
      </c>
      <c r="S12" s="3381">
        <f>ROUND(IF(项目基本情况!B8="出让",SUMPRODUCT(PRODUCT(1+L12:L18)),SUMPRODUCT(PRODUCT(1+L12:L17))),4)</f>
        <v>1.0229999999999999</v>
      </c>
      <c r="T12" s="3381">
        <f>ROUND(IF(项目基本情况!B8="出让",SUMPRODUCT(PRODUCT(1+M12:M18)),SUMPRODUCT(PRODUCT(1+M12:M17))),4)</f>
        <v>1.0134000000000001</v>
      </c>
      <c r="U12" s="3381">
        <f>ROUND(IF(项目基本情况!B8="出让",SUMPRODUCT(PRODUCT(1+N12:N18)),SUMPRODUCT(PRODUCT(1+N12:N17))),4)</f>
        <v>1.0545</v>
      </c>
      <c r="V12" s="3381">
        <f>ROUND(IF(项目基本情况!B8="出让",SUMPRODUCT(PRODUCT(1+O12:O18)),SUMPRODUCT(PRODUCT(1+O12:O17))),4)</f>
        <v>1.0447</v>
      </c>
      <c r="W12" s="3381">
        <f t="shared" si="36"/>
        <v>1.0134000000000001</v>
      </c>
      <c r="X12" s="3365"/>
      <c r="Y12" s="3390">
        <f>IF(D12=0,0,ROUND(AVERAGE(D12:D18)/100,4))</f>
        <v>8.3999999999999995E-3</v>
      </c>
      <c r="Z12" s="3390">
        <f>IF(E12=0,0,ROUND(AVERAGE(E12:E18)/100,4))</f>
        <v>3.5000000000000001E-3</v>
      </c>
      <c r="AA12" s="3390">
        <f>IF(F12=0,0,ROUND(AVERAGE(F12:F18)/100,4))</f>
        <v>1.5E-3</v>
      </c>
      <c r="AB12" s="3390">
        <f>IF(G12=0,0,ROUND(AVERAGE(G12:G18)/100,4))</f>
        <v>9.1999999999999998E-3</v>
      </c>
      <c r="AC12" s="3390">
        <f>IF(H12=0,0,ROUND(AVERAGE(H12:H18)/100,4))</f>
        <v>6.7999999999999996E-3</v>
      </c>
      <c r="AD12" s="3390">
        <f t="shared" si="2"/>
        <v>1.5E-3</v>
      </c>
    </row>
    <row r="13" spans="1:30">
      <c r="A13" s="3344" t="s">
        <v>3250</v>
      </c>
      <c r="B13" s="3403">
        <v>2022</v>
      </c>
      <c r="C13" s="3404">
        <v>2</v>
      </c>
      <c r="D13" s="3404">
        <v>0.93</v>
      </c>
      <c r="E13" s="3404">
        <v>0.15</v>
      </c>
      <c r="F13" s="3404">
        <v>0.01</v>
      </c>
      <c r="G13" s="3404">
        <v>1.05</v>
      </c>
      <c r="H13" s="3410">
        <v>1.08</v>
      </c>
      <c r="I13" s="3405">
        <f t="shared" si="0"/>
        <v>0.01</v>
      </c>
      <c r="J13" s="3365"/>
      <c r="K13" s="3366">
        <f t="shared" si="1"/>
        <v>9.300000000000001E-3</v>
      </c>
      <c r="L13" s="3367">
        <f t="shared" si="1"/>
        <v>1.5E-3</v>
      </c>
      <c r="M13" s="3367">
        <f t="shared" si="1"/>
        <v>1E-4</v>
      </c>
      <c r="N13" s="3367">
        <f t="shared" si="1"/>
        <v>1.0500000000000001E-2</v>
      </c>
      <c r="O13" s="3367">
        <f t="shared" si="1"/>
        <v>1.0800000000000001E-2</v>
      </c>
      <c r="P13" s="3367">
        <f t="shared" si="35"/>
        <v>1E-4</v>
      </c>
      <c r="Q13" s="3365"/>
      <c r="R13" s="3381">
        <f>ROUND(IF(项目基本情况!B8="出让",SUMPRODUCT(PRODUCT(1+K13:K18)),SUMPRODUCT(PRODUCT(1+K13:K17))),4)</f>
        <v>1.0430999999999999</v>
      </c>
      <c r="S13" s="3381">
        <f>ROUND(IF(项目基本情况!B8="出让",SUMPRODUCT(PRODUCT(1+L13:L18)),SUMPRODUCT(PRODUCT(1+L13:L17))),4)</f>
        <v>1.0197000000000001</v>
      </c>
      <c r="T13" s="3381">
        <f>ROUND(IF(项目基本情况!B8="出让",SUMPRODUCT(PRODUCT(1+M13:M18)),SUMPRODUCT(PRODUCT(1+M13:M17))),4)</f>
        <v>1.0109999999999999</v>
      </c>
      <c r="U13" s="3381">
        <f>ROUND(IF(项目基本情况!B8="出让",SUMPRODUCT(PRODUCT(1+N13:N18)),SUMPRODUCT(PRODUCT(1+N13:N17))),4)</f>
        <v>1.0468999999999999</v>
      </c>
      <c r="V13" s="3381">
        <f>ROUND(IF(项目基本情况!B8="出让",SUMPRODUCT(PRODUCT(1+O13:O18)),SUMPRODUCT(PRODUCT(1+O13:O17))),4)</f>
        <v>1.0382</v>
      </c>
      <c r="W13" s="3381">
        <f t="shared" si="36"/>
        <v>1.0109999999999999</v>
      </c>
      <c r="X13" s="3365"/>
      <c r="Y13" s="3390">
        <f>IF(D13=0,0,ROUND(AVERAGE(D13:D18)/100,4))</f>
        <v>8.6999999999999994E-3</v>
      </c>
      <c r="Z13" s="3390">
        <f>IF(E13=0,0,ROUND(AVERAGE(E13:E18)/100,4))</f>
        <v>3.5000000000000001E-3</v>
      </c>
      <c r="AA13" s="3390">
        <f>IF(F13=0,0,ROUND(AVERAGE(F13:F18)/100,4))</f>
        <v>1.4E-3</v>
      </c>
      <c r="AB13" s="3390">
        <f>IF(G13=0,0,ROUND(AVERAGE(G13:G18)/100,4))</f>
        <v>9.4999999999999998E-3</v>
      </c>
      <c r="AC13" s="3390">
        <f>IF(H13=0,0,ROUND(AVERAGE(H13:H18)/100,4))</f>
        <v>6.8999999999999999E-3</v>
      </c>
      <c r="AD13" s="3390">
        <f t="shared" si="2"/>
        <v>1.4E-3</v>
      </c>
    </row>
    <row r="14" spans="1:30">
      <c r="A14" s="3344" t="s">
        <v>2784</v>
      </c>
      <c r="B14" s="3403">
        <v>2022</v>
      </c>
      <c r="C14" s="3404">
        <v>1</v>
      </c>
      <c r="D14" s="3404">
        <v>0.89</v>
      </c>
      <c r="E14" s="3404">
        <v>0.44</v>
      </c>
      <c r="F14" s="3404">
        <v>0.37</v>
      </c>
      <c r="G14" s="3404">
        <v>0.96</v>
      </c>
      <c r="H14" s="3410">
        <v>0.64</v>
      </c>
      <c r="I14" s="3405">
        <f t="shared" si="0"/>
        <v>0.37</v>
      </c>
      <c r="J14" s="3365"/>
      <c r="K14" s="3366">
        <f t="shared" si="1"/>
        <v>8.8999999999999999E-3</v>
      </c>
      <c r="L14" s="3367">
        <f t="shared" si="1"/>
        <v>4.4000000000000003E-3</v>
      </c>
      <c r="M14" s="3367">
        <f t="shared" si="1"/>
        <v>3.7000000000000002E-3</v>
      </c>
      <c r="N14" s="3367">
        <f t="shared" si="1"/>
        <v>9.5999999999999992E-3</v>
      </c>
      <c r="O14" s="3367">
        <f t="shared" si="1"/>
        <v>6.4000000000000003E-3</v>
      </c>
      <c r="P14" s="3367">
        <f t="shared" si="35"/>
        <v>3.7000000000000002E-3</v>
      </c>
      <c r="Q14" s="3365"/>
      <c r="R14" s="3381">
        <f>ROUND(IF(项目基本情况!B8="出让",SUMPRODUCT(PRODUCT(1+K14:K18)),SUMPRODUCT(PRODUCT(1+K14:K17))),4)</f>
        <v>1.0335000000000001</v>
      </c>
      <c r="S14" s="3381">
        <f>ROUND(IF(项目基本情况!B8="出让",SUMPRODUCT(PRODUCT(1+L14:L18)),SUMPRODUCT(PRODUCT(1+L14:L17))),4)</f>
        <v>1.0182</v>
      </c>
      <c r="T14" s="3381">
        <f>ROUND(IF(项目基本情况!B8="出让",SUMPRODUCT(PRODUCT(1+M14:M18)),SUMPRODUCT(PRODUCT(1+M14:M17))),4)</f>
        <v>1.0108999999999999</v>
      </c>
      <c r="U14" s="3381">
        <f>ROUND(IF(项目基本情况!B8="出让",SUMPRODUCT(PRODUCT(1+N14:N18)),SUMPRODUCT(PRODUCT(1+N14:N17))),4)</f>
        <v>1.0361</v>
      </c>
      <c r="V14" s="3381">
        <f>ROUND(IF(项目基本情况!B8="出让",SUMPRODUCT(PRODUCT(1+O14:O18)),SUMPRODUCT(PRODUCT(1+O14:O17))),4)</f>
        <v>1.0270999999999999</v>
      </c>
      <c r="W14" s="3381">
        <f t="shared" si="36"/>
        <v>1.0108999999999999</v>
      </c>
      <c r="X14" s="3365"/>
      <c r="Y14" s="3390">
        <f>IF(D14=0,0,ROUND(AVERAGE(D14:D18)/100,4))</f>
        <v>8.6E-3</v>
      </c>
      <c r="Z14" s="3390">
        <f>IF(E14=0,0,ROUND(AVERAGE(E14:E18)/100,4))</f>
        <v>3.8999999999999998E-3</v>
      </c>
      <c r="AA14" s="3390">
        <f>IF(F14=0,0,ROUND(AVERAGE(F14:F18)/100,4))</f>
        <v>1.6999999999999999E-3</v>
      </c>
      <c r="AB14" s="3390">
        <f>IF(G14=0,0,ROUND(AVERAGE(G14:G18)/100,4))</f>
        <v>9.2999999999999992E-3</v>
      </c>
      <c r="AC14" s="3390">
        <f>IF(H14=0,0,ROUND(AVERAGE(H14:H18)/100,4))</f>
        <v>6.1000000000000004E-3</v>
      </c>
      <c r="AD14" s="3390">
        <f t="shared" si="2"/>
        <v>1.6999999999999999E-3</v>
      </c>
    </row>
    <row r="15" spans="1:30">
      <c r="A15" s="3344" t="s">
        <v>2785</v>
      </c>
      <c r="B15" s="3403">
        <v>2021</v>
      </c>
      <c r="C15" s="3404">
        <v>4</v>
      </c>
      <c r="D15" s="3404">
        <v>1.03</v>
      </c>
      <c r="E15" s="3404">
        <v>0.24</v>
      </c>
      <c r="F15" s="3404">
        <v>7.0000000000000007E-2</v>
      </c>
      <c r="G15" s="3404">
        <v>1.17</v>
      </c>
      <c r="H15" s="3410">
        <v>0.55000000000000004</v>
      </c>
      <c r="I15" s="3405">
        <f t="shared" si="0"/>
        <v>7.0000000000000007E-2</v>
      </c>
      <c r="J15" s="3365"/>
      <c r="K15" s="3366">
        <f t="shared" si="1"/>
        <v>1.03E-2</v>
      </c>
      <c r="L15" s="3367">
        <f t="shared" si="1"/>
        <v>2.3999999999999998E-3</v>
      </c>
      <c r="M15" s="3367">
        <f t="shared" si="1"/>
        <v>7.000000000000001E-4</v>
      </c>
      <c r="N15" s="3367">
        <f t="shared" si="1"/>
        <v>1.1699999999999999E-2</v>
      </c>
      <c r="O15" s="3367">
        <f t="shared" si="1"/>
        <v>5.5000000000000005E-3</v>
      </c>
      <c r="P15" s="3367">
        <f t="shared" si="35"/>
        <v>7.000000000000001E-4</v>
      </c>
      <c r="Q15" s="3365"/>
      <c r="R15" s="3381">
        <f>ROUND(IF(项目基本情况!B8="出让",SUMPRODUCT(PRODUCT(1+K15:K18)),SUMPRODUCT(PRODUCT(1+K15:K17))),4)</f>
        <v>1.0244</v>
      </c>
      <c r="S15" s="3381">
        <f>ROUND(IF(项目基本情况!B8="出让",SUMPRODUCT(PRODUCT(1+L15:L18)),SUMPRODUCT(PRODUCT(1+L15:L17))),4)</f>
        <v>1.0138</v>
      </c>
      <c r="T15" s="3381">
        <f>ROUND(IF(项目基本情况!B8="出让",SUMPRODUCT(PRODUCT(1+M15:M18)),SUMPRODUCT(PRODUCT(1+M15:M17))),4)</f>
        <v>1.0072000000000001</v>
      </c>
      <c r="U15" s="3381">
        <f>ROUND(IF(项目基本情况!B8="出让",SUMPRODUCT(PRODUCT(1+N15:N18)),SUMPRODUCT(PRODUCT(1+N15:N17))),4)</f>
        <v>1.0262</v>
      </c>
      <c r="V15" s="3381">
        <f>ROUND(IF(项目基本情况!B8="出让",SUMPRODUCT(PRODUCT(1+O15:O18)),SUMPRODUCT(PRODUCT(1+O15:O17))),4)</f>
        <v>1.0205</v>
      </c>
      <c r="W15" s="3381">
        <f t="shared" si="36"/>
        <v>1.0072000000000001</v>
      </c>
      <c r="X15" s="3365"/>
      <c r="Y15" s="3390">
        <f>IF(D15=0,0,ROUND(AVERAGE(D15:D18)/100,4))</f>
        <v>8.5000000000000006E-3</v>
      </c>
      <c r="Z15" s="3390">
        <f>IF(E15=0,0,ROUND(AVERAGE(E15:E18)/100,4))</f>
        <v>3.8E-3</v>
      </c>
      <c r="AA15" s="3390">
        <f>IF(F15=0,0,ROUND(AVERAGE(F15:F18)/100,4))</f>
        <v>1.1999999999999999E-3</v>
      </c>
      <c r="AB15" s="3390">
        <f>IF(G15=0,0,ROUND(AVERAGE(G15:G18)/100,4))</f>
        <v>9.2999999999999992E-3</v>
      </c>
      <c r="AC15" s="3390">
        <f>IF(H15=0,0,ROUND(AVERAGE(H15:H18)/100,4))</f>
        <v>6.0000000000000001E-3</v>
      </c>
      <c r="AD15" s="3390">
        <f t="shared" si="2"/>
        <v>1.1999999999999999E-3</v>
      </c>
    </row>
    <row r="16" spans="1:30">
      <c r="A16" s="3344" t="s">
        <v>2786</v>
      </c>
      <c r="B16" s="3403">
        <v>2021</v>
      </c>
      <c r="C16" s="3404">
        <v>3</v>
      </c>
      <c r="D16" s="3404">
        <v>0.47</v>
      </c>
      <c r="E16" s="3404">
        <v>0.41</v>
      </c>
      <c r="F16" s="3404">
        <v>0.24</v>
      </c>
      <c r="G16" s="3404">
        <v>0.48</v>
      </c>
      <c r="H16" s="3410">
        <v>0.48</v>
      </c>
      <c r="I16" s="3405">
        <f t="shared" si="0"/>
        <v>0.24</v>
      </c>
      <c r="J16" s="3365"/>
      <c r="K16" s="3366">
        <f t="shared" si="1"/>
        <v>4.6999999999999993E-3</v>
      </c>
      <c r="L16" s="3367">
        <f t="shared" si="1"/>
        <v>4.0999999999999995E-3</v>
      </c>
      <c r="M16" s="3367">
        <f t="shared" si="1"/>
        <v>2.3999999999999998E-3</v>
      </c>
      <c r="N16" s="3367">
        <f t="shared" si="1"/>
        <v>4.7999999999999996E-3</v>
      </c>
      <c r="O16" s="3367">
        <f t="shared" si="1"/>
        <v>4.7999999999999996E-3</v>
      </c>
      <c r="P16" s="3367">
        <f t="shared" si="35"/>
        <v>2.3999999999999998E-3</v>
      </c>
      <c r="Q16" s="3365"/>
      <c r="R16" s="3381">
        <f>ROUND(IF(项目基本情况!B8="出让",SUMPRODUCT(PRODUCT(1+K16:K18)),SUMPRODUCT(PRODUCT(1+K16:K17))),4)</f>
        <v>1.0139</v>
      </c>
      <c r="S16" s="3381">
        <f>ROUND(IF(项目基本情况!B8="出让",SUMPRODUCT(PRODUCT(1+L16:L18)),SUMPRODUCT(PRODUCT(1+L16:L17))),4)</f>
        <v>1.0113000000000001</v>
      </c>
      <c r="T16" s="3381">
        <f>ROUND(IF(项目基本情况!B8="出让",SUMPRODUCT(PRODUCT(1+M16:M18)),SUMPRODUCT(PRODUCT(1+M16:M17))),4)</f>
        <v>1.0065</v>
      </c>
      <c r="U16" s="3381">
        <f>ROUND(IF(项目基本情况!B8="出让",SUMPRODUCT(PRODUCT(1+N16:N18)),SUMPRODUCT(PRODUCT(1+N16:N17))),4)</f>
        <v>1.0143</v>
      </c>
      <c r="V16" s="3381">
        <f>ROUND(IF(项目基本情况!B8="出让",SUMPRODUCT(PRODUCT(1+O16:O18)),SUMPRODUCT(PRODUCT(1+O16:O17))),4)</f>
        <v>1.0148999999999999</v>
      </c>
      <c r="W16" s="3381">
        <f t="shared" si="36"/>
        <v>1.0065</v>
      </c>
      <c r="X16" s="3365"/>
      <c r="Y16" s="3390">
        <f>IF(D16=0,0,ROUND(AVERAGE(D16:D18)/100,4))</f>
        <v>7.9000000000000008E-3</v>
      </c>
      <c r="Z16" s="3390">
        <f>IF(E16=0,0,ROUND(AVERAGE(E16:E18)/100,4))</f>
        <v>4.3E-3</v>
      </c>
      <c r="AA16" s="3390">
        <f>IF(F16=0,0,ROUND(AVERAGE(F16:F18)/100,4))</f>
        <v>1.2999999999999999E-3</v>
      </c>
      <c r="AB16" s="3390">
        <f>IF(G16=0,0,ROUND(AVERAGE(G16:G18)/100,4))</f>
        <v>8.5000000000000006E-3</v>
      </c>
      <c r="AC16" s="3390">
        <f>IF(H16=0,0,ROUND(AVERAGE(H16:H18)/100,4))</f>
        <v>6.1999999999999998E-3</v>
      </c>
      <c r="AD16" s="3390">
        <f t="shared" si="2"/>
        <v>1.2999999999999999E-3</v>
      </c>
    </row>
    <row r="17" spans="1:30">
      <c r="A17" s="3344" t="s">
        <v>2787</v>
      </c>
      <c r="B17" s="3403">
        <v>2021</v>
      </c>
      <c r="C17" s="3404">
        <v>2</v>
      </c>
      <c r="D17" s="3404">
        <v>0.92</v>
      </c>
      <c r="E17" s="3404">
        <v>0.72</v>
      </c>
      <c r="F17" s="3404">
        <v>0.41</v>
      </c>
      <c r="G17" s="3404">
        <v>0.95</v>
      </c>
      <c r="H17" s="3410">
        <v>1.01</v>
      </c>
      <c r="I17" s="3405">
        <f t="shared" si="0"/>
        <v>0.41</v>
      </c>
      <c r="J17" s="3365"/>
      <c r="K17" s="3366">
        <f t="shared" si="1"/>
        <v>9.1999999999999998E-3</v>
      </c>
      <c r="L17" s="3367">
        <f t="shared" si="1"/>
        <v>7.1999999999999998E-3</v>
      </c>
      <c r="M17" s="3367">
        <f t="shared" si="1"/>
        <v>4.0999999999999995E-3</v>
      </c>
      <c r="N17" s="3367">
        <f t="shared" si="1"/>
        <v>9.4999999999999998E-3</v>
      </c>
      <c r="O17" s="3367">
        <f t="shared" si="1"/>
        <v>1.01E-2</v>
      </c>
      <c r="P17" s="3367">
        <f t="shared" si="35"/>
        <v>4.0999999999999995E-3</v>
      </c>
      <c r="Q17" s="3365"/>
      <c r="R17" s="3381">
        <f>ROUND(IF(项目基本情况!B8="出让",SUMPRODUCT(PRODUCT(1+K17:K18)),SUMPRODUCT(PRODUCT(1+K17:K17))),4)</f>
        <v>1.0092000000000001</v>
      </c>
      <c r="S17" s="3381">
        <f>ROUND(IF(项目基本情况!B8="出让",SUMPRODUCT(PRODUCT(1+L17:L18)),SUMPRODUCT(PRODUCT(1+L17:L17))),4)</f>
        <v>1.0072000000000001</v>
      </c>
      <c r="T17" s="3381">
        <f>ROUND(IF(项目基本情况!B8="出让",SUMPRODUCT(PRODUCT(1+M17:M18)),SUMPRODUCT(PRODUCT(1+M17:M17))),4)</f>
        <v>1.0041</v>
      </c>
      <c r="U17" s="3381">
        <f>ROUND(IF(项目基本情况!B8="出让",SUMPRODUCT(PRODUCT(1+N17:N18)),SUMPRODUCT(PRODUCT(1+N17:N17))),4)</f>
        <v>1.0095000000000001</v>
      </c>
      <c r="V17" s="3381">
        <f>ROUND(IF(项目基本情况!B8="出让",SUMPRODUCT(PRODUCT(1+O17:O18)),SUMPRODUCT(PRODUCT(1+O17:O17))),4)</f>
        <v>1.0101</v>
      </c>
      <c r="W17" s="3381">
        <f t="shared" si="36"/>
        <v>1.0041</v>
      </c>
      <c r="X17" s="3365"/>
      <c r="Y17" s="3390">
        <f>IF(D17=0,0,ROUND(AVERAGE(D17:D18)/100,4))</f>
        <v>9.4999999999999998E-3</v>
      </c>
      <c r="Z17" s="3390">
        <f>IF(E17=0,0,ROUND(AVERAGE(E17:E18)/100,4))</f>
        <v>4.4000000000000003E-3</v>
      </c>
      <c r="AA17" s="3390">
        <f>IF(F17=0,0,ROUND(AVERAGE(F17:F18)/100,4))</f>
        <v>8.0000000000000004E-4</v>
      </c>
      <c r="AB17" s="3390">
        <f>IF(G17=0,0,ROUND(AVERAGE(G17:G18)/100,4))</f>
        <v>1.03E-2</v>
      </c>
      <c r="AC17" s="3390">
        <f>IF(H17=0,0,ROUND(AVERAGE(H17:H18)/100,4))</f>
        <v>6.8999999999999999E-3</v>
      </c>
      <c r="AD17" s="3390">
        <f t="shared" si="2"/>
        <v>8.0000000000000004E-4</v>
      </c>
    </row>
    <row r="18" spans="1:30" ht="14.25" thickBot="1">
      <c r="A18" s="3346" t="s">
        <v>2788</v>
      </c>
      <c r="B18" s="3411">
        <v>2021</v>
      </c>
      <c r="C18" s="3412">
        <v>1</v>
      </c>
      <c r="D18" s="3412">
        <v>0.97</v>
      </c>
      <c r="E18" s="3412">
        <v>0.16</v>
      </c>
      <c r="F18" s="3412">
        <v>-0.25</v>
      </c>
      <c r="G18" s="3412">
        <v>1.1100000000000001</v>
      </c>
      <c r="H18" s="3413">
        <v>0.36</v>
      </c>
      <c r="I18" s="3414">
        <f t="shared" si="0"/>
        <v>-0.25</v>
      </c>
      <c r="J18" s="3371"/>
      <c r="K18" s="3372">
        <f t="shared" si="1"/>
        <v>9.7000000000000003E-3</v>
      </c>
      <c r="L18" s="3373">
        <f t="shared" si="1"/>
        <v>1.6000000000000001E-3</v>
      </c>
      <c r="M18" s="3373">
        <f>F18/100</f>
        <v>-2.5000000000000001E-3</v>
      </c>
      <c r="N18" s="3373">
        <f t="shared" si="1"/>
        <v>1.11E-2</v>
      </c>
      <c r="O18" s="3373">
        <f t="shared" si="1"/>
        <v>3.5999999999999999E-3</v>
      </c>
      <c r="P18" s="3373">
        <f t="shared" si="35"/>
        <v>-2.5000000000000001E-3</v>
      </c>
      <c r="Q18" s="3371"/>
      <c r="R18" s="3382">
        <v>1</v>
      </c>
      <c r="S18" s="3382">
        <v>1</v>
      </c>
      <c r="T18" s="3382">
        <v>1</v>
      </c>
      <c r="U18" s="3382">
        <v>1</v>
      </c>
      <c r="V18" s="3382">
        <v>1</v>
      </c>
      <c r="W18" s="3382">
        <f t="shared" si="36"/>
        <v>1</v>
      </c>
      <c r="X18" s="3371"/>
      <c r="Y18" s="3373">
        <f>IF(D18=0,0,ROUND(AVERAGE(D18:D18)/100,4))</f>
        <v>9.7000000000000003E-3</v>
      </c>
      <c r="Z18" s="3373">
        <f>IF(E18=0,0,ROUND(AVERAGE(E18:E18)/100,4))</f>
        <v>1.6000000000000001E-3</v>
      </c>
      <c r="AA18" s="3373">
        <f>IF(F18=0,0,ROUND(AVERAGE(F18:F18)/100,4))</f>
        <v>-2.5000000000000001E-3</v>
      </c>
      <c r="AB18" s="3373">
        <f>IF(G18=0,0,ROUND(AVERAGE(G18:G18)/100,4))</f>
        <v>1.11E-2</v>
      </c>
      <c r="AC18" s="3373">
        <f>IF(H18=0,0,ROUND(AVERAGE(H18:H18)/100,4))</f>
        <v>3.5999999999999999E-3</v>
      </c>
      <c r="AD18" s="3373">
        <f>AA18</f>
        <v>-2.5000000000000001E-3</v>
      </c>
    </row>
    <row r="19" spans="1:30" ht="14.25" thickTop="1">
      <c r="A19" s="3281"/>
      <c r="B19" s="3281"/>
      <c r="C19" s="3281"/>
      <c r="D19" s="3281"/>
      <c r="E19" s="3281"/>
      <c r="F19" s="3281"/>
      <c r="G19" s="3281"/>
      <c r="H19" s="3281"/>
      <c r="I19" s="3281"/>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662" t="s">
        <v>3252</v>
      </c>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281"/>
      <c r="B21" s="3281"/>
      <c r="C21" s="3281"/>
      <c r="D21" s="3281"/>
      <c r="E21" s="3281"/>
      <c r="F21" s="3281"/>
      <c r="G21" s="3281"/>
      <c r="H21" s="3281"/>
      <c r="I21" s="3374" t="s">
        <v>2800</v>
      </c>
      <c r="J21" s="3281"/>
      <c r="K21" s="3281"/>
      <c r="L21" s="3281"/>
      <c r="M21" s="3281"/>
      <c r="N21" s="3281"/>
      <c r="O21" s="3281"/>
      <c r="P21" s="3281"/>
      <c r="Q21" s="3281"/>
      <c r="R21" s="3281"/>
      <c r="S21" s="3281"/>
      <c r="T21" s="3281"/>
      <c r="U21" s="3281"/>
      <c r="V21" s="3281"/>
      <c r="W21" s="3281"/>
      <c r="X21" s="3281"/>
      <c r="Y21" s="3281"/>
      <c r="Z21" s="3281"/>
      <c r="AA21" s="3281"/>
      <c r="AB21" s="3281"/>
      <c r="AC21" s="3281"/>
      <c r="AD21" s="3281"/>
    </row>
    <row r="22" spans="1:30">
      <c r="A22" s="3281"/>
      <c r="B22" s="3281"/>
      <c r="C22" s="3281"/>
      <c r="D22" s="3281"/>
      <c r="E22" s="3281"/>
      <c r="F22" s="3281"/>
      <c r="G22" s="3281"/>
      <c r="H22" s="3281"/>
      <c r="I22" s="3281"/>
      <c r="J22" s="3281"/>
      <c r="K22" s="3281"/>
      <c r="L22" s="3281"/>
      <c r="M22" s="3281"/>
      <c r="N22" s="3281"/>
      <c r="O22" s="3281"/>
      <c r="P22" s="3281"/>
      <c r="Q22" s="3281"/>
      <c r="R22" s="3281"/>
      <c r="S22" s="3281"/>
      <c r="T22" s="3281"/>
      <c r="U22" s="3281"/>
      <c r="V22" s="3281"/>
      <c r="W22" s="3281"/>
      <c r="X22" s="3281"/>
      <c r="Y22" s="3281"/>
      <c r="Z22" s="3281"/>
      <c r="AA22" s="3281"/>
      <c r="AB22" s="3281"/>
      <c r="AC22" s="3281"/>
      <c r="AD22" s="3281"/>
    </row>
    <row r="23" spans="1:30">
      <c r="A23" s="3347"/>
      <c r="B23" s="3348" t="s">
        <v>2801</v>
      </c>
      <c r="C23" s="3349"/>
      <c r="D23" s="3349"/>
      <c r="E23" s="3349"/>
      <c r="F23" s="3349"/>
      <c r="G23" s="3349"/>
      <c r="H23" s="3349"/>
      <c r="I23" s="3349"/>
      <c r="J23" s="3350"/>
      <c r="K23" s="3349" t="s">
        <v>2793</v>
      </c>
      <c r="L23" s="3349"/>
      <c r="M23" s="3349"/>
      <c r="N23" s="3349"/>
      <c r="O23" s="3349"/>
      <c r="P23" s="3349"/>
      <c r="Q23" s="3350"/>
      <c r="R23" s="4365" t="s">
        <v>2809</v>
      </c>
      <c r="S23" s="4366"/>
      <c r="T23" s="4366"/>
      <c r="U23" s="4366"/>
      <c r="V23" s="4366"/>
      <c r="W23" s="4366"/>
      <c r="X23" s="3350"/>
      <c r="Y23" s="4365" t="s">
        <v>1925</v>
      </c>
      <c r="Z23" s="4366"/>
      <c r="AA23" s="4366"/>
      <c r="AB23" s="4366"/>
      <c r="AC23" s="4366"/>
      <c r="AD23" s="4366"/>
    </row>
    <row r="24" spans="1:30" ht="14.25" thickBot="1">
      <c r="A24" s="3341"/>
      <c r="B24" s="3351"/>
      <c r="C24" s="3352"/>
      <c r="D24" s="3353" t="s">
        <v>2795</v>
      </c>
      <c r="E24" s="3354" t="s">
        <v>2796</v>
      </c>
      <c r="F24" s="3354" t="s">
        <v>2797</v>
      </c>
      <c r="G24" s="3354" t="s">
        <v>1469</v>
      </c>
      <c r="H24" s="3354"/>
      <c r="I24" s="3354" t="s">
        <v>2741</v>
      </c>
      <c r="J24" s="3355"/>
      <c r="K24" s="3353" t="s">
        <v>2795</v>
      </c>
      <c r="L24" s="3354" t="s">
        <v>2796</v>
      </c>
      <c r="M24" s="3354" t="s">
        <v>2797</v>
      </c>
      <c r="N24" s="3354" t="s">
        <v>2798</v>
      </c>
      <c r="O24" s="3354"/>
      <c r="P24" s="3354" t="s">
        <v>2741</v>
      </c>
      <c r="Q24" s="3355"/>
      <c r="R24" s="3353" t="s">
        <v>2810</v>
      </c>
      <c r="S24" s="3354" t="s">
        <v>2811</v>
      </c>
      <c r="T24" s="3354" t="s">
        <v>2797</v>
      </c>
      <c r="U24" s="3354" t="s">
        <v>1469</v>
      </c>
      <c r="V24" s="3354"/>
      <c r="W24" s="3354" t="s">
        <v>2812</v>
      </c>
      <c r="X24" s="3355"/>
      <c r="Y24" s="3353" t="s">
        <v>2794</v>
      </c>
      <c r="Z24" s="3354" t="s">
        <v>2796</v>
      </c>
      <c r="AA24" s="3354" t="s">
        <v>2797</v>
      </c>
      <c r="AB24" s="3354" t="s">
        <v>1469</v>
      </c>
      <c r="AC24" s="3354"/>
      <c r="AD24" s="3354" t="s">
        <v>2815</v>
      </c>
    </row>
    <row r="25" spans="1:30">
      <c r="A25" s="3342" t="s">
        <v>2789</v>
      </c>
      <c r="B25" s="3356"/>
      <c r="C25" s="3357"/>
      <c r="D25" s="3357"/>
      <c r="E25" s="3357">
        <f>ROUND(AVERAGEIF(E26:E40,"&lt;&gt;0"),2)</f>
        <v>0.39</v>
      </c>
      <c r="F25" s="3357">
        <f>ROUND(AVERAGEIF(F26:F40,"&lt;&gt;0"),2)</f>
        <v>0.28000000000000003</v>
      </c>
      <c r="G25" s="3357">
        <f>ROUND(AVERAGEIF(G26:G40,"&lt;&gt;0"),2)</f>
        <v>0.67</v>
      </c>
      <c r="H25" s="3357"/>
      <c r="I25" s="3357">
        <f>F25</f>
        <v>0.28000000000000003</v>
      </c>
      <c r="J25" s="3358"/>
      <c r="K25" s="3359"/>
      <c r="L25" s="3360">
        <f>ROUND(AVERAGEIF(L26:L40,"&lt;&gt;0"),4)</f>
        <v>3.8999999999999998E-3</v>
      </c>
      <c r="M25" s="3360">
        <f>ROUND(AVERAGEIF(M26:M40,"&lt;&gt;0"),4)</f>
        <v>2.8E-3</v>
      </c>
      <c r="N25" s="3360">
        <f>ROUND(AVERAGEIF(N26:N40,"&lt;&gt;0"),4)</f>
        <v>6.7000000000000002E-3</v>
      </c>
      <c r="O25" s="3360"/>
      <c r="P25" s="3360">
        <f>M25</f>
        <v>2.8E-3</v>
      </c>
      <c r="Q25" s="3358"/>
      <c r="R25" s="3375"/>
      <c r="S25" s="3376">
        <f>ROUND(SUMPRODUCT(PRODUCT(1+L26:L40)),4)</f>
        <v>1.0476000000000001</v>
      </c>
      <c r="T25" s="3376">
        <f>ROUND(SUMPRODUCT(PRODUCT(1+M26:M40)),4)</f>
        <v>1.0346</v>
      </c>
      <c r="U25" s="3376">
        <f>ROUND(SUMPRODUCT(PRODUCT(1+N26:N40)),4)</f>
        <v>1.0831999999999999</v>
      </c>
      <c r="V25" s="3376"/>
      <c r="W25" s="3375">
        <f>T25</f>
        <v>1.0346</v>
      </c>
      <c r="X25" s="3358"/>
      <c r="Y25" s="3383"/>
      <c r="Z25" s="3384">
        <f>ROUND(AVERAGEIF(Z26:Z40,"&lt;&gt;0"),4)</f>
        <v>4.3E-3</v>
      </c>
      <c r="AA25" s="3385">
        <f>ROUND(AVERAGEIF(AA26:AA40,"&lt;&gt;0"),4)</f>
        <v>3.3999999999999998E-3</v>
      </c>
      <c r="AB25" s="3383">
        <f>ROUND(AVERAGEIF(AB26:AB40,"&lt;&gt;0"),4)</f>
        <v>8.3000000000000001E-3</v>
      </c>
      <c r="AC25" s="3386"/>
      <c r="AD25" s="3383">
        <f>AA25</f>
        <v>3.3999999999999998E-3</v>
      </c>
    </row>
    <row r="26" spans="1:30">
      <c r="A26" s="3343"/>
      <c r="B26" s="3361"/>
      <c r="C26" s="3362"/>
      <c r="D26" s="3362"/>
      <c r="E26" s="3362"/>
      <c r="F26" s="3362"/>
      <c r="G26" s="3362"/>
      <c r="H26" s="3362"/>
      <c r="I26" s="3362"/>
      <c r="J26" s="3350"/>
      <c r="K26" s="3363"/>
      <c r="L26" s="3364"/>
      <c r="M26" s="3364"/>
      <c r="N26" s="3364"/>
      <c r="O26" s="3364"/>
      <c r="P26" s="3364"/>
      <c r="Q26" s="3350"/>
      <c r="R26" s="3377"/>
      <c r="S26" s="3378"/>
      <c r="T26" s="3379"/>
      <c r="U26" s="3377"/>
      <c r="V26" s="3380"/>
      <c r="W26" s="3377"/>
      <c r="X26" s="3350"/>
      <c r="Y26" s="3367"/>
      <c r="Z26" s="3387"/>
      <c r="AA26" s="3388"/>
      <c r="AB26" s="3367"/>
      <c r="AC26" s="3389"/>
      <c r="AD26" s="3367"/>
    </row>
    <row r="27" spans="1:30">
      <c r="A27" s="3663" t="s">
        <v>3260</v>
      </c>
      <c r="B27" s="3403">
        <v>2024</v>
      </c>
      <c r="C27" s="3404">
        <v>2</v>
      </c>
      <c r="D27" s="3404"/>
      <c r="E27" s="3404">
        <v>0</v>
      </c>
      <c r="F27" s="3404">
        <v>0</v>
      </c>
      <c r="G27" s="3404">
        <v>0</v>
      </c>
      <c r="H27" s="3404"/>
      <c r="I27" s="3405">
        <f t="shared" ref="I27:I40" si="37">F27</f>
        <v>0</v>
      </c>
      <c r="J27" s="3365"/>
      <c r="K27" s="3366"/>
      <c r="L27" s="3367">
        <f t="shared" ref="L27:N40" si="38">E27/100</f>
        <v>0</v>
      </c>
      <c r="M27" s="3367">
        <f t="shared" si="38"/>
        <v>0</v>
      </c>
      <c r="N27" s="3367">
        <f t="shared" si="38"/>
        <v>0</v>
      </c>
      <c r="O27" s="3367"/>
      <c r="P27" s="3367">
        <f>M27</f>
        <v>0</v>
      </c>
      <c r="Q27" s="3365"/>
      <c r="R27" s="3381"/>
      <c r="S27" s="3381">
        <f>ROUND(IF(项目基本情况!$B$8="出让",SUMPRODUCT(PRODUCT(1+L27:L$40)),SUMPRODUCT(PRODUCT(1+L27:L$39))),4)</f>
        <v>1.0439000000000001</v>
      </c>
      <c r="T27" s="3381">
        <f>ROUND(IF(项目基本情况!$B$8="出让",SUMPRODUCT(PRODUCT(1+M27:M$40)),SUMPRODUCT(PRODUCT(1+M27:M$39))),4)</f>
        <v>1.0297000000000001</v>
      </c>
      <c r="U27" s="3381">
        <f>ROUND(IF(项目基本情况!$B$8="出让",SUMPRODUCT(PRODUCT(1+N27:N$40)),SUMPRODUCT(PRODUCT(1+N27:N$39))),4)</f>
        <v>1.0727</v>
      </c>
      <c r="V27" s="3381"/>
      <c r="W27" s="3381">
        <f>T27</f>
        <v>1.0297000000000001</v>
      </c>
      <c r="X27" s="3365"/>
      <c r="Y27" s="3390"/>
      <c r="Z27" s="3391">
        <f>IF(E27=0,0,ROUND(AVERAGE(E27:E40)/100,4))</f>
        <v>0</v>
      </c>
      <c r="AA27" s="3391">
        <f>IF(F27=0,0,ROUND(AVERAGE(F27:F40)/100,4))</f>
        <v>0</v>
      </c>
      <c r="AB27" s="3391">
        <f>IF(G27=0,0,ROUND(AVERAGE(G27:G40)/100,4))</f>
        <v>0</v>
      </c>
      <c r="AC27" s="3392"/>
      <c r="AD27" s="3390">
        <f>IF(I27=0,0,ROUND(AVERAGE(I27:I40)/100,4))</f>
        <v>0</v>
      </c>
    </row>
    <row r="28" spans="1:30">
      <c r="A28" s="3663" t="s">
        <v>3261</v>
      </c>
      <c r="B28" s="3403">
        <v>2024</v>
      </c>
      <c r="C28" s="3404">
        <v>1</v>
      </c>
      <c r="D28" s="3404"/>
      <c r="E28" s="3404">
        <v>0</v>
      </c>
      <c r="F28" s="3404">
        <v>0</v>
      </c>
      <c r="G28" s="3404">
        <v>0</v>
      </c>
      <c r="H28" s="3410"/>
      <c r="I28" s="3405">
        <f t="shared" si="37"/>
        <v>0</v>
      </c>
      <c r="J28" s="3365"/>
      <c r="K28" s="3366"/>
      <c r="L28" s="3367">
        <f t="shared" ref="L28" si="39">E28/100</f>
        <v>0</v>
      </c>
      <c r="M28" s="3367">
        <f t="shared" ref="M28" si="40">F28/100</f>
        <v>0</v>
      </c>
      <c r="N28" s="3367">
        <f t="shared" ref="N28" si="41">G28/100</f>
        <v>0</v>
      </c>
      <c r="O28" s="3367"/>
      <c r="P28" s="3367">
        <f t="shared" ref="P28" si="42">M28</f>
        <v>0</v>
      </c>
      <c r="Q28" s="3365"/>
      <c r="R28" s="3381"/>
      <c r="S28" s="3381">
        <f>ROUND(IF(项目基本情况!$B$8="出让",SUMPRODUCT(PRODUCT(1+L28:L$40)),SUMPRODUCT(PRODUCT(1+L28:L$39))),4)</f>
        <v>1.0439000000000001</v>
      </c>
      <c r="T28" s="3381">
        <f>ROUND(IF(项目基本情况!$B$8="出让",SUMPRODUCT(PRODUCT(1+M28:M$40)),SUMPRODUCT(PRODUCT(1+M28:M$39))),4)</f>
        <v>1.0297000000000001</v>
      </c>
      <c r="U28" s="3381">
        <f>ROUND(IF(项目基本情况!$B$8="出让",SUMPRODUCT(PRODUCT(1+N28:N$40)),SUMPRODUCT(PRODUCT(1+N28:N$39))),4)</f>
        <v>1.0727</v>
      </c>
      <c r="V28" s="3381"/>
      <c r="W28" s="3381">
        <f t="shared" ref="W28" si="43">T28</f>
        <v>1.0297000000000001</v>
      </c>
      <c r="X28" s="3365"/>
      <c r="Y28" s="3390"/>
      <c r="Z28" s="3391">
        <f t="shared" ref="Z28" si="44">IF(E28=0,0,ROUND(AVERAGE(E28:E39)/100,4))</f>
        <v>0</v>
      </c>
      <c r="AA28" s="3393">
        <f t="shared" ref="AA28" si="45">IF(F28=0,0,ROUND(AVERAGE(F28:F39)/100,4))</f>
        <v>0</v>
      </c>
      <c r="AB28" s="3390">
        <f t="shared" ref="AB28" si="46">IF(G28=0,0,ROUND(AVERAGE(G28:G39)/100,4))</f>
        <v>0</v>
      </c>
      <c r="AC28" s="3392"/>
      <c r="AD28" s="3390">
        <f t="shared" ref="AD28" si="47">IF(I28=0,0,ROUND(AVERAGE(I28:I39)/100,4))</f>
        <v>0</v>
      </c>
    </row>
    <row r="29" spans="1:30">
      <c r="A29" s="3345" t="s">
        <v>3262</v>
      </c>
      <c r="B29" s="3406">
        <v>2023</v>
      </c>
      <c r="C29" s="3407">
        <v>4</v>
      </c>
      <c r="D29" s="3407"/>
      <c r="E29" s="3407">
        <v>7.0000000000000007E-2</v>
      </c>
      <c r="F29" s="3407">
        <v>0.09</v>
      </c>
      <c r="G29" s="3407">
        <v>0.03</v>
      </c>
      <c r="H29" s="3408"/>
      <c r="I29" s="3409">
        <f t="shared" ref="I29" si="48">F29</f>
        <v>0.09</v>
      </c>
      <c r="J29" s="3368"/>
      <c r="K29" s="3369"/>
      <c r="L29" s="3370">
        <f t="shared" si="38"/>
        <v>7.000000000000001E-4</v>
      </c>
      <c r="M29" s="3370">
        <f t="shared" si="38"/>
        <v>8.9999999999999998E-4</v>
      </c>
      <c r="N29" s="3370">
        <f t="shared" si="38"/>
        <v>2.9999999999999997E-4</v>
      </c>
      <c r="O29" s="3370"/>
      <c r="P29" s="3370">
        <f t="shared" ref="P29" si="49">M29</f>
        <v>8.9999999999999998E-4</v>
      </c>
      <c r="Q29" s="3368"/>
      <c r="R29" s="3368"/>
      <c r="S29" s="3368">
        <f>ROUND(IF(项目基本情况!$B$8="出让",SUMPRODUCT(PRODUCT(1+L29:L$40)),SUMPRODUCT(PRODUCT(1+L29:L$39))),4)</f>
        <v>1.0439000000000001</v>
      </c>
      <c r="T29" s="3368">
        <f>ROUND(IF(项目基本情况!$B$8="出让",SUMPRODUCT(PRODUCT(1+M29:M$40)),SUMPRODUCT(PRODUCT(1+M29:M$39))),4)</f>
        <v>1.0297000000000001</v>
      </c>
      <c r="U29" s="3368">
        <f>ROUND(IF(项目基本情况!$B$8="出让",SUMPRODUCT(PRODUCT(1+N29:N$40)),SUMPRODUCT(PRODUCT(1+N29:N$39))),4)</f>
        <v>1.0727</v>
      </c>
      <c r="V29" s="3368"/>
      <c r="W29" s="3368">
        <f t="shared" ref="W29" si="50">T29</f>
        <v>1.0297000000000001</v>
      </c>
      <c r="X29" s="3368"/>
      <c r="Y29" s="3370"/>
      <c r="Z29" s="3394">
        <f t="shared" ref="Z29" si="51">IF(E29=0,0,ROUND(AVERAGE(E29:E40)/100,4))</f>
        <v>3.8999999999999998E-3</v>
      </c>
      <c r="AA29" s="3395">
        <f t="shared" ref="AA29" si="52">IF(F29=0,0,ROUND(AVERAGE(F29:F40)/100,4))</f>
        <v>2.8E-3</v>
      </c>
      <c r="AB29" s="3370">
        <f t="shared" ref="AB29" si="53">IF(G29=0,0,ROUND(AVERAGE(G29:G40)/100,4))</f>
        <v>6.7000000000000002E-3</v>
      </c>
      <c r="AC29" s="3396"/>
      <c r="AD29" s="3370">
        <f t="shared" ref="AD29" si="54">IF(I29=0,0,ROUND(AVERAGE(I29:I40)/100,4))</f>
        <v>2.8E-3</v>
      </c>
    </row>
    <row r="30" spans="1:30">
      <c r="A30" s="3344" t="s">
        <v>3263</v>
      </c>
      <c r="B30" s="3403">
        <v>2023</v>
      </c>
      <c r="C30" s="3404">
        <v>3</v>
      </c>
      <c r="D30" s="3404"/>
      <c r="E30" s="3404">
        <v>0.35</v>
      </c>
      <c r="F30" s="3404">
        <v>0.17</v>
      </c>
      <c r="G30" s="3404">
        <v>0.52</v>
      </c>
      <c r="H30" s="3410"/>
      <c r="I30" s="3405">
        <f t="shared" si="37"/>
        <v>0.17</v>
      </c>
      <c r="J30" s="3365"/>
      <c r="K30" s="3366"/>
      <c r="L30" s="3367">
        <f t="shared" ref="L30:L32" si="55">E30/100</f>
        <v>3.4999999999999996E-3</v>
      </c>
      <c r="M30" s="3367">
        <f t="shared" ref="M30:M32" si="56">F30/100</f>
        <v>1.7000000000000001E-3</v>
      </c>
      <c r="N30" s="3367">
        <f t="shared" ref="N30:N32" si="57">G30/100</f>
        <v>5.1999999999999998E-3</v>
      </c>
      <c r="O30" s="3367"/>
      <c r="P30" s="3367">
        <f t="shared" ref="P30:P32" si="58">M30</f>
        <v>1.7000000000000001E-3</v>
      </c>
      <c r="Q30" s="3365"/>
      <c r="R30" s="3381"/>
      <c r="S30" s="3381">
        <f>ROUND(IF(项目基本情况!$B$8="出让",SUMPRODUCT(PRODUCT(1+L30:L$40)),SUMPRODUCT(PRODUCT(1+L30:L$39))),4)</f>
        <v>1.0431999999999999</v>
      </c>
      <c r="T30" s="3381">
        <f>ROUND(IF(项目基本情况!$B$8="出让",SUMPRODUCT(PRODUCT(1+M30:M$40)),SUMPRODUCT(PRODUCT(1+M30:M$39))),4)</f>
        <v>1.0286999999999999</v>
      </c>
      <c r="U30" s="3381">
        <f>ROUND(IF(项目基本情况!$B$8="出让",SUMPRODUCT(PRODUCT(1+N30:N$40)),SUMPRODUCT(PRODUCT(1+N30:N$39))),4)</f>
        <v>1.0723</v>
      </c>
      <c r="V30" s="3381"/>
      <c r="W30" s="3381">
        <f t="shared" ref="W30:W32" si="59">T30</f>
        <v>1.0286999999999999</v>
      </c>
      <c r="X30" s="3365"/>
      <c r="Y30" s="3390"/>
      <c r="Z30" s="3391">
        <f t="shared" ref="Z30:AB30" si="60">IF(E30=0,0,ROUND(AVERAGE(E30:E41)/100,4))</f>
        <v>4.1999999999999997E-3</v>
      </c>
      <c r="AA30" s="3393">
        <f t="shared" si="60"/>
        <v>3.0000000000000001E-3</v>
      </c>
      <c r="AB30" s="3390">
        <f t="shared" si="60"/>
        <v>7.3000000000000001E-3</v>
      </c>
      <c r="AC30" s="3392"/>
      <c r="AD30" s="3390">
        <f t="shared" ref="AD30:AD32" si="61">IF(I30=0,0,ROUND(AVERAGE(I30:I41)/100,4))</f>
        <v>3.0000000000000001E-3</v>
      </c>
    </row>
    <row r="31" spans="1:30">
      <c r="A31" s="3344" t="s">
        <v>3259</v>
      </c>
      <c r="B31" s="3403">
        <v>2023</v>
      </c>
      <c r="C31" s="3404">
        <v>2</v>
      </c>
      <c r="D31" s="3404"/>
      <c r="E31" s="3404">
        <v>0.5</v>
      </c>
      <c r="F31" s="3404">
        <v>0.45</v>
      </c>
      <c r="G31" s="3404">
        <v>0.89</v>
      </c>
      <c r="H31" s="3410"/>
      <c r="I31" s="3405">
        <f t="shared" si="37"/>
        <v>0.45</v>
      </c>
      <c r="J31" s="3365"/>
      <c r="K31" s="3366"/>
      <c r="L31" s="3367">
        <f t="shared" si="55"/>
        <v>5.0000000000000001E-3</v>
      </c>
      <c r="M31" s="3367">
        <f t="shared" si="56"/>
        <v>4.5000000000000005E-3</v>
      </c>
      <c r="N31" s="3367">
        <f t="shared" si="57"/>
        <v>8.8999999999999999E-3</v>
      </c>
      <c r="O31" s="3367"/>
      <c r="P31" s="3367">
        <f t="shared" si="58"/>
        <v>4.5000000000000005E-3</v>
      </c>
      <c r="Q31" s="3365"/>
      <c r="R31" s="3381"/>
      <c r="S31" s="3381">
        <f>ROUND(IF(项目基本情况!$B$8="出让",SUMPRODUCT(PRODUCT(1+L31:L$40)),SUMPRODUCT(PRODUCT(1+L31:L$39))),4)</f>
        <v>1.0396000000000001</v>
      </c>
      <c r="T31" s="3381">
        <f>ROUND(IF(项目基本情况!$B$8="出让",SUMPRODUCT(PRODUCT(1+M31:M$40)),SUMPRODUCT(PRODUCT(1+M31:M$39))),4)</f>
        <v>1.0269999999999999</v>
      </c>
      <c r="U31" s="3381">
        <f>ROUND(IF(项目基本情况!$B$8="出让",SUMPRODUCT(PRODUCT(1+N31:N$40)),SUMPRODUCT(PRODUCT(1+N31:N$39))),4)</f>
        <v>1.0668</v>
      </c>
      <c r="V31" s="3381"/>
      <c r="W31" s="3381">
        <f t="shared" si="59"/>
        <v>1.0269999999999999</v>
      </c>
      <c r="X31" s="3365"/>
      <c r="Y31" s="3390"/>
      <c r="Z31" s="3391">
        <f t="shared" ref="Z31:AB31" si="62">IF(E31=0,0,ROUND(AVERAGE(E31:E42)/100,4))</f>
        <v>4.1999999999999997E-3</v>
      </c>
      <c r="AA31" s="3393">
        <f t="shared" si="62"/>
        <v>3.2000000000000002E-3</v>
      </c>
      <c r="AB31" s="3390">
        <f t="shared" si="62"/>
        <v>7.4999999999999997E-3</v>
      </c>
      <c r="AC31" s="3392"/>
      <c r="AD31" s="3390">
        <f t="shared" si="61"/>
        <v>3.2000000000000002E-3</v>
      </c>
    </row>
    <row r="32" spans="1:30">
      <c r="A32" s="3344" t="s">
        <v>3257</v>
      </c>
      <c r="B32" s="3403">
        <v>2023</v>
      </c>
      <c r="C32" s="3404">
        <v>1</v>
      </c>
      <c r="D32" s="3404"/>
      <c r="E32" s="3404">
        <v>0.55000000000000004</v>
      </c>
      <c r="F32" s="3404">
        <v>0.59</v>
      </c>
      <c r="G32" s="3404">
        <v>0.64</v>
      </c>
      <c r="H32" s="3410"/>
      <c r="I32" s="3405">
        <f t="shared" si="37"/>
        <v>0.59</v>
      </c>
      <c r="J32" s="3365"/>
      <c r="K32" s="3366"/>
      <c r="L32" s="3367">
        <f t="shared" si="55"/>
        <v>5.5000000000000005E-3</v>
      </c>
      <c r="M32" s="3367">
        <f t="shared" si="56"/>
        <v>5.8999999999999999E-3</v>
      </c>
      <c r="N32" s="3367">
        <f t="shared" si="57"/>
        <v>6.4000000000000003E-3</v>
      </c>
      <c r="O32" s="3367"/>
      <c r="P32" s="3367">
        <f t="shared" si="58"/>
        <v>5.8999999999999999E-3</v>
      </c>
      <c r="Q32" s="3365"/>
      <c r="R32" s="3381"/>
      <c r="S32" s="3381">
        <f>ROUND(IF(项目基本情况!$B$8="出让",SUMPRODUCT(PRODUCT(1+L32:L$40)),SUMPRODUCT(PRODUCT(1+L32:L$39))),4)</f>
        <v>1.0344</v>
      </c>
      <c r="T32" s="3381">
        <f>ROUND(IF(项目基本情况!$B$8="出让",SUMPRODUCT(PRODUCT(1+M32:M$40)),SUMPRODUCT(PRODUCT(1+M32:M$39))),4)</f>
        <v>1.0224</v>
      </c>
      <c r="U32" s="3381">
        <f>ROUND(IF(项目基本情况!$B$8="出让",SUMPRODUCT(PRODUCT(1+N32:N$40)),SUMPRODUCT(PRODUCT(1+N32:N$39))),4)</f>
        <v>1.0573999999999999</v>
      </c>
      <c r="V32" s="3381"/>
      <c r="W32" s="3381">
        <f t="shared" si="59"/>
        <v>1.0224</v>
      </c>
      <c r="X32" s="3365"/>
      <c r="Y32" s="3390"/>
      <c r="Z32" s="3391">
        <f t="shared" ref="Z32:AB32" si="63">IF(E32=0,0,ROUND(AVERAGE(E32:E43)/100,4))</f>
        <v>4.1999999999999997E-3</v>
      </c>
      <c r="AA32" s="3393">
        <f t="shared" si="63"/>
        <v>3.0000000000000001E-3</v>
      </c>
      <c r="AB32" s="3390">
        <f t="shared" si="63"/>
        <v>7.3000000000000001E-3</v>
      </c>
      <c r="AC32" s="3392"/>
      <c r="AD32" s="3390">
        <f t="shared" si="61"/>
        <v>3.0000000000000001E-3</v>
      </c>
    </row>
    <row r="33" spans="1:30">
      <c r="A33" s="3344" t="s">
        <v>3255</v>
      </c>
      <c r="B33" s="3403">
        <v>2022</v>
      </c>
      <c r="C33" s="3404">
        <v>4</v>
      </c>
      <c r="D33" s="3404"/>
      <c r="E33" s="3404">
        <v>0.45</v>
      </c>
      <c r="F33" s="3404">
        <v>0.2</v>
      </c>
      <c r="G33" s="3404">
        <v>0.38</v>
      </c>
      <c r="H33" s="3410"/>
      <c r="I33" s="3405">
        <f t="shared" si="37"/>
        <v>0.2</v>
      </c>
      <c r="J33" s="3365"/>
      <c r="K33" s="3366"/>
      <c r="L33" s="3367">
        <f t="shared" si="38"/>
        <v>4.5000000000000005E-3</v>
      </c>
      <c r="M33" s="3367">
        <f t="shared" si="38"/>
        <v>2E-3</v>
      </c>
      <c r="N33" s="3367">
        <f t="shared" si="38"/>
        <v>3.8E-3</v>
      </c>
      <c r="O33" s="3367"/>
      <c r="P33" s="3367">
        <f t="shared" ref="P33:P40" si="64">M33</f>
        <v>2E-3</v>
      </c>
      <c r="Q33" s="3365"/>
      <c r="R33" s="3381"/>
      <c r="S33" s="3381">
        <f>ROUND(IF(项目基本情况!$B$8="出让",SUMPRODUCT(PRODUCT(1+L33:L$40)),SUMPRODUCT(PRODUCT(1+L33:L$39))),4)</f>
        <v>1.0286999999999999</v>
      </c>
      <c r="T33" s="3381">
        <f>ROUND(IF(项目基本情况!$B$8="出让",SUMPRODUCT(PRODUCT(1+M33:M$40)),SUMPRODUCT(PRODUCT(1+M33:M$39))),4)</f>
        <v>1.0164</v>
      </c>
      <c r="U33" s="3381">
        <f>ROUND(IF(项目基本情况!$B$8="出让",SUMPRODUCT(PRODUCT(1+N33:N$40)),SUMPRODUCT(PRODUCT(1+N33:N$39))),4)</f>
        <v>1.0506</v>
      </c>
      <c r="V33" s="3381"/>
      <c r="W33" s="3381">
        <f t="shared" ref="W33:W40" si="65">T33</f>
        <v>1.0164</v>
      </c>
      <c r="X33" s="3365"/>
      <c r="Y33" s="3390"/>
      <c r="Z33" s="3391">
        <f t="shared" ref="Z33:AD40" si="66">IF(E33=0,0,ROUND(AVERAGE(E33:E41)/100,4))</f>
        <v>4.0000000000000001E-3</v>
      </c>
      <c r="AA33" s="3393">
        <f t="shared" si="66"/>
        <v>2.5999999999999999E-3</v>
      </c>
      <c r="AB33" s="3390">
        <f t="shared" si="66"/>
        <v>7.4000000000000003E-3</v>
      </c>
      <c r="AC33" s="3392"/>
      <c r="AD33" s="3390">
        <f t="shared" si="66"/>
        <v>2.5999999999999999E-3</v>
      </c>
    </row>
    <row r="34" spans="1:30">
      <c r="A34" s="3344" t="s">
        <v>3251</v>
      </c>
      <c r="B34" s="3403">
        <v>2022</v>
      </c>
      <c r="C34" s="3404">
        <v>3</v>
      </c>
      <c r="D34" s="3404"/>
      <c r="E34" s="3404">
        <v>0.3</v>
      </c>
      <c r="F34" s="3404">
        <v>0.28999999999999998</v>
      </c>
      <c r="G34" s="3404">
        <v>0.83</v>
      </c>
      <c r="H34" s="3410"/>
      <c r="I34" s="3405">
        <f t="shared" si="37"/>
        <v>0.28999999999999998</v>
      </c>
      <c r="J34" s="3365"/>
      <c r="K34" s="3366"/>
      <c r="L34" s="3367">
        <f t="shared" si="38"/>
        <v>3.0000000000000001E-3</v>
      </c>
      <c r="M34" s="3367">
        <f t="shared" si="38"/>
        <v>2.8999999999999998E-3</v>
      </c>
      <c r="N34" s="3367">
        <f t="shared" si="38"/>
        <v>8.3000000000000001E-3</v>
      </c>
      <c r="O34" s="3367"/>
      <c r="P34" s="3367">
        <f t="shared" si="64"/>
        <v>2.8999999999999998E-3</v>
      </c>
      <c r="Q34" s="3365"/>
      <c r="R34" s="3381"/>
      <c r="S34" s="3381">
        <f>ROUND(IF(项目基本情况!$B$8="出让",SUMPRODUCT(PRODUCT(1+L34:L$40)),SUMPRODUCT(PRODUCT(1+L34:L$39))),4)</f>
        <v>1.0241</v>
      </c>
      <c r="T34" s="3381">
        <f>ROUND(IF(项目基本情况!$B$8="出让",SUMPRODUCT(PRODUCT(1+M34:M$40)),SUMPRODUCT(PRODUCT(1+M34:M$39))),4)</f>
        <v>1.0144</v>
      </c>
      <c r="U34" s="3381">
        <f>ROUND(IF(项目基本情况!$B$8="出让",SUMPRODUCT(PRODUCT(1+N34:N$40)),SUMPRODUCT(PRODUCT(1+N34:N$39))),4)</f>
        <v>1.0467</v>
      </c>
      <c r="V34" s="3381"/>
      <c r="W34" s="3381">
        <f t="shared" si="65"/>
        <v>1.0144</v>
      </c>
      <c r="X34" s="3365"/>
      <c r="Y34" s="3390"/>
      <c r="Z34" s="3391">
        <f t="shared" si="66"/>
        <v>3.8999999999999998E-3</v>
      </c>
      <c r="AA34" s="3393">
        <f t="shared" si="66"/>
        <v>2.7000000000000001E-3</v>
      </c>
      <c r="AB34" s="3390">
        <f t="shared" si="66"/>
        <v>7.9000000000000008E-3</v>
      </c>
      <c r="AC34" s="3392"/>
      <c r="AD34" s="3390">
        <f t="shared" si="66"/>
        <v>2.7000000000000001E-3</v>
      </c>
    </row>
    <row r="35" spans="1:30">
      <c r="A35" s="3344" t="s">
        <v>3250</v>
      </c>
      <c r="B35" s="3403">
        <v>2022</v>
      </c>
      <c r="C35" s="3404">
        <v>2</v>
      </c>
      <c r="D35" s="3404"/>
      <c r="E35" s="3404">
        <v>-0.11</v>
      </c>
      <c r="F35" s="3404">
        <v>-0.13</v>
      </c>
      <c r="G35" s="3404">
        <v>0.53</v>
      </c>
      <c r="H35" s="3410"/>
      <c r="I35" s="3405">
        <f t="shared" si="37"/>
        <v>-0.13</v>
      </c>
      <c r="J35" s="3365"/>
      <c r="K35" s="3366"/>
      <c r="L35" s="3367">
        <f t="shared" si="38"/>
        <v>-1.1000000000000001E-3</v>
      </c>
      <c r="M35" s="3367">
        <f t="shared" si="38"/>
        <v>-1.2999999999999999E-3</v>
      </c>
      <c r="N35" s="3367">
        <f t="shared" si="38"/>
        <v>5.3E-3</v>
      </c>
      <c r="O35" s="3367"/>
      <c r="P35" s="3367">
        <f t="shared" si="64"/>
        <v>-1.2999999999999999E-3</v>
      </c>
      <c r="Q35" s="3365"/>
      <c r="R35" s="3381"/>
      <c r="S35" s="3381">
        <f>ROUND(IF(项目基本情况!$B$8="出让",SUMPRODUCT(PRODUCT(1+L35:L$40)),SUMPRODUCT(PRODUCT(1+L35:L$39))),4)</f>
        <v>1.0210999999999999</v>
      </c>
      <c r="T35" s="3381">
        <f>ROUND(IF(项目基本情况!$B$8="出让",SUMPRODUCT(PRODUCT(1+M35:M$40)),SUMPRODUCT(PRODUCT(1+M35:M$39))),4)</f>
        <v>1.0114000000000001</v>
      </c>
      <c r="U35" s="3381">
        <f>ROUND(IF(项目基本情况!$B$8="出让",SUMPRODUCT(PRODUCT(1+N35:N$40)),SUMPRODUCT(PRODUCT(1+N35:N$39))),4)</f>
        <v>1.0381</v>
      </c>
      <c r="V35" s="3381"/>
      <c r="W35" s="3381">
        <f t="shared" si="65"/>
        <v>1.0114000000000001</v>
      </c>
      <c r="X35" s="3365"/>
      <c r="Y35" s="3390"/>
      <c r="Z35" s="3391">
        <f t="shared" si="66"/>
        <v>4.1000000000000003E-3</v>
      </c>
      <c r="AA35" s="3393">
        <f t="shared" si="66"/>
        <v>2.7000000000000001E-3</v>
      </c>
      <c r="AB35" s="3390">
        <f t="shared" si="66"/>
        <v>7.9000000000000008E-3</v>
      </c>
      <c r="AC35" s="3392"/>
      <c r="AD35" s="3390">
        <f t="shared" si="66"/>
        <v>2.7000000000000001E-3</v>
      </c>
    </row>
    <row r="36" spans="1:30">
      <c r="A36" s="3344" t="s">
        <v>2784</v>
      </c>
      <c r="B36" s="3403">
        <v>2022</v>
      </c>
      <c r="C36" s="3404">
        <v>1</v>
      </c>
      <c r="D36" s="3404"/>
      <c r="E36" s="3404">
        <v>0.6</v>
      </c>
      <c r="F36" s="3404">
        <v>0.45</v>
      </c>
      <c r="G36" s="3404">
        <v>0.53</v>
      </c>
      <c r="H36" s="3410"/>
      <c r="I36" s="3405">
        <f t="shared" si="37"/>
        <v>0.45</v>
      </c>
      <c r="J36" s="3365"/>
      <c r="K36" s="3366"/>
      <c r="L36" s="3367">
        <f t="shared" si="38"/>
        <v>6.0000000000000001E-3</v>
      </c>
      <c r="M36" s="3367">
        <f t="shared" si="38"/>
        <v>4.5000000000000005E-3</v>
      </c>
      <c r="N36" s="3367">
        <f t="shared" si="38"/>
        <v>5.3E-3</v>
      </c>
      <c r="O36" s="3367"/>
      <c r="P36" s="3367">
        <f t="shared" si="64"/>
        <v>4.5000000000000005E-3</v>
      </c>
      <c r="Q36" s="3365"/>
      <c r="R36" s="3381"/>
      <c r="S36" s="3381">
        <f>ROUND(IF(项目基本情况!$B$8="出让",SUMPRODUCT(PRODUCT(1+L36:L$40)),SUMPRODUCT(PRODUCT(1+L36:L$39))),4)</f>
        <v>1.0222</v>
      </c>
      <c r="T36" s="3381">
        <f>ROUND(IF(项目基本情况!$B$8="出让",SUMPRODUCT(PRODUCT(1+M36:M$40)),SUMPRODUCT(PRODUCT(1+M36:M$39))),4)</f>
        <v>1.0127999999999999</v>
      </c>
      <c r="U36" s="3381">
        <f>ROUND(IF(项目基本情况!$B$8="出让",SUMPRODUCT(PRODUCT(1+N36:N$40)),SUMPRODUCT(PRODUCT(1+N36:N$39))),4)</f>
        <v>1.0326</v>
      </c>
      <c r="V36" s="3381"/>
      <c r="W36" s="3381">
        <f t="shared" si="65"/>
        <v>1.0127999999999999</v>
      </c>
      <c r="X36" s="3365"/>
      <c r="Y36" s="3390"/>
      <c r="Z36" s="3391">
        <f t="shared" si="66"/>
        <v>5.1000000000000004E-3</v>
      </c>
      <c r="AA36" s="3393">
        <f t="shared" si="66"/>
        <v>3.5000000000000001E-3</v>
      </c>
      <c r="AB36" s="3390">
        <f t="shared" si="66"/>
        <v>8.3999999999999995E-3</v>
      </c>
      <c r="AC36" s="3392"/>
      <c r="AD36" s="3390">
        <f t="shared" si="66"/>
        <v>3.5000000000000001E-3</v>
      </c>
    </row>
    <row r="37" spans="1:30">
      <c r="A37" s="3344" t="s">
        <v>2785</v>
      </c>
      <c r="B37" s="3403">
        <v>2021</v>
      </c>
      <c r="C37" s="3404">
        <v>4</v>
      </c>
      <c r="D37" s="3404"/>
      <c r="E37" s="3404">
        <v>0.57999999999999996</v>
      </c>
      <c r="F37" s="3404">
        <v>0.08</v>
      </c>
      <c r="G37" s="3404">
        <v>0.68</v>
      </c>
      <c r="H37" s="3410"/>
      <c r="I37" s="3405">
        <f t="shared" si="37"/>
        <v>0.08</v>
      </c>
      <c r="J37" s="3365"/>
      <c r="K37" s="3366"/>
      <c r="L37" s="3367">
        <f t="shared" si="38"/>
        <v>5.7999999999999996E-3</v>
      </c>
      <c r="M37" s="3367">
        <f t="shared" si="38"/>
        <v>8.0000000000000004E-4</v>
      </c>
      <c r="N37" s="3367">
        <f t="shared" si="38"/>
        <v>6.8000000000000005E-3</v>
      </c>
      <c r="O37" s="3367"/>
      <c r="P37" s="3367">
        <f t="shared" si="64"/>
        <v>8.0000000000000004E-4</v>
      </c>
      <c r="Q37" s="3365"/>
      <c r="R37" s="3381"/>
      <c r="S37" s="3381">
        <f>ROUND(IF(项目基本情况!$B$8="出让",SUMPRODUCT(PRODUCT(1+L37:L$40)),SUMPRODUCT(PRODUCT(1+L37:L$39))),4)</f>
        <v>1.0161</v>
      </c>
      <c r="T37" s="3381">
        <f>ROUND(IF(项目基本情况!$B$8="出让",SUMPRODUCT(PRODUCT(1+M37:M$40)),SUMPRODUCT(PRODUCT(1+M37:M$39))),4)</f>
        <v>1.0082</v>
      </c>
      <c r="U37" s="3381">
        <f>ROUND(IF(项目基本情况!$B$8="出让",SUMPRODUCT(PRODUCT(1+N37:N$40)),SUMPRODUCT(PRODUCT(1+N37:N$39))),4)</f>
        <v>1.0270999999999999</v>
      </c>
      <c r="V37" s="3381"/>
      <c r="W37" s="3381">
        <f t="shared" si="65"/>
        <v>1.0082</v>
      </c>
      <c r="X37" s="3365"/>
      <c r="Y37" s="3390"/>
      <c r="Z37" s="3391">
        <f t="shared" si="66"/>
        <v>4.8999999999999998E-3</v>
      </c>
      <c r="AA37" s="3393">
        <f t="shared" si="66"/>
        <v>3.3E-3</v>
      </c>
      <c r="AB37" s="3390">
        <f t="shared" si="66"/>
        <v>9.1999999999999998E-3</v>
      </c>
      <c r="AC37" s="3392"/>
      <c r="AD37" s="3390">
        <f t="shared" si="66"/>
        <v>3.3E-3</v>
      </c>
    </row>
    <row r="38" spans="1:30">
      <c r="A38" s="3344" t="s">
        <v>2786</v>
      </c>
      <c r="B38" s="3403">
        <v>2021</v>
      </c>
      <c r="C38" s="3404">
        <v>3</v>
      </c>
      <c r="D38" s="3404"/>
      <c r="E38" s="3404">
        <v>0.47</v>
      </c>
      <c r="F38" s="3404">
        <v>0.28000000000000003</v>
      </c>
      <c r="G38" s="3404">
        <v>0.91</v>
      </c>
      <c r="H38" s="3410"/>
      <c r="I38" s="3405">
        <f t="shared" si="37"/>
        <v>0.28000000000000003</v>
      </c>
      <c r="J38" s="3365"/>
      <c r="K38" s="3366"/>
      <c r="L38" s="3367">
        <f t="shared" si="38"/>
        <v>4.6999999999999993E-3</v>
      </c>
      <c r="M38" s="3367">
        <f t="shared" si="38"/>
        <v>2.8000000000000004E-3</v>
      </c>
      <c r="N38" s="3367">
        <f t="shared" si="38"/>
        <v>9.1000000000000004E-3</v>
      </c>
      <c r="O38" s="3367"/>
      <c r="P38" s="3367">
        <f t="shared" si="64"/>
        <v>2.8000000000000004E-3</v>
      </c>
      <c r="Q38" s="3365"/>
      <c r="R38" s="3381"/>
      <c r="S38" s="3381">
        <f>ROUND(IF(项目基本情况!$B$8="出让",SUMPRODUCT(PRODUCT(1+L38:L$40)),SUMPRODUCT(PRODUCT(1+L38:L$39))),4)</f>
        <v>1.0102</v>
      </c>
      <c r="T38" s="3381">
        <f>ROUND(IF(项目基本情况!$B$8="出让",SUMPRODUCT(PRODUCT(1+M38:M$40)),SUMPRODUCT(PRODUCT(1+M38:M$39))),4)</f>
        <v>1.0074000000000001</v>
      </c>
      <c r="U38" s="3381">
        <f>ROUND(IF(项目基本情况!$B$8="出让",SUMPRODUCT(PRODUCT(1+N38:N$40)),SUMPRODUCT(PRODUCT(1+N38:N$39))),4)</f>
        <v>1.0202</v>
      </c>
      <c r="V38" s="3381"/>
      <c r="W38" s="3381">
        <f t="shared" si="65"/>
        <v>1.0074000000000001</v>
      </c>
      <c r="X38" s="3365"/>
      <c r="Y38" s="3390"/>
      <c r="Z38" s="3391">
        <f t="shared" si="66"/>
        <v>4.5999999999999999E-3</v>
      </c>
      <c r="AA38" s="3393">
        <f t="shared" si="66"/>
        <v>4.1000000000000003E-3</v>
      </c>
      <c r="AB38" s="3390">
        <f t="shared" si="66"/>
        <v>0.01</v>
      </c>
      <c r="AC38" s="3392"/>
      <c r="AD38" s="3390">
        <f t="shared" si="66"/>
        <v>4.1000000000000003E-3</v>
      </c>
    </row>
    <row r="39" spans="1:30">
      <c r="A39" s="3344" t="s">
        <v>2790</v>
      </c>
      <c r="B39" s="3403">
        <v>2021</v>
      </c>
      <c r="C39" s="3404">
        <v>2</v>
      </c>
      <c r="D39" s="3404"/>
      <c r="E39" s="3404">
        <v>0.55000000000000004</v>
      </c>
      <c r="F39" s="3404">
        <v>0.46</v>
      </c>
      <c r="G39" s="3404">
        <v>1.1000000000000001</v>
      </c>
      <c r="H39" s="3410"/>
      <c r="I39" s="3405">
        <f t="shared" si="37"/>
        <v>0.46</v>
      </c>
      <c r="J39" s="3365"/>
      <c r="K39" s="3366"/>
      <c r="L39" s="3367">
        <f t="shared" si="38"/>
        <v>5.5000000000000005E-3</v>
      </c>
      <c r="M39" s="3367">
        <f t="shared" si="38"/>
        <v>4.5999999999999999E-3</v>
      </c>
      <c r="N39" s="3367">
        <f t="shared" si="38"/>
        <v>1.1000000000000001E-2</v>
      </c>
      <c r="O39" s="3367"/>
      <c r="P39" s="3367">
        <f t="shared" si="64"/>
        <v>4.5999999999999999E-3</v>
      </c>
      <c r="Q39" s="3365"/>
      <c r="R39" s="3381"/>
      <c r="S39" s="3381">
        <f>ROUND(IF(项目基本情况!$B$8="出让",SUMPRODUCT(PRODUCT(1+L39:L$40)),SUMPRODUCT(PRODUCT(1+L39:L$39))),4)</f>
        <v>1.0055000000000001</v>
      </c>
      <c r="T39" s="3381">
        <f>ROUND(IF(项目基本情况!$B$8="出让",SUMPRODUCT(PRODUCT(1+M39:M$40)),SUMPRODUCT(PRODUCT(1+M39:M$39))),4)</f>
        <v>1.0045999999999999</v>
      </c>
      <c r="U39" s="3381">
        <f>ROUND(IF(项目基本情况!$B$8="出让",SUMPRODUCT(PRODUCT(1+N39:N$40)),SUMPRODUCT(PRODUCT(1+N39:N$39))),4)</f>
        <v>1.0109999999999999</v>
      </c>
      <c r="V39" s="3381"/>
      <c r="W39" s="3381">
        <f t="shared" si="65"/>
        <v>1.0045999999999999</v>
      </c>
      <c r="X39" s="3365"/>
      <c r="Y39" s="3390"/>
      <c r="Z39" s="3391">
        <f t="shared" si="66"/>
        <v>4.4999999999999997E-3</v>
      </c>
      <c r="AA39" s="3393">
        <f t="shared" si="66"/>
        <v>4.7000000000000002E-3</v>
      </c>
      <c r="AB39" s="3390">
        <f t="shared" si="66"/>
        <v>1.04E-2</v>
      </c>
      <c r="AC39" s="3392"/>
      <c r="AD39" s="3390">
        <f t="shared" si="66"/>
        <v>4.7000000000000002E-3</v>
      </c>
    </row>
    <row r="40" spans="1:30" ht="14.25" thickBot="1">
      <c r="A40" s="3346" t="s">
        <v>2791</v>
      </c>
      <c r="B40" s="3411">
        <v>2021</v>
      </c>
      <c r="C40" s="3412">
        <v>1</v>
      </c>
      <c r="D40" s="3412"/>
      <c r="E40" s="3412">
        <v>0.35</v>
      </c>
      <c r="F40" s="3412">
        <v>0.48</v>
      </c>
      <c r="G40" s="3412">
        <v>0.98</v>
      </c>
      <c r="H40" s="3413"/>
      <c r="I40" s="3414">
        <f t="shared" si="37"/>
        <v>0.48</v>
      </c>
      <c r="J40" s="3371"/>
      <c r="K40" s="3372"/>
      <c r="L40" s="3373">
        <f t="shared" si="38"/>
        <v>3.4999999999999996E-3</v>
      </c>
      <c r="M40" s="3373">
        <f>F40/100</f>
        <v>4.7999999999999996E-3</v>
      </c>
      <c r="N40" s="3373">
        <f t="shared" si="38"/>
        <v>9.7999999999999997E-3</v>
      </c>
      <c r="O40" s="3373"/>
      <c r="P40" s="3373">
        <f t="shared" si="64"/>
        <v>4.7999999999999996E-3</v>
      </c>
      <c r="Q40" s="3371"/>
      <c r="R40" s="3382"/>
      <c r="S40" s="3382">
        <v>1</v>
      </c>
      <c r="T40" s="3382">
        <v>1</v>
      </c>
      <c r="U40" s="3382">
        <v>1</v>
      </c>
      <c r="V40" s="3382"/>
      <c r="W40" s="3382">
        <f t="shared" si="65"/>
        <v>1</v>
      </c>
      <c r="X40" s="3371"/>
      <c r="Y40" s="3373"/>
      <c r="Z40" s="3397">
        <f t="shared" si="66"/>
        <v>3.5000000000000001E-3</v>
      </c>
      <c r="AA40" s="3398">
        <f t="shared" si="66"/>
        <v>4.7999999999999996E-3</v>
      </c>
      <c r="AB40" s="3373">
        <f t="shared" si="66"/>
        <v>9.7999999999999997E-3</v>
      </c>
      <c r="AC40" s="3399"/>
      <c r="AD40" s="3373">
        <f t="shared" si="66"/>
        <v>4.7999999999999996E-3</v>
      </c>
    </row>
    <row r="41" spans="1:30" ht="14.25" thickTop="1"/>
    <row r="42" spans="1:30">
      <c r="A42" s="3662" t="s">
        <v>3253</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J43"/>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-0.5</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4368" t="s">
        <v>1807</v>
      </c>
      <c r="C8" s="1612">
        <f ca="1">ROUND(F8*F10*F9*(1-F11)/10000,0)</f>
        <v>0</v>
      </c>
      <c r="D8" s="1609" t="s">
        <v>1817</v>
      </c>
      <c r="E8" s="59" t="s">
        <v>585</v>
      </c>
      <c r="F8" s="751">
        <f ca="1">INDIRECT("'数据-取费表'!u"&amp;$G$1)</f>
        <v>0</v>
      </c>
      <c r="G8" s="1405"/>
      <c r="H8" s="2151" t="s">
        <v>1353</v>
      </c>
      <c r="I8" s="4368" t="s">
        <v>1807</v>
      </c>
      <c r="J8" s="749">
        <f ca="1">ROUND(M8*M10*M9*(1-M11)/10000,0)</f>
        <v>0</v>
      </c>
      <c r="K8" s="332" t="s">
        <v>1817</v>
      </c>
      <c r="L8" s="750" t="s">
        <v>1267</v>
      </c>
      <c r="M8" s="751">
        <f ca="1">INDIRECT("'数据-取费表'!z"&amp;$G$1)</f>
        <v>0</v>
      </c>
    </row>
    <row r="9" spans="1:25" ht="18" customHeight="1">
      <c r="A9" s="2147"/>
      <c r="B9" s="4369"/>
      <c r="C9" s="1613"/>
      <c r="D9" s="1610"/>
      <c r="E9" s="59" t="s">
        <v>586</v>
      </c>
      <c r="F9" s="751">
        <f ca="1">IF(INDIRECT("'数据-取费表'!ah"&amp;$G$1)="",INDIRECT("'数据-取费表'!k"&amp;$G$1),INDIRECT("'数据-取费表'!ah"&amp;$G$1))</f>
        <v>0</v>
      </c>
      <c r="G9" s="1405"/>
      <c r="H9" s="2136"/>
      <c r="I9" s="4369"/>
      <c r="J9" s="754"/>
      <c r="K9" s="755"/>
      <c r="L9" s="750" t="s">
        <v>1268</v>
      </c>
      <c r="M9" s="751">
        <f ca="1">F9</f>
        <v>0</v>
      </c>
    </row>
    <row r="10" spans="1:25" ht="18" customHeight="1">
      <c r="A10" s="2140"/>
      <c r="B10" s="4370"/>
      <c r="C10" s="1613"/>
      <c r="D10" s="1610"/>
      <c r="E10" s="59" t="s">
        <v>587</v>
      </c>
      <c r="F10" s="751">
        <f ca="1">INDIRECT("'数据-取费表'!ai"&amp;$G$1)</f>
        <v>0</v>
      </c>
      <c r="G10" s="1405"/>
      <c r="H10" s="2136"/>
      <c r="I10" s="4370"/>
      <c r="J10" s="754"/>
      <c r="K10" s="755"/>
      <c r="L10" s="750" t="s">
        <v>1269</v>
      </c>
      <c r="M10" s="751">
        <f ca="1">INDIRECT("'数据-取费表'!ai"&amp;$G$1)</f>
        <v>0</v>
      </c>
    </row>
    <row r="11" spans="1:25" ht="18" customHeight="1">
      <c r="A11" s="752"/>
      <c r="B11" s="4371"/>
      <c r="C11" s="1613"/>
      <c r="D11" s="1610"/>
      <c r="E11" s="59" t="s">
        <v>588</v>
      </c>
      <c r="F11" s="760">
        <f ca="1">INDIRECT("'数据-取费表'!w"&amp;$G$1)</f>
        <v>0</v>
      </c>
      <c r="G11" s="1405"/>
      <c r="H11" s="2152"/>
      <c r="I11" s="4370"/>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185</v>
      </c>
      <c r="G19" s="1406"/>
      <c r="H19" s="769" t="s">
        <v>1587</v>
      </c>
      <c r="I19" s="750" t="s">
        <v>604</v>
      </c>
      <c r="J19" s="2762">
        <f ca="1">ROUND(IF(AND(项目基本情况!B11="自然人",项目基本情况!B10="北京市"),J8*M19/(1+'数据-取费表'!C42),J20+J21+J22),0)</f>
        <v>0</v>
      </c>
      <c r="K19" s="1734" t="s">
        <v>605</v>
      </c>
      <c r="L19" s="1732" t="s">
        <v>606</v>
      </c>
      <c r="M19" s="2761">
        <f ca="1">IF(项目基本情况!B11="企业","——",IF('数据-取费表'!B10="住宅",IF(M8*M9*M10/12/(1+'数据-取费表'!F30)&gt;100000,4%,2.5%),IF(M8*M9*M10/12/(1+'数据-取费表'!F30)&gt;100000,12%,7%)))</f>
        <v>7.0000000000000007E-2</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3248</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0.5</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2.0000000000000001E-4</v>
      </c>
      <c r="D26" s="2187" t="str">
        <f>IF(F25&lt;=1,"销售费用×利率×(建设周期÷2)","销售费用×((1+利率)^(建设周期÷2)-1)")</f>
        <v>销售费用×利率×(建设周期÷2)</v>
      </c>
      <c r="E26" s="750" t="s">
        <v>629</v>
      </c>
      <c r="F26" s="784">
        <f ca="1">'数据-取费表'!B40</f>
        <v>3.4500000000000003E-2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f ca="1">IF(项目基本情况!B11="企业","——",IF(M48="住宅",IF(F8*F9*F10/12/(1+'数据-取费表'!F30)&gt;100000,4%,2.5%),IF(F8*F9*F10/12/(1+'数据-取费表'!F30)&gt;100000,12%,7%)))</f>
        <v>7.0000000000000007E-2</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3248</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4367"/>
      <c r="J36" s="1803"/>
      <c r="K36" s="1804"/>
      <c r="L36" s="1803"/>
      <c r="M36" s="1803"/>
    </row>
    <row r="37" spans="1:18" ht="18" customHeight="1">
      <c r="A37" s="780"/>
      <c r="B37" s="759"/>
      <c r="C37" s="67"/>
      <c r="D37" s="781"/>
      <c r="E37" s="750" t="s">
        <v>621</v>
      </c>
      <c r="F37" s="751">
        <f ca="1">INDIRECT("'数据-取费表'!r"&amp;$G$1)</f>
        <v>0</v>
      </c>
      <c r="G37" s="1786"/>
      <c r="H37" s="1789"/>
      <c r="I37" s="4367"/>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-0.5</v>
      </c>
      <c r="K54" s="4372"/>
      <c r="L54" s="4373"/>
      <c r="O54" s="2093" t="s">
        <v>1742</v>
      </c>
      <c r="P54" s="2091" t="s">
        <v>1743</v>
      </c>
      <c r="Q54" s="2092">
        <f ca="1">J54</f>
        <v>-0.5</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J42" sqref="J42:J43"/>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4368" t="s">
        <v>1807</v>
      </c>
      <c r="C6" s="749" t="e">
        <f ca="1">ROUND(F6*F8*F7*(1-F9)/10000,0)</f>
        <v>#N/A</v>
      </c>
      <c r="D6" s="2144" t="s">
        <v>1806</v>
      </c>
      <c r="E6" s="750" t="s">
        <v>1267</v>
      </c>
      <c r="F6" s="751" t="e">
        <f ca="1">INDIRECT("'数据-取费表'!u"&amp;$G$1)</f>
        <v>#N/A</v>
      </c>
      <c r="G6" s="1786"/>
      <c r="H6" s="2151" t="s">
        <v>1812</v>
      </c>
      <c r="I6" s="4368" t="s">
        <v>1807</v>
      </c>
      <c r="J6" s="749" t="e">
        <f ca="1">ROUND(M6*M8*M7*(1-M9)/10000,0)</f>
        <v>#N/A</v>
      </c>
      <c r="K6" s="332" t="s">
        <v>1266</v>
      </c>
      <c r="L6" s="750" t="s">
        <v>1267</v>
      </c>
      <c r="M6" s="751" t="e">
        <f ca="1">INDIRECT("'数据-取费表'!z"&amp;$G$1)</f>
        <v>#N/A</v>
      </c>
    </row>
    <row r="7" spans="1:33" ht="18" customHeight="1">
      <c r="A7" s="2147"/>
      <c r="B7" s="4369"/>
      <c r="C7" s="754"/>
      <c r="D7" s="755"/>
      <c r="E7" s="750" t="s">
        <v>1268</v>
      </c>
      <c r="F7" s="751" t="e">
        <f ca="1">IF(INDIRECT("'数据-取费表'!ah"&amp;$G$1)="",INDIRECT("'数据-取费表'!k"&amp;$G$1),INDIRECT("'数据-取费表'!ah"&amp;$G$1))</f>
        <v>#N/A</v>
      </c>
      <c r="G7" s="1786"/>
      <c r="H7" s="2136"/>
      <c r="I7" s="4369"/>
      <c r="J7" s="754"/>
      <c r="K7" s="755"/>
      <c r="L7" s="750" t="s">
        <v>1268</v>
      </c>
      <c r="M7" s="751" t="e">
        <f ca="1">F7</f>
        <v>#N/A</v>
      </c>
    </row>
    <row r="8" spans="1:33" ht="18" customHeight="1">
      <c r="A8" s="2140"/>
      <c r="B8" s="4370"/>
      <c r="C8" s="754"/>
      <c r="D8" s="755"/>
      <c r="E8" s="750" t="s">
        <v>1269</v>
      </c>
      <c r="F8" s="751" t="e">
        <f ca="1">INDIRECT("'数据-取费表'!ai"&amp;$G$1)</f>
        <v>#N/A</v>
      </c>
      <c r="G8" s="1786"/>
      <c r="H8" s="2136"/>
      <c r="I8" s="4370"/>
      <c r="J8" s="754"/>
      <c r="K8" s="755"/>
      <c r="L8" s="750" t="s">
        <v>1269</v>
      </c>
      <c r="M8" s="751" t="e">
        <f ca="1">INDIRECT("'数据-取费表'!ai"&amp;$G$1)</f>
        <v>#N/A</v>
      </c>
    </row>
    <row r="9" spans="1:33" ht="18" customHeight="1">
      <c r="A9" s="752"/>
      <c r="B9" s="4371"/>
      <c r="C9" s="754"/>
      <c r="D9" s="755"/>
      <c r="E9" s="750" t="s">
        <v>1270</v>
      </c>
      <c r="F9" s="760" t="e">
        <f ca="1">INDIRECT("'数据-取费表'!w"&amp;$G$1)</f>
        <v>#N/A</v>
      </c>
      <c r="G9" s="1786"/>
      <c r="H9" s="2152"/>
      <c r="I9" s="4370"/>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0.03</v>
      </c>
      <c r="G15" s="3003"/>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185</v>
      </c>
      <c r="G17" s="3003"/>
      <c r="H17" s="1454" t="s">
        <v>1359</v>
      </c>
      <c r="I17" s="750" t="s">
        <v>604</v>
      </c>
      <c r="J17" s="2762" t="e">
        <f ca="1">ROUND(IF(AND(项目基本情况!B11="自然人",项目基本情况!B10="北京市"),J6*M17/(1+'数据-取费表'!C42),J18+J19+J20),2)</f>
        <v>#N/A</v>
      </c>
      <c r="K17" s="2132" t="s">
        <v>1282</v>
      </c>
      <c r="L17" s="2131" t="s">
        <v>1283</v>
      </c>
      <c r="M17" s="2761" t="e">
        <f ca="1">IF(项目基本情况!B11="企业","——",IF('数据-取费表'!B10="住宅",IF(M6*M7*M8/12/(1+'数据-取费表'!F30)&gt;100000,4%,2.5%),IF(M6*M7*M8/12/(1+'数据-取费表'!F30)&gt;100000,12%,7%)))</f>
        <v>#N/A</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1.4999999999999999E-2</v>
      </c>
      <c r="G18" s="3003"/>
      <c r="H18" s="1453" t="s">
        <v>1409</v>
      </c>
      <c r="I18" s="750" t="s">
        <v>1284</v>
      </c>
      <c r="J18" s="51" t="e">
        <f ca="1">ROUND(J6*M18/(1+'数据-取费表'!C42),2)</f>
        <v>#N/A</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3248</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3003"/>
      <c r="H20" s="1456" t="s">
        <v>1405</v>
      </c>
      <c r="I20" s="332" t="s">
        <v>1289</v>
      </c>
      <c r="J20" s="52" t="e">
        <f ca="1">ROUND(M20*M21/10000,2)</f>
        <v>#N/A</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0.5</v>
      </c>
      <c r="G23" s="3003"/>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2.0000000000000001E-4</v>
      </c>
      <c r="D24" s="2187" t="str">
        <f>IF(F23&lt;=1,"销售费用×利率×(建设周期÷2)","销售费用×((1+利率)^(建设周期÷2)-1)")</f>
        <v>销售费用×利率×(建设周期÷2)</v>
      </c>
      <c r="E24" s="750" t="s">
        <v>1302</v>
      </c>
      <c r="F24" s="784">
        <f ca="1">'数据-取费表'!B40</f>
        <v>3.4500000000000003E-2</v>
      </c>
      <c r="G24" s="3003"/>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3"/>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e">
        <f ca="1">IF(项目基本情况!B11="企业","——",IF(M47="住宅",IF(F6*F7*F8/12/(1+'数据-取费表'!F30)&gt;100000,4%,2.5%),IF(F6*F7*F8/12/(1+'数据-取费表'!F30)&gt;100000,12%,7%)))</f>
        <v>#N/A</v>
      </c>
      <c r="G31" s="1786"/>
      <c r="H31" s="3000" t="s">
        <v>2284</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3248</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t="e">
        <f ca="1">C48+C52+C54</f>
        <v>#N/A</v>
      </c>
      <c r="D47" s="3658"/>
      <c r="E47" s="3658"/>
      <c r="F47" s="3659"/>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5"/>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5"/>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5"/>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5"/>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4374" t="s">
        <v>2226</v>
      </c>
      <c r="L53" s="4375"/>
      <c r="M53" s="3005"/>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5"/>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5"/>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5"/>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e">
        <f ca="1">IF(项目基本情况!B11="企业","——",IF('数据-取费表'!B10="住宅",IF(F48*F49*F50/12/(1+'数据-取费表'!F30)&gt;100000,4%,2.5%),IF(F48*F49*F50/12/(1+'数据-取费表'!F30)&gt;100000,12%,7%)))</f>
        <v>#N/A</v>
      </c>
      <c r="I58" s="2574" t="s">
        <v>1713</v>
      </c>
      <c r="J58" s="2544" t="e">
        <f ca="1">IF(J55&lt;0.4,0.4,J55)</f>
        <v>#N/A</v>
      </c>
      <c r="K58" s="2554" t="s">
        <v>1718</v>
      </c>
      <c r="L58" s="1664" t="e">
        <f ca="1">ROUND(POWER(1+L52,L47-L48)*(POWER(1+L52,L48)-1)/(POWER(1+L52,L47)-1),4)</f>
        <v>#N/A</v>
      </c>
      <c r="M58" s="3005"/>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5.5000000000000007E-2</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5"/>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1.5</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5"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J43"/>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2444</v>
      </c>
      <c r="B1" s="3059"/>
      <c r="C1" s="3072"/>
      <c r="D1" s="3072"/>
      <c r="E1" s="3060"/>
      <c r="F1" s="3061"/>
      <c r="G1" s="3062"/>
      <c r="J1" s="3065" t="s">
        <v>2301</v>
      </c>
      <c r="K1" s="3066"/>
      <c r="L1" s="3066"/>
      <c r="M1" s="3066"/>
      <c r="N1" s="3066"/>
      <c r="O1" s="3066"/>
      <c r="P1" s="3066"/>
      <c r="Q1" s="3066"/>
      <c r="R1" s="3067"/>
      <c r="S1" s="3068"/>
      <c r="T1" s="3068"/>
      <c r="U1" s="3068"/>
    </row>
    <row r="2" spans="1:22" s="3081" customFormat="1" ht="13.15" customHeight="1">
      <c r="A2" s="3070" t="s">
        <v>2302</v>
      </c>
      <c r="B2" s="3071" t="e">
        <f>C40</f>
        <v>#DIV/0!</v>
      </c>
      <c r="C2" s="3072" t="s">
        <v>2303</v>
      </c>
      <c r="D2" s="3072"/>
      <c r="E2" s="3073"/>
      <c r="F2" s="3074"/>
      <c r="G2" s="3075"/>
      <c r="H2" s="3076"/>
      <c r="I2" s="3077"/>
      <c r="J2" s="4376" t="s">
        <v>2304</v>
      </c>
      <c r="K2" s="4377"/>
      <c r="L2" s="3078" t="s">
        <v>2305</v>
      </c>
      <c r="M2" s="3078" t="s">
        <v>2306</v>
      </c>
      <c r="N2" s="3078" t="s">
        <v>2307</v>
      </c>
      <c r="O2" s="3078" t="s">
        <v>2308</v>
      </c>
      <c r="P2" s="3078" t="s">
        <v>2309</v>
      </c>
      <c r="Q2" s="3079" t="s">
        <v>2310</v>
      </c>
      <c r="R2" s="3080" t="s">
        <v>2311</v>
      </c>
      <c r="S2" s="3068"/>
      <c r="T2" s="3068"/>
      <c r="U2" s="3068"/>
      <c r="V2" s="3077"/>
    </row>
    <row r="3" spans="1:22" s="3081" customFormat="1" ht="13.15" customHeight="1">
      <c r="A3" s="3082" t="s">
        <v>2312</v>
      </c>
      <c r="B3" s="3083" t="e">
        <f>ROUND(B2*10000/B4,0)</f>
        <v>#DIV/0!</v>
      </c>
      <c r="C3" s="3072" t="s">
        <v>2313</v>
      </c>
      <c r="D3" s="3072"/>
      <c r="E3" s="3073"/>
      <c r="F3" s="3074"/>
      <c r="G3" s="3075"/>
      <c r="H3" s="3076"/>
      <c r="I3" s="3077"/>
      <c r="J3" s="4378" t="s">
        <v>2314</v>
      </c>
      <c r="K3" s="4379"/>
      <c r="L3" s="3084"/>
      <c r="M3" s="3084"/>
      <c r="N3" s="3084"/>
      <c r="O3" s="3084"/>
      <c r="P3" s="3084"/>
      <c r="Q3" s="3085"/>
      <c r="R3" s="3086">
        <f>SUM(L3:Q3)</f>
        <v>0</v>
      </c>
      <c r="S3" s="3068"/>
      <c r="T3" s="3068"/>
      <c r="U3" s="3068"/>
      <c r="V3" s="3077"/>
    </row>
    <row r="4" spans="1:22" s="3081" customFormat="1" ht="13.15" customHeight="1">
      <c r="A4" s="3087" t="s">
        <v>2315</v>
      </c>
      <c r="B4" s="3088"/>
      <c r="C4" s="3072"/>
      <c r="D4" s="3072"/>
      <c r="E4" s="3073"/>
      <c r="F4" s="3074"/>
      <c r="G4" s="3075"/>
      <c r="H4" s="3076"/>
      <c r="I4" s="3077"/>
      <c r="J4" s="4378" t="s">
        <v>2316</v>
      </c>
      <c r="K4" s="4379"/>
      <c r="L4" s="3089"/>
      <c r="M4" s="3089"/>
      <c r="N4" s="3089"/>
      <c r="O4" s="3089"/>
      <c r="P4" s="3089"/>
      <c r="Q4" s="3090"/>
      <c r="R4" s="3091">
        <f>SUM(L4:Q4)</f>
        <v>0</v>
      </c>
      <c r="S4" s="3068"/>
      <c r="T4" s="3068"/>
      <c r="U4" s="3068"/>
      <c r="V4" s="3077"/>
    </row>
    <row r="5" spans="1:22" s="3081" customFormat="1" ht="13.15" customHeight="1" thickBot="1">
      <c r="A5" s="3092" t="s">
        <v>2317</v>
      </c>
      <c r="B5" s="3093"/>
      <c r="C5" s="3072"/>
      <c r="D5" s="3094"/>
      <c r="E5" s="3074"/>
      <c r="F5" s="3074"/>
      <c r="G5" s="3075"/>
      <c r="H5" s="3076"/>
      <c r="I5" s="3077"/>
      <c r="J5" s="3095" t="s">
        <v>2318</v>
      </c>
      <c r="K5" s="3096"/>
      <c r="L5" s="3096"/>
      <c r="M5" s="3097"/>
      <c r="N5" s="3097"/>
      <c r="O5" s="3097"/>
      <c r="P5" s="3097"/>
      <c r="Q5" s="3097"/>
      <c r="R5" s="3080">
        <f>SUM(R14,R19,R24,R25,R27,R28)</f>
        <v>0</v>
      </c>
      <c r="S5" s="3068"/>
      <c r="T5" s="3068" t="s">
        <v>2319</v>
      </c>
      <c r="U5" s="3068" t="e">
        <f>ROUND(R5*10000/365/R3,1)</f>
        <v>#DIV/0!</v>
      </c>
      <c r="V5" s="3077"/>
    </row>
    <row r="6" spans="1:22" s="3081" customFormat="1" ht="13.15" customHeight="1" thickBot="1">
      <c r="A6" s="4380" t="s">
        <v>2320</v>
      </c>
      <c r="B6" s="4381"/>
      <c r="C6" s="4382"/>
      <c r="D6" s="3098"/>
      <c r="E6" s="3099"/>
      <c r="F6" s="3100"/>
      <c r="G6" s="3101"/>
      <c r="H6" s="3076"/>
      <c r="I6" s="3077"/>
      <c r="J6" s="4383">
        <v>1</v>
      </c>
      <c r="K6" s="4384" t="s">
        <v>2321</v>
      </c>
      <c r="L6" s="3102" t="s">
        <v>2322</v>
      </c>
      <c r="M6" s="3103" t="s">
        <v>2323</v>
      </c>
      <c r="N6" s="3103" t="s">
        <v>2324</v>
      </c>
      <c r="O6" s="3103" t="s">
        <v>2325</v>
      </c>
      <c r="P6" s="3103" t="s">
        <v>2326</v>
      </c>
      <c r="Q6" s="3103" t="s">
        <v>2327</v>
      </c>
      <c r="R6" s="3086" t="s">
        <v>2328</v>
      </c>
      <c r="S6" s="3068"/>
      <c r="T6" s="3068" t="s">
        <v>2329</v>
      </c>
      <c r="U6" s="3068"/>
      <c r="V6" s="3077"/>
    </row>
    <row r="7" spans="1:22" s="3081" customFormat="1" ht="13.15" customHeight="1">
      <c r="A7" s="3104" t="s">
        <v>2330</v>
      </c>
      <c r="B7" s="3105"/>
      <c r="C7" s="3106"/>
      <c r="D7" s="3107">
        <f>SUM(D9,D10,D11,D17,0)</f>
        <v>0</v>
      </c>
      <c r="E7" s="3108" t="e">
        <f>E9+E10+E11+E17</f>
        <v>#DIV/0!</v>
      </c>
      <c r="F7" s="3109"/>
      <c r="G7" s="3110"/>
      <c r="H7" s="3076"/>
      <c r="I7" s="3077"/>
      <c r="J7" s="4383"/>
      <c r="K7" s="4385"/>
      <c r="L7" s="3111" t="s">
        <v>2331</v>
      </c>
      <c r="M7" s="3112"/>
      <c r="N7" s="3088"/>
      <c r="O7" s="3113"/>
      <c r="P7" s="3113"/>
      <c r="Q7" s="3114">
        <v>365</v>
      </c>
      <c r="R7" s="3115">
        <f>ROUND(M7*N7*O7*P7*Q7/10000,0)</f>
        <v>0</v>
      </c>
      <c r="S7" s="3068"/>
      <c r="T7" s="3068" t="s">
        <v>2332</v>
      </c>
      <c r="U7" s="3068"/>
      <c r="V7" s="3077"/>
    </row>
    <row r="8" spans="1:22" s="3081" customFormat="1" ht="13.15" customHeight="1">
      <c r="A8" s="3116" t="s">
        <v>2333</v>
      </c>
      <c r="B8" s="4387" t="s">
        <v>2334</v>
      </c>
      <c r="C8" s="4388"/>
      <c r="D8" s="3117" t="s">
        <v>2335</v>
      </c>
      <c r="E8" s="3118" t="s">
        <v>2336</v>
      </c>
      <c r="F8" s="3119" t="s">
        <v>2337</v>
      </c>
      <c r="G8" s="3120"/>
      <c r="H8" s="3076"/>
      <c r="I8" s="3077"/>
      <c r="J8" s="4383"/>
      <c r="K8" s="4385"/>
      <c r="L8" s="3111" t="s">
        <v>2338</v>
      </c>
      <c r="M8" s="3112"/>
      <c r="N8" s="3088"/>
      <c r="O8" s="3113"/>
      <c r="P8" s="3113"/>
      <c r="Q8" s="3114">
        <v>365</v>
      </c>
      <c r="R8" s="3115">
        <f t="shared" ref="R8:R13" si="0">ROUND(M8*N8*O8*P8*Q8/10000,0)</f>
        <v>0</v>
      </c>
      <c r="S8" s="3068"/>
      <c r="T8" s="3068" t="s">
        <v>2339</v>
      </c>
      <c r="U8" s="3068"/>
      <c r="V8" s="3077"/>
    </row>
    <row r="9" spans="1:22" s="3081" customFormat="1" ht="13.15" customHeight="1">
      <c r="A9" s="3116">
        <v>1</v>
      </c>
      <c r="B9" s="4387" t="s">
        <v>2340</v>
      </c>
      <c r="C9" s="4388"/>
      <c r="D9" s="3117">
        <f>ROUND(D6*E9,0)</f>
        <v>0</v>
      </c>
      <c r="E9" s="3121"/>
      <c r="F9" s="3122" t="s">
        <v>2341</v>
      </c>
      <c r="G9" s="3101"/>
      <c r="H9" s="3076"/>
      <c r="I9" s="3077"/>
      <c r="J9" s="4383"/>
      <c r="K9" s="4385"/>
      <c r="L9" s="3111" t="s">
        <v>2342</v>
      </c>
      <c r="M9" s="3112"/>
      <c r="N9" s="3088"/>
      <c r="O9" s="3113"/>
      <c r="P9" s="3113"/>
      <c r="Q9" s="3114">
        <v>365</v>
      </c>
      <c r="R9" s="3115">
        <f t="shared" si="0"/>
        <v>0</v>
      </c>
      <c r="S9" s="3068"/>
      <c r="T9" s="3068"/>
      <c r="U9" s="3068"/>
      <c r="V9" s="3077"/>
    </row>
    <row r="10" spans="1:22" s="3081" customFormat="1" ht="13.15" customHeight="1">
      <c r="A10" s="3116">
        <v>2</v>
      </c>
      <c r="B10" s="4387" t="s">
        <v>2343</v>
      </c>
      <c r="C10" s="4388"/>
      <c r="D10" s="3117">
        <f>ROUND(D6*E10,0)</f>
        <v>0</v>
      </c>
      <c r="E10" s="3121"/>
      <c r="F10" s="3122" t="s">
        <v>2344</v>
      </c>
      <c r="G10" s="3101"/>
      <c r="H10" s="3076"/>
      <c r="I10" s="3077"/>
      <c r="J10" s="4383"/>
      <c r="K10" s="4385"/>
      <c r="L10" s="3111" t="s">
        <v>2345</v>
      </c>
      <c r="M10" s="3112"/>
      <c r="N10" s="3088"/>
      <c r="O10" s="3113"/>
      <c r="P10" s="3113"/>
      <c r="Q10" s="3114">
        <v>365</v>
      </c>
      <c r="R10" s="3115">
        <f t="shared" si="0"/>
        <v>0</v>
      </c>
      <c r="S10" s="3068"/>
      <c r="T10" s="3068"/>
      <c r="U10" s="3068"/>
      <c r="V10" s="3077"/>
    </row>
    <row r="11" spans="1:22" s="3081" customFormat="1" ht="13.15" customHeight="1">
      <c r="A11" s="3116">
        <v>3</v>
      </c>
      <c r="B11" s="4387" t="s">
        <v>2346</v>
      </c>
      <c r="C11" s="4388"/>
      <c r="D11" s="3117">
        <f>D12+D14+D15+D16</f>
        <v>0</v>
      </c>
      <c r="E11" s="3123" t="e">
        <f>D11/D6</f>
        <v>#DIV/0!</v>
      </c>
      <c r="F11" s="3119"/>
      <c r="G11" s="3120"/>
      <c r="H11" s="3076"/>
      <c r="I11" s="3077"/>
      <c r="J11" s="4383"/>
      <c r="K11" s="4385"/>
      <c r="L11" s="3111" t="s">
        <v>2347</v>
      </c>
      <c r="M11" s="3112"/>
      <c r="N11" s="3088"/>
      <c r="O11" s="3113"/>
      <c r="P11" s="3113"/>
      <c r="Q11" s="3114">
        <v>365</v>
      </c>
      <c r="R11" s="3115">
        <f t="shared" si="0"/>
        <v>0</v>
      </c>
      <c r="S11" s="3068"/>
      <c r="T11" s="3068"/>
      <c r="U11" s="3068"/>
      <c r="V11" s="3077"/>
    </row>
    <row r="12" spans="1:22" s="3081" customFormat="1" ht="13.15" customHeight="1">
      <c r="A12" s="3124" t="s">
        <v>2348</v>
      </c>
      <c r="B12" s="4389" t="s">
        <v>2349</v>
      </c>
      <c r="C12" s="4390"/>
      <c r="D12" s="3125">
        <f>ROUND(D13*1.2%*(1-30%),0)</f>
        <v>0</v>
      </c>
      <c r="E12" s="3126">
        <v>1.2E-2</v>
      </c>
      <c r="F12" s="3119" t="s">
        <v>2350</v>
      </c>
      <c r="G12" s="3120"/>
      <c r="H12" s="3076"/>
      <c r="I12" s="3077"/>
      <c r="J12" s="4383"/>
      <c r="K12" s="4385"/>
      <c r="L12" s="3111" t="s">
        <v>2351</v>
      </c>
      <c r="M12" s="3112"/>
      <c r="N12" s="3088"/>
      <c r="O12" s="3113"/>
      <c r="P12" s="3113"/>
      <c r="Q12" s="3114">
        <v>365</v>
      </c>
      <c r="R12" s="3115">
        <f t="shared" si="0"/>
        <v>0</v>
      </c>
      <c r="S12" s="3068"/>
      <c r="T12" s="3068"/>
      <c r="U12" s="3068"/>
      <c r="V12" s="3077"/>
    </row>
    <row r="13" spans="1:22" s="3081" customFormat="1" ht="13.15" customHeight="1">
      <c r="A13" s="3124"/>
      <c r="B13" s="3127"/>
      <c r="C13" s="3128" t="s">
        <v>2352</v>
      </c>
      <c r="D13" s="3129"/>
      <c r="E13" s="3130"/>
      <c r="F13" s="3119"/>
      <c r="G13" s="3120"/>
      <c r="H13" s="3076"/>
      <c r="I13" s="3077"/>
      <c r="J13" s="4383"/>
      <c r="K13" s="4385"/>
      <c r="L13" s="3111" t="s">
        <v>2353</v>
      </c>
      <c r="M13" s="3112"/>
      <c r="N13" s="3088"/>
      <c r="O13" s="3113"/>
      <c r="P13" s="3113"/>
      <c r="Q13" s="3114">
        <v>365</v>
      </c>
      <c r="R13" s="3115">
        <f t="shared" si="0"/>
        <v>0</v>
      </c>
      <c r="S13" s="3068"/>
      <c r="T13" s="3068"/>
      <c r="U13" s="3068"/>
      <c r="V13" s="3077"/>
    </row>
    <row r="14" spans="1:22" s="3081" customFormat="1" ht="13.15" customHeight="1">
      <c r="A14" s="3124" t="s">
        <v>2354</v>
      </c>
      <c r="B14" s="4389" t="s">
        <v>2355</v>
      </c>
      <c r="C14" s="4390"/>
      <c r="D14" s="3125">
        <f>ROUND(E14*B5/10000,0)</f>
        <v>0</v>
      </c>
      <c r="E14" s="3114"/>
      <c r="F14" s="3119" t="s">
        <v>2356</v>
      </c>
      <c r="G14" s="3120"/>
      <c r="H14" s="3076"/>
      <c r="I14" s="3077"/>
      <c r="J14" s="4383"/>
      <c r="K14" s="4386"/>
      <c r="L14" s="3131" t="s">
        <v>2357</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2358</v>
      </c>
      <c r="B15" s="4389" t="s">
        <v>2359</v>
      </c>
      <c r="C15" s="4390"/>
      <c r="D15" s="3125">
        <f>ROUND(D6*E15,0)</f>
        <v>0</v>
      </c>
      <c r="E15" s="3126">
        <v>5.5E-2</v>
      </c>
      <c r="F15" s="3119" t="s">
        <v>2360</v>
      </c>
      <c r="G15" s="3101"/>
      <c r="H15" s="3076"/>
      <c r="I15" s="3077"/>
      <c r="J15" s="4383">
        <v>2</v>
      </c>
      <c r="K15" s="4384" t="s">
        <v>2361</v>
      </c>
      <c r="L15" s="3111" t="s">
        <v>2362</v>
      </c>
      <c r="M15" s="3112" t="s">
        <v>2363</v>
      </c>
      <c r="N15" s="3112" t="s">
        <v>2364</v>
      </c>
      <c r="O15" s="3113" t="s">
        <v>2365</v>
      </c>
      <c r="P15" s="3113" t="s">
        <v>2366</v>
      </c>
      <c r="Q15" s="3088" t="s">
        <v>2367</v>
      </c>
      <c r="R15" s="3135" t="s">
        <v>2368</v>
      </c>
      <c r="S15" s="3068"/>
      <c r="T15" s="3068"/>
      <c r="U15" s="3068"/>
      <c r="V15" s="3077"/>
    </row>
    <row r="16" spans="1:22" s="3081" customFormat="1" ht="13.15" customHeight="1">
      <c r="A16" s="3124" t="s">
        <v>2369</v>
      </c>
      <c r="B16" s="4389" t="s">
        <v>2370</v>
      </c>
      <c r="C16" s="4390"/>
      <c r="D16" s="3136">
        <f>D6*E16</f>
        <v>0</v>
      </c>
      <c r="E16" s="3137"/>
      <c r="F16" s="3122" t="s">
        <v>2371</v>
      </c>
      <c r="G16" s="3101"/>
      <c r="H16" s="3076"/>
      <c r="I16" s="3077"/>
      <c r="J16" s="4383"/>
      <c r="K16" s="4385"/>
      <c r="L16" s="3111" t="s">
        <v>2372</v>
      </c>
      <c r="M16" s="3112"/>
      <c r="N16" s="3112"/>
      <c r="O16" s="3113"/>
      <c r="P16" s="3114">
        <v>365</v>
      </c>
      <c r="Q16" s="3088"/>
      <c r="R16" s="3135">
        <f>ROUND(M16*N16*O16*P16/10000,0)</f>
        <v>0</v>
      </c>
      <c r="S16" s="3068"/>
      <c r="T16" s="3068"/>
      <c r="U16" s="3068"/>
      <c r="V16" s="3077"/>
    </row>
    <row r="17" spans="1:22" s="3081" customFormat="1" ht="13.15" customHeight="1" thickBot="1">
      <c r="A17" s="3138">
        <v>4</v>
      </c>
      <c r="B17" s="4391" t="s">
        <v>2373</v>
      </c>
      <c r="C17" s="4392"/>
      <c r="D17" s="3139">
        <f>ROUND(D6*E17,0)</f>
        <v>0</v>
      </c>
      <c r="E17" s="3140"/>
      <c r="F17" s="3141" t="s">
        <v>2374</v>
      </c>
      <c r="G17" s="3101"/>
      <c r="H17" s="3076"/>
      <c r="I17" s="3077"/>
      <c r="J17" s="4383"/>
      <c r="K17" s="4385"/>
      <c r="L17" s="3111" t="s">
        <v>2375</v>
      </c>
      <c r="M17" s="3112"/>
      <c r="N17" s="3112"/>
      <c r="O17" s="3113"/>
      <c r="P17" s="3114">
        <v>365</v>
      </c>
      <c r="Q17" s="3088"/>
      <c r="R17" s="3135">
        <f>ROUND(M17*N17*O17*P17/10000,0)</f>
        <v>0</v>
      </c>
      <c r="S17" s="3068"/>
      <c r="T17" s="3068"/>
      <c r="U17" s="3068"/>
      <c r="V17" s="3077"/>
    </row>
    <row r="18" spans="1:22" s="3081" customFormat="1" ht="13.15" customHeight="1" thickBot="1">
      <c r="A18" s="3104" t="s">
        <v>2376</v>
      </c>
      <c r="B18" s="3105"/>
      <c r="C18" s="3105"/>
      <c r="D18" s="3142">
        <f>ROUND(D6*E18,0)</f>
        <v>0</v>
      </c>
      <c r="E18" s="3143"/>
      <c r="F18" s="3144" t="s">
        <v>2377</v>
      </c>
      <c r="G18" s="3101"/>
      <c r="H18" s="3076"/>
      <c r="I18" s="3077"/>
      <c r="J18" s="4383"/>
      <c r="K18" s="4385"/>
      <c r="L18" s="3111" t="s">
        <v>2378</v>
      </c>
      <c r="M18" s="3112"/>
      <c r="N18" s="3112"/>
      <c r="O18" s="3113"/>
      <c r="P18" s="3114">
        <v>365</v>
      </c>
      <c r="Q18" s="3088"/>
      <c r="R18" s="3135">
        <f>ROUND(M18*N18*O18*P18/10000,0)</f>
        <v>0</v>
      </c>
      <c r="S18" s="3068"/>
      <c r="T18" s="3068"/>
      <c r="U18" s="3068"/>
      <c r="V18" s="3077"/>
    </row>
    <row r="19" spans="1:22" s="3081" customFormat="1" ht="13.15" customHeight="1" thickBot="1">
      <c r="A19" s="3145" t="s">
        <v>2379</v>
      </c>
      <c r="B19" s="3099"/>
      <c r="C19" s="3099"/>
      <c r="D19" s="3099"/>
      <c r="E19" s="3099"/>
      <c r="F19" s="3100"/>
      <c r="G19" s="3120"/>
      <c r="H19" s="3076"/>
      <c r="I19" s="3077"/>
      <c r="J19" s="4383"/>
      <c r="K19" s="4386"/>
      <c r="L19" s="3131" t="s">
        <v>2357</v>
      </c>
      <c r="M19" s="3132"/>
      <c r="N19" s="3132">
        <f>SUM(N16:N18)</f>
        <v>0</v>
      </c>
      <c r="O19" s="3133"/>
      <c r="P19" s="3146" t="s">
        <v>2445</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4383">
        <v>3</v>
      </c>
      <c r="K20" s="4384" t="s">
        <v>2380</v>
      </c>
      <c r="L20" s="3111" t="s">
        <v>2381</v>
      </c>
      <c r="M20" s="3112" t="s">
        <v>2382</v>
      </c>
      <c r="N20" s="3149" t="s">
        <v>2383</v>
      </c>
      <c r="O20" s="3113" t="s">
        <v>2384</v>
      </c>
      <c r="P20" s="3114" t="s">
        <v>2385</v>
      </c>
      <c r="Q20" s="3088" t="s">
        <v>2386</v>
      </c>
      <c r="R20" s="3135" t="s">
        <v>2328</v>
      </c>
      <c r="S20" s="3150"/>
      <c r="T20" s="3150"/>
      <c r="U20" s="3150"/>
      <c r="V20" s="3077"/>
    </row>
    <row r="21" spans="1:22" s="3081" customFormat="1" ht="13.15" customHeight="1">
      <c r="A21" s="3104"/>
      <c r="B21" s="3105"/>
      <c r="C21" s="3151" t="s">
        <v>2387</v>
      </c>
      <c r="D21" s="3152" t="s">
        <v>2388</v>
      </c>
      <c r="E21" s="3153" t="s">
        <v>2389</v>
      </c>
      <c r="F21" s="3148"/>
      <c r="G21" s="3120"/>
      <c r="H21" s="3076"/>
      <c r="I21" s="3077"/>
      <c r="J21" s="4383"/>
      <c r="K21" s="4385"/>
      <c r="L21" s="3111" t="s">
        <v>2390</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2391</v>
      </c>
      <c r="D22" s="3156" t="s">
        <v>2392</v>
      </c>
      <c r="E22" s="3157" t="s">
        <v>2393</v>
      </c>
      <c r="F22" s="3148"/>
      <c r="G22" s="3158"/>
      <c r="H22" s="3076"/>
      <c r="I22" s="3077"/>
      <c r="J22" s="4383"/>
      <c r="K22" s="4385"/>
      <c r="L22" s="3111" t="s">
        <v>2394</v>
      </c>
      <c r="M22" s="3112"/>
      <c r="N22" s="3112"/>
      <c r="O22" s="3113"/>
      <c r="P22" s="3114">
        <v>365</v>
      </c>
      <c r="Q22" s="3088"/>
      <c r="R22" s="3154">
        <f>ROUND(M22*N22*O22*P22/10000,0)</f>
        <v>0</v>
      </c>
      <c r="S22" s="3150"/>
      <c r="T22" s="3150"/>
      <c r="U22" s="3150"/>
      <c r="V22" s="3077"/>
    </row>
    <row r="23" spans="1:22" s="3081" customFormat="1" ht="13.15" customHeight="1">
      <c r="A23" s="3159">
        <v>1</v>
      </c>
      <c r="B23" s="3160" t="s">
        <v>2395</v>
      </c>
      <c r="C23" s="3161">
        <f>D6</f>
        <v>0</v>
      </c>
      <c r="D23" s="3162">
        <f>C23*(1+D24)</f>
        <v>0</v>
      </c>
      <c r="E23" s="3163">
        <f>D23*(1+E24)</f>
        <v>0</v>
      </c>
      <c r="F23" s="3164"/>
      <c r="G23" s="3165"/>
      <c r="H23" s="3076"/>
      <c r="I23" s="3077"/>
      <c r="J23" s="4383"/>
      <c r="K23" s="4385"/>
      <c r="L23" s="3111" t="s">
        <v>2396</v>
      </c>
      <c r="M23" s="3112"/>
      <c r="N23" s="3112"/>
      <c r="O23" s="3113"/>
      <c r="P23" s="3114">
        <v>365</v>
      </c>
      <c r="Q23" s="3088"/>
      <c r="R23" s="3154">
        <f>ROUND(M23*N23*O23*P23/10000,0)</f>
        <v>0</v>
      </c>
      <c r="S23" s="3068"/>
      <c r="T23" s="3068"/>
      <c r="U23" s="3068"/>
      <c r="V23" s="3077"/>
    </row>
    <row r="24" spans="1:22" s="3081" customFormat="1" ht="13.15" customHeight="1">
      <c r="A24" s="3166"/>
      <c r="B24" s="3167" t="s">
        <v>2397</v>
      </c>
      <c r="C24" s="3168"/>
      <c r="D24" s="3169"/>
      <c r="E24" s="3170"/>
      <c r="F24" s="3171"/>
      <c r="G24" s="3165"/>
      <c r="H24" s="3076"/>
      <c r="I24" s="3077"/>
      <c r="J24" s="4383"/>
      <c r="K24" s="4386"/>
      <c r="L24" s="3131" t="s">
        <v>2357</v>
      </c>
      <c r="M24" s="3132">
        <f>SUM(M21:M23)</f>
        <v>0</v>
      </c>
      <c r="N24" s="3132"/>
      <c r="O24" s="3133"/>
      <c r="P24" s="3146" t="s">
        <v>2445</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2398</v>
      </c>
      <c r="L25" s="3174"/>
      <c r="M25" s="3174"/>
      <c r="N25" s="3174"/>
      <c r="O25" s="3174"/>
      <c r="P25" s="3175"/>
      <c r="Q25" s="3176"/>
      <c r="R25" s="3147">
        <f>ROUND(R14*Q25,0)</f>
        <v>0</v>
      </c>
      <c r="S25" s="3068"/>
      <c r="T25" s="3068"/>
      <c r="U25" s="3068"/>
      <c r="V25" s="3177"/>
    </row>
    <row r="26" spans="1:22" s="3178" customFormat="1" ht="13.15" customHeight="1">
      <c r="A26" s="3159">
        <v>2</v>
      </c>
      <c r="B26" s="3160" t="s">
        <v>2399</v>
      </c>
      <c r="C26" s="3161">
        <f>D7</f>
        <v>0</v>
      </c>
      <c r="D26" s="3162">
        <f>D23*D27</f>
        <v>0</v>
      </c>
      <c r="E26" s="3163">
        <f>E23*E27</f>
        <v>0</v>
      </c>
      <c r="F26" s="3164"/>
      <c r="G26" s="3165"/>
      <c r="H26" s="3076"/>
      <c r="I26" s="3077"/>
      <c r="J26" s="4393">
        <v>5</v>
      </c>
      <c r="K26" s="3179" t="s">
        <v>2400</v>
      </c>
      <c r="L26" s="3180"/>
      <c r="M26" s="3181"/>
      <c r="N26" s="3182" t="s">
        <v>2401</v>
      </c>
      <c r="O26" s="3182" t="s">
        <v>2402</v>
      </c>
      <c r="P26" s="3183" t="s">
        <v>2403</v>
      </c>
      <c r="Q26" s="3183" t="s">
        <v>2404</v>
      </c>
      <c r="R26" s="3086" t="s">
        <v>2405</v>
      </c>
      <c r="S26" s="3184"/>
      <c r="T26" s="3184"/>
      <c r="U26" s="3184"/>
      <c r="V26" s="3177"/>
    </row>
    <row r="27" spans="1:22" s="3081" customFormat="1" ht="13.15" customHeight="1">
      <c r="A27" s="3166"/>
      <c r="B27" s="3167" t="s">
        <v>2406</v>
      </c>
      <c r="C27" s="3185" t="e">
        <f>E7</f>
        <v>#DIV/0!</v>
      </c>
      <c r="D27" s="3169"/>
      <c r="E27" s="3170"/>
      <c r="F27" s="3171"/>
      <c r="G27" s="3165"/>
      <c r="H27" s="3186"/>
      <c r="I27" s="3177"/>
      <c r="J27" s="4394"/>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2407</v>
      </c>
      <c r="F28" s="3171"/>
      <c r="G28" s="3158"/>
      <c r="H28" s="3186"/>
      <c r="I28" s="3177"/>
      <c r="J28" s="3192">
        <v>6</v>
      </c>
      <c r="K28" s="3193" t="s">
        <v>2408</v>
      </c>
      <c r="L28" s="3194" t="s">
        <v>2409</v>
      </c>
      <c r="M28" s="3195"/>
      <c r="N28" s="3194" t="s">
        <v>2410</v>
      </c>
      <c r="O28" s="3196"/>
      <c r="P28" s="3194" t="s">
        <v>2411</v>
      </c>
      <c r="Q28" s="3197">
        <v>1.4999999999999999E-2</v>
      </c>
      <c r="R28" s="3198"/>
      <c r="S28" s="3150"/>
      <c r="T28" s="3150"/>
      <c r="U28" s="3150"/>
      <c r="V28" s="3177"/>
    </row>
    <row r="29" spans="1:22" s="3178" customFormat="1" ht="13.15" customHeight="1">
      <c r="A29" s="3159">
        <v>3</v>
      </c>
      <c r="B29" s="3160" t="s">
        <v>2412</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2413</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2414</v>
      </c>
      <c r="K31" s="3066"/>
      <c r="L31" s="3066"/>
      <c r="M31" s="3066"/>
      <c r="N31" s="3066"/>
      <c r="O31" s="3066"/>
      <c r="P31" s="3066"/>
      <c r="Q31" s="3066"/>
      <c r="R31" s="3067"/>
      <c r="S31" s="3150"/>
      <c r="T31" s="3068"/>
      <c r="U31" s="3068"/>
      <c r="V31" s="3177"/>
    </row>
    <row r="32" spans="1:22" s="3178" customFormat="1" ht="13.15" customHeight="1">
      <c r="A32" s="3159">
        <v>4</v>
      </c>
      <c r="B32" s="3160" t="s">
        <v>2415</v>
      </c>
      <c r="C32" s="3161">
        <f>C23-C26-C29</f>
        <v>0</v>
      </c>
      <c r="D32" s="3162">
        <f>D23-D26-D29</f>
        <v>0</v>
      </c>
      <c r="E32" s="3163">
        <f>E23-E26-E29</f>
        <v>0</v>
      </c>
      <c r="F32" s="3164"/>
      <c r="G32" s="3158"/>
      <c r="H32" s="3076"/>
      <c r="I32" s="3077"/>
      <c r="J32" s="4376" t="s">
        <v>2416</v>
      </c>
      <c r="K32" s="4377"/>
      <c r="L32" s="3078" t="s">
        <v>2417</v>
      </c>
      <c r="M32" s="3078" t="s">
        <v>2306</v>
      </c>
      <c r="N32" s="3078" t="s">
        <v>2307</v>
      </c>
      <c r="O32" s="3078" t="s">
        <v>2308</v>
      </c>
      <c r="P32" s="3078" t="s">
        <v>2309</v>
      </c>
      <c r="Q32" s="3079" t="s">
        <v>2418</v>
      </c>
      <c r="R32" s="3201" t="s">
        <v>2419</v>
      </c>
      <c r="S32" s="3150"/>
      <c r="T32" s="3068"/>
      <c r="U32" s="3068"/>
      <c r="V32" s="3177"/>
    </row>
    <row r="33" spans="1:23" s="3081" customFormat="1" ht="13.15" customHeight="1">
      <c r="A33" s="3159"/>
      <c r="B33" s="3160"/>
      <c r="C33" s="3161"/>
      <c r="D33" s="3202"/>
      <c r="E33" s="3203"/>
      <c r="F33" s="3164"/>
      <c r="G33" s="3158"/>
      <c r="H33" s="3186"/>
      <c r="I33" s="3177"/>
      <c r="J33" s="4378" t="s">
        <v>2420</v>
      </c>
      <c r="K33" s="4379"/>
      <c r="L33" s="3084"/>
      <c r="M33" s="3084"/>
      <c r="N33" s="3084"/>
      <c r="O33" s="3084"/>
      <c r="P33" s="3084"/>
      <c r="Q33" s="3085"/>
      <c r="R33" s="3204">
        <f>SUM(L33:Q33)</f>
        <v>0</v>
      </c>
      <c r="S33" s="3150"/>
      <c r="T33" s="3068"/>
      <c r="U33" s="3068"/>
      <c r="V33" s="3077"/>
    </row>
    <row r="34" spans="1:23" s="3081" customFormat="1" ht="13.15" customHeight="1">
      <c r="A34" s="3159">
        <v>5</v>
      </c>
      <c r="B34" s="3160" t="s">
        <v>2421</v>
      </c>
      <c r="C34" s="3205"/>
      <c r="D34" s="3206"/>
      <c r="E34" s="3207"/>
      <c r="F34" s="3164"/>
      <c r="G34" s="3158"/>
      <c r="H34" s="3186"/>
      <c r="I34" s="3177"/>
      <c r="J34" s="4378" t="s">
        <v>2422</v>
      </c>
      <c r="K34" s="4379"/>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2423</v>
      </c>
      <c r="C35" s="3209"/>
      <c r="D35" s="3210"/>
      <c r="E35" s="3211"/>
      <c r="F35" s="3164"/>
      <c r="G35" s="3212"/>
      <c r="H35" s="3076"/>
      <c r="I35" s="3177"/>
      <c r="J35" s="3095" t="s">
        <v>2424</v>
      </c>
      <c r="K35" s="3096"/>
      <c r="L35" s="3096"/>
      <c r="M35" s="3097"/>
      <c r="N35" s="3097"/>
      <c r="O35" s="3097"/>
      <c r="P35" s="3097"/>
      <c r="Q35" s="3097"/>
      <c r="R35" s="3213">
        <f>R40+R41+R43</f>
        <v>0</v>
      </c>
      <c r="S35" s="3150"/>
      <c r="T35" s="3068" t="s">
        <v>2425</v>
      </c>
      <c r="U35" s="3068"/>
      <c r="V35" s="3077"/>
    </row>
    <row r="36" spans="1:23" s="3081" customFormat="1" ht="13.15" customHeight="1" thickBot="1">
      <c r="A36" s="3159">
        <v>7</v>
      </c>
      <c r="B36" s="3214" t="s">
        <v>2426</v>
      </c>
      <c r="C36" s="3215"/>
      <c r="D36" s="3216"/>
      <c r="E36" s="3217"/>
      <c r="F36" s="3218">
        <f>C36+D36+E36</f>
        <v>0</v>
      </c>
      <c r="G36" s="3158"/>
      <c r="H36" s="3076"/>
      <c r="I36" s="3077"/>
      <c r="J36" s="4383">
        <v>1</v>
      </c>
      <c r="K36" s="4384" t="s">
        <v>2427</v>
      </c>
      <c r="L36" s="3102"/>
      <c r="M36" s="3103"/>
      <c r="N36" s="3103"/>
      <c r="O36" s="3103"/>
      <c r="P36" s="3103"/>
      <c r="Q36" s="3103"/>
      <c r="R36" s="3086" t="s">
        <v>2328</v>
      </c>
      <c r="S36" s="3150"/>
      <c r="T36" s="3068" t="s">
        <v>2329</v>
      </c>
      <c r="U36" s="3068"/>
      <c r="V36" s="3077"/>
    </row>
    <row r="37" spans="1:23" s="3081" customFormat="1" ht="13.15" customHeight="1">
      <c r="A37" s="3159"/>
      <c r="B37" s="3160"/>
      <c r="C37" s="3160"/>
      <c r="D37" s="3160"/>
      <c r="E37" s="3160"/>
      <c r="F37" s="3164"/>
      <c r="G37" s="3158"/>
      <c r="H37" s="3076"/>
      <c r="I37" s="3077"/>
      <c r="J37" s="4383"/>
      <c r="K37" s="4385"/>
      <c r="L37" s="3111"/>
      <c r="M37" s="3112"/>
      <c r="N37" s="3088"/>
      <c r="O37" s="3113"/>
      <c r="P37" s="3113"/>
      <c r="Q37" s="3114"/>
      <c r="R37" s="3115"/>
      <c r="S37" s="3150"/>
      <c r="T37" s="3068" t="s">
        <v>2332</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4383"/>
      <c r="K38" s="4385"/>
      <c r="L38" s="3111"/>
      <c r="M38" s="3112"/>
      <c r="N38" s="3088"/>
      <c r="O38" s="3113"/>
      <c r="P38" s="3113"/>
      <c r="Q38" s="3114"/>
      <c r="R38" s="3115"/>
      <c r="S38" s="3150"/>
      <c r="T38" s="3068" t="s">
        <v>2339</v>
      </c>
      <c r="U38" s="3068"/>
      <c r="V38" s="3077"/>
    </row>
    <row r="39" spans="1:23" s="3081" customFormat="1" ht="13.15" customHeight="1">
      <c r="A39" s="3159">
        <v>9</v>
      </c>
      <c r="B39" s="3160" t="s">
        <v>2428</v>
      </c>
      <c r="C39" s="3125" t="e">
        <f>C38</f>
        <v>#DIV/0!</v>
      </c>
      <c r="D39" s="3160">
        <f>D38/(1+D34)^C36</f>
        <v>0</v>
      </c>
      <c r="E39" s="3160">
        <f>E38/(1+E34)^(C36+D36)</f>
        <v>0</v>
      </c>
      <c r="F39" s="3164"/>
      <c r="G39" s="3219"/>
      <c r="H39" s="3076"/>
      <c r="I39" s="3077"/>
      <c r="J39" s="4383"/>
      <c r="K39" s="4385"/>
      <c r="L39" s="3111"/>
      <c r="M39" s="3112"/>
      <c r="N39" s="3088"/>
      <c r="O39" s="3113"/>
      <c r="P39" s="3113"/>
      <c r="Q39" s="3114"/>
      <c r="R39" s="3115"/>
      <c r="S39" s="3150"/>
      <c r="T39" s="3068"/>
      <c r="U39" s="3068"/>
      <c r="V39" s="3077"/>
    </row>
    <row r="40" spans="1:23" s="3081" customFormat="1" ht="13.15" customHeight="1">
      <c r="A40" s="3220">
        <v>10</v>
      </c>
      <c r="B40" s="3160" t="s">
        <v>2429</v>
      </c>
      <c r="C40" s="3221" t="e">
        <f>C39+D39+E39</f>
        <v>#DIV/0!</v>
      </c>
      <c r="D40" s="3222"/>
      <c r="E40" s="3222"/>
      <c r="F40" s="3223"/>
      <c r="G40" s="3158"/>
      <c r="H40" s="3076"/>
      <c r="I40" s="3077"/>
      <c r="J40" s="4383"/>
      <c r="K40" s="4386"/>
      <c r="L40" s="3131" t="s">
        <v>2430</v>
      </c>
      <c r="M40" s="3132"/>
      <c r="N40" s="3132"/>
      <c r="O40" s="3133"/>
      <c r="P40" s="3133"/>
      <c r="Q40" s="3134"/>
      <c r="R40" s="3080">
        <f>SUM(R37:R39)</f>
        <v>0</v>
      </c>
      <c r="S40" s="3150"/>
      <c r="T40" s="3068"/>
      <c r="U40" s="3068"/>
      <c r="V40" s="3077"/>
    </row>
    <row r="41" spans="1:23" s="3081" customFormat="1" ht="13.15" customHeight="1" thickBot="1">
      <c r="A41" s="3224">
        <v>11</v>
      </c>
      <c r="B41" s="3225" t="s">
        <v>2431</v>
      </c>
      <c r="C41" s="3225" t="e">
        <f>ROUND(C40*10000/B4,0)</f>
        <v>#DIV/0!</v>
      </c>
      <c r="D41" s="3226"/>
      <c r="E41" s="3226"/>
      <c r="F41" s="3227"/>
      <c r="G41" s="3228"/>
      <c r="H41" s="3076"/>
      <c r="I41" s="3077"/>
      <c r="J41" s="3172">
        <v>2</v>
      </c>
      <c r="K41" s="3173" t="s">
        <v>2432</v>
      </c>
      <c r="L41" s="3174"/>
      <c r="M41" s="3174"/>
      <c r="N41" s="3174"/>
      <c r="O41" s="3174"/>
      <c r="P41" s="3175"/>
      <c r="Q41" s="3176"/>
      <c r="R41" s="3147">
        <f>ROUND(R40*Q41,0)</f>
        <v>0</v>
      </c>
      <c r="S41" s="3150"/>
      <c r="T41" s="3068"/>
      <c r="U41" s="3184"/>
      <c r="V41" s="3077"/>
    </row>
    <row r="42" spans="1:23" s="3081" customFormat="1" ht="13.15" customHeight="1">
      <c r="G42" s="3228"/>
      <c r="H42" s="3076"/>
      <c r="I42" s="3077"/>
      <c r="J42" s="4393">
        <v>3</v>
      </c>
      <c r="K42" s="3179" t="s">
        <v>2433</v>
      </c>
      <c r="L42" s="3180"/>
      <c r="M42" s="3181"/>
      <c r="N42" s="3182" t="s">
        <v>2434</v>
      </c>
      <c r="O42" s="3182" t="s">
        <v>2435</v>
      </c>
      <c r="P42" s="3183" t="s">
        <v>2436</v>
      </c>
      <c r="Q42" s="3183" t="s">
        <v>2437</v>
      </c>
      <c r="R42" s="3086" t="s">
        <v>2438</v>
      </c>
      <c r="S42" s="3184"/>
      <c r="T42" s="3184"/>
      <c r="U42" s="3068"/>
      <c r="V42" s="3077"/>
    </row>
    <row r="43" spans="1:23" ht="13.15" customHeight="1">
      <c r="A43" s="3081"/>
      <c r="B43" s="3081"/>
      <c r="C43" s="3081"/>
      <c r="D43" s="3081"/>
      <c r="E43" s="3081"/>
      <c r="F43" s="3081"/>
      <c r="I43" s="3063"/>
      <c r="J43" s="4394"/>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2439</v>
      </c>
      <c r="L44" s="3232" t="s">
        <v>2440</v>
      </c>
      <c r="M44" s="3195"/>
      <c r="N44" s="3232" t="s">
        <v>2441</v>
      </c>
      <c r="O44" s="3195"/>
      <c r="P44" s="3232" t="s">
        <v>2442</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19" sqref="F19"/>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17902</v>
      </c>
      <c r="C2" s="3010"/>
      <c r="D2" s="3010"/>
      <c r="E2" s="3010"/>
      <c r="F2" s="3010"/>
      <c r="G2" s="3010"/>
    </row>
    <row r="3" spans="1:25" s="1783" customFormat="1" ht="18" customHeight="1">
      <c r="A3" s="1237" t="s">
        <v>1218</v>
      </c>
      <c r="B3" s="412">
        <f ca="1">ROUND(B2*10000/'数据-汇总表'!E3,0)</f>
        <v>3023</v>
      </c>
      <c r="C3" s="3010"/>
      <c r="D3" s="3010"/>
      <c r="E3" s="3010"/>
      <c r="F3" s="3010"/>
      <c r="G3" s="3010"/>
    </row>
    <row r="4" spans="1:25" s="1783" customFormat="1" ht="18" customHeight="1">
      <c r="A4" s="413" t="s">
        <v>428</v>
      </c>
      <c r="B4" s="414">
        <f ca="1">ROUND(B2*10000/'数据-汇总表'!D3,0)</f>
        <v>3023</v>
      </c>
      <c r="C4" s="2964"/>
      <c r="D4" s="3010"/>
      <c r="E4" s="3010"/>
      <c r="F4" s="3010"/>
      <c r="G4" s="3010"/>
    </row>
    <row r="5" spans="1:25" s="1783" customFormat="1" ht="18" customHeight="1" thickBot="1">
      <c r="A5" s="416"/>
      <c r="B5" s="417">
        <f ca="1">ROUND(B2/('数据-汇总表'!D3/666.67),0)</f>
        <v>202</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14426</v>
      </c>
      <c r="D7" s="716"/>
      <c r="E7" s="717"/>
      <c r="F7" s="717"/>
      <c r="G7" s="2128"/>
    </row>
    <row r="8" spans="1:25" s="1905" customFormat="1" ht="13.5" customHeight="1">
      <c r="A8" s="2119" t="s">
        <v>1786</v>
      </c>
      <c r="B8" s="2122" t="s">
        <v>1788</v>
      </c>
      <c r="C8" s="3013">
        <f>ROUND(D8*E8/10000,0)</f>
        <v>14426</v>
      </c>
      <c r="D8" s="3013">
        <f>'数据-基础表'!A3</f>
        <v>59218.34</v>
      </c>
      <c r="E8" s="3014">
        <f>'比较法-成本 (搭配划拨)'!C44</f>
        <v>2436</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1095.5392999999999</v>
      </c>
      <c r="D10" s="726"/>
      <c r="E10" s="716"/>
      <c r="F10" s="727"/>
      <c r="G10" s="725" t="s">
        <v>562</v>
      </c>
    </row>
    <row r="11" spans="1:25" s="1905" customFormat="1" ht="13.5" customHeight="1">
      <c r="A11" s="2119" t="s">
        <v>1786</v>
      </c>
      <c r="B11" s="719" t="s">
        <v>558</v>
      </c>
      <c r="C11" s="720">
        <f>'数据-取费表'!B29</f>
        <v>1095.5392999999999</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1096</v>
      </c>
      <c r="D13" s="3013">
        <f>'数据-汇总表'!E6</f>
        <v>59218.34</v>
      </c>
      <c r="E13" s="3013">
        <v>185</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517</v>
      </c>
      <c r="D17" s="728"/>
      <c r="E17" s="729"/>
      <c r="F17" s="730">
        <f ca="1">存贷款利率!E3</f>
        <v>3.4500000000000003E-2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1863</v>
      </c>
      <c r="D18" s="728"/>
      <c r="E18" s="729"/>
      <c r="F18" s="1209">
        <v>0.12</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17901.5393</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17901.5393</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17902</v>
      </c>
      <c r="D22" s="726"/>
      <c r="E22" s="716"/>
      <c r="F22" s="732">
        <v>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17902</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B25" zoomScale="70" zoomScaleNormal="50" zoomScaleSheetLayoutView="70" workbookViewId="0">
      <selection activeCell="J10" sqref="J10"/>
    </sheetView>
  </sheetViews>
  <sheetFormatPr defaultColWidth="9" defaultRowHeight="14.25"/>
  <cols>
    <col min="1" max="1" width="13.375" style="3738" customWidth="1"/>
    <col min="2" max="2" width="15.75" style="3738" customWidth="1"/>
    <col min="3" max="3" width="14.375" style="3738" customWidth="1"/>
    <col min="4" max="4" width="12.25" style="3738" customWidth="1"/>
    <col min="5" max="5" width="14.375" style="3738" customWidth="1"/>
    <col min="6" max="6" width="12.25" style="3738" customWidth="1"/>
    <col min="7" max="7" width="14.5" style="3738" customWidth="1"/>
    <col min="8" max="8" width="12.25" style="3738" customWidth="1"/>
    <col min="9" max="9" width="14.5" style="3738" customWidth="1"/>
    <col min="10" max="10" width="12.25" style="3738" customWidth="1"/>
    <col min="11" max="11" width="12.25" style="4079" customWidth="1"/>
    <col min="12" max="12" width="12.25" style="4080" customWidth="1"/>
    <col min="13" max="15" width="12.25" style="3738" customWidth="1"/>
    <col min="16" max="16" width="4.75" style="3738" customWidth="1"/>
    <col min="17" max="17" width="19.5" style="3738" customWidth="1"/>
    <col min="18" max="22" width="6.125" style="3738" customWidth="1"/>
    <col min="23" max="23" width="5.75" style="3738" customWidth="1"/>
    <col min="24" max="24" width="4.25" style="3738" customWidth="1"/>
    <col min="25" max="25" width="3.5" style="3738" customWidth="1"/>
    <col min="26" max="26" width="19.75" style="3738" customWidth="1"/>
    <col min="27" max="28" width="9.375" style="3738" customWidth="1"/>
    <col min="29" max="16384" width="9" style="3738"/>
  </cols>
  <sheetData>
    <row r="1" spans="1:29" s="3715" customFormat="1" ht="28.5" customHeight="1">
      <c r="A1" s="3704" t="s">
        <v>3302</v>
      </c>
      <c r="B1" s="3705"/>
      <c r="C1" s="3706" t="s">
        <v>3303</v>
      </c>
      <c r="D1" s="3707" t="s">
        <v>3304</v>
      </c>
      <c r="E1" s="3708"/>
      <c r="F1" s="3709"/>
      <c r="G1" s="3708"/>
      <c r="H1" s="3708"/>
      <c r="I1" s="3708"/>
      <c r="J1" s="3708"/>
      <c r="K1" s="3710"/>
      <c r="L1" s="3711"/>
      <c r="M1" s="3712"/>
      <c r="N1" s="3712"/>
      <c r="O1" s="3712"/>
      <c r="P1" s="3713"/>
      <c r="Q1" s="3713"/>
      <c r="R1" s="3713"/>
      <c r="S1" s="3713"/>
      <c r="T1" s="3713"/>
      <c r="U1" s="3713"/>
      <c r="V1" s="3713"/>
      <c r="W1" s="3713"/>
      <c r="X1" s="3713"/>
      <c r="Y1" s="3713"/>
      <c r="Z1" s="3713"/>
      <c r="AA1" s="3713"/>
      <c r="AB1" s="3713"/>
      <c r="AC1" s="3714"/>
    </row>
    <row r="2" spans="1:29" s="3715" customFormat="1" ht="28.5" customHeight="1">
      <c r="A2" s="3716" t="s">
        <v>3305</v>
      </c>
      <c r="B2" s="3717">
        <f>F62</f>
        <v>5389</v>
      </c>
      <c r="C2" s="3718"/>
      <c r="D2" s="3718"/>
      <c r="E2" s="3718"/>
      <c r="F2" s="3719"/>
      <c r="G2" s="3718"/>
      <c r="H2" s="3718"/>
      <c r="I2" s="3718"/>
      <c r="J2" s="3718"/>
      <c r="K2" s="3720"/>
      <c r="L2" s="3721"/>
      <c r="M2" s="3713"/>
      <c r="N2" s="3713"/>
      <c r="O2" s="3713"/>
      <c r="P2" s="3713"/>
      <c r="Q2" s="3713"/>
      <c r="R2" s="3713"/>
      <c r="S2" s="3713"/>
      <c r="T2" s="3713"/>
      <c r="U2" s="3713"/>
      <c r="V2" s="3713"/>
      <c r="W2" s="3713"/>
      <c r="X2" s="3713"/>
      <c r="Y2" s="3713"/>
      <c r="Z2" s="3713"/>
      <c r="AA2" s="3713"/>
      <c r="AB2" s="3713"/>
      <c r="AC2" s="3714"/>
    </row>
    <row r="3" spans="1:29" s="3715" customFormat="1" ht="28.5" customHeight="1">
      <c r="A3" s="3722" t="s">
        <v>3306</v>
      </c>
      <c r="B3" s="3723">
        <f>ROUND(B2*10000/'[1]数据-汇总表'!E3,0)</f>
        <v>2436</v>
      </c>
      <c r="C3" s="3724"/>
      <c r="D3" s="3724"/>
      <c r="E3" s="3724"/>
      <c r="F3" s="3724"/>
      <c r="G3" s="3718"/>
      <c r="H3" s="3718"/>
      <c r="I3" s="3718"/>
      <c r="J3" s="3718"/>
      <c r="K3" s="3720"/>
      <c r="L3" s="3721"/>
      <c r="M3" s="3713"/>
      <c r="N3" s="3713"/>
      <c r="O3" s="3713"/>
      <c r="P3" s="3713"/>
      <c r="Q3" s="3713"/>
      <c r="R3" s="3713"/>
      <c r="S3" s="3713"/>
      <c r="T3" s="3713"/>
      <c r="U3" s="3713"/>
      <c r="V3" s="3713"/>
      <c r="W3" s="3713"/>
      <c r="X3" s="3713"/>
      <c r="Y3" s="3713"/>
      <c r="Z3" s="3713"/>
      <c r="AA3" s="3713"/>
      <c r="AB3" s="3725"/>
      <c r="AC3" s="3725"/>
    </row>
    <row r="4" spans="1:29" s="3715" customFormat="1" ht="28.5" customHeight="1">
      <c r="A4" s="3726" t="s">
        <v>3307</v>
      </c>
      <c r="B4" s="3727">
        <f>IF(B43="单位面积地价",C45,ROUND(B2*10000/'[1]数据-汇总表'!D3,0))</f>
        <v>2436</v>
      </c>
      <c r="C4" s="3724"/>
      <c r="D4" s="3724"/>
      <c r="E4" s="3724"/>
      <c r="F4" s="3724"/>
      <c r="G4" s="3718"/>
      <c r="H4" s="3718"/>
      <c r="I4" s="3718"/>
      <c r="J4" s="3718"/>
      <c r="K4" s="3720"/>
      <c r="L4" s="3721"/>
      <c r="M4" s="3713"/>
      <c r="N4" s="3713"/>
      <c r="O4" s="3713"/>
      <c r="P4" s="3713"/>
      <c r="Q4" s="3713"/>
      <c r="R4" s="3713"/>
      <c r="S4" s="3713"/>
      <c r="T4" s="3713"/>
      <c r="U4" s="3713"/>
      <c r="V4" s="3713"/>
      <c r="W4" s="3713"/>
      <c r="X4" s="3713"/>
      <c r="Y4" s="3713"/>
      <c r="Z4" s="3713"/>
      <c r="AA4" s="3713"/>
      <c r="AB4" s="3713"/>
      <c r="AC4" s="3725"/>
    </row>
    <row r="5" spans="1:29" s="3715" customFormat="1" ht="28.5" customHeight="1" thickBot="1">
      <c r="A5" s="3728"/>
      <c r="B5" s="3729">
        <f>ROUND(B2/('[1]数据-汇总表'!D3/666.67),0)</f>
        <v>162</v>
      </c>
      <c r="C5" s="3730" t="s">
        <v>3308</v>
      </c>
      <c r="D5" s="3724"/>
      <c r="E5" s="3724"/>
      <c r="F5" s="3724"/>
      <c r="G5" s="3718"/>
      <c r="H5" s="3718"/>
      <c r="I5" s="3718"/>
      <c r="J5" s="3718"/>
      <c r="K5" s="3720"/>
      <c r="L5" s="3721"/>
      <c r="M5" s="3713"/>
      <c r="N5" s="3713"/>
      <c r="O5" s="3713"/>
      <c r="P5" s="3713"/>
      <c r="Q5" s="3713"/>
      <c r="R5" s="3713"/>
      <c r="S5" s="3713"/>
      <c r="T5" s="3713"/>
      <c r="U5" s="3713"/>
      <c r="V5" s="3713"/>
      <c r="W5" s="3713"/>
      <c r="X5" s="3713"/>
      <c r="Y5" s="3713"/>
      <c r="Z5" s="3713"/>
      <c r="AA5" s="3713"/>
      <c r="AB5" s="3731"/>
      <c r="AC5" s="3725"/>
    </row>
    <row r="6" spans="1:29" ht="15">
      <c r="A6" s="3732" t="s">
        <v>3309</v>
      </c>
      <c r="B6" s="3733"/>
      <c r="C6" s="4398" t="s">
        <v>3310</v>
      </c>
      <c r="D6" s="4399"/>
      <c r="E6" s="4400" t="s">
        <v>472</v>
      </c>
      <c r="F6" s="4401"/>
      <c r="G6" s="4398" t="s">
        <v>3311</v>
      </c>
      <c r="H6" s="4399"/>
      <c r="I6" s="4398" t="s">
        <v>3312</v>
      </c>
      <c r="J6" s="4399"/>
      <c r="K6" s="3734" t="s">
        <v>475</v>
      </c>
      <c r="L6" s="3735"/>
      <c r="M6" s="3736"/>
      <c r="N6" s="3736"/>
      <c r="O6" s="3736"/>
      <c r="P6" s="4402" t="s">
        <v>3313</v>
      </c>
      <c r="Q6" s="4403"/>
      <c r="R6" s="4408" t="s">
        <v>3314</v>
      </c>
      <c r="S6" s="4409"/>
      <c r="T6" s="4408" t="s">
        <v>3311</v>
      </c>
      <c r="U6" s="4409"/>
      <c r="V6" s="4420" t="s">
        <v>3312</v>
      </c>
      <c r="W6" s="4420"/>
      <c r="X6" s="3737"/>
      <c r="Y6" s="4408" t="s">
        <v>3313</v>
      </c>
      <c r="Z6" s="4409"/>
      <c r="AA6" s="4397" t="s">
        <v>3314</v>
      </c>
      <c r="AB6" s="4395" t="s">
        <v>3311</v>
      </c>
      <c r="AC6" s="4397" t="s">
        <v>3312</v>
      </c>
    </row>
    <row r="7" spans="1:29" ht="15">
      <c r="A7" s="3739"/>
      <c r="B7" s="3740"/>
      <c r="C7" s="4412" t="s">
        <v>2192</v>
      </c>
      <c r="D7" s="4413"/>
      <c r="E7" s="4414" t="str">
        <f>成本案例!B3</f>
        <v xml:space="preserve">顺义区国展预留地剩余地块 土地一级开发项目 </v>
      </c>
      <c r="F7" s="4415"/>
      <c r="G7" s="4412" t="str">
        <f>成本案例!B4</f>
        <v>顺义区仁和镇平各庄村B 地块土地一级开发项目</v>
      </c>
      <c r="H7" s="4413"/>
      <c r="I7" s="4412" t="str">
        <f>成本案例!B6</f>
        <v>顺义区M15号线后沙峪站ABC地块</v>
      </c>
      <c r="J7" s="4413"/>
      <c r="K7" s="3734"/>
      <c r="L7" s="3735"/>
      <c r="M7" s="3736"/>
      <c r="N7" s="3736"/>
      <c r="O7" s="3736"/>
      <c r="P7" s="4404"/>
      <c r="Q7" s="4405"/>
      <c r="R7" s="4410"/>
      <c r="S7" s="4411"/>
      <c r="T7" s="4410"/>
      <c r="U7" s="4411"/>
      <c r="V7" s="4420"/>
      <c r="W7" s="4420"/>
      <c r="X7" s="3737"/>
      <c r="Y7" s="4410"/>
      <c r="Z7" s="4411"/>
      <c r="AA7" s="4395"/>
      <c r="AB7" s="4395"/>
      <c r="AC7" s="4395"/>
    </row>
    <row r="8" spans="1:29" ht="15.75" thickBot="1">
      <c r="A8" s="3741"/>
      <c r="B8" s="3742"/>
      <c r="C8" s="4421" t="s">
        <v>3315</v>
      </c>
      <c r="D8" s="4422"/>
      <c r="E8" s="4423"/>
      <c r="F8" s="4424"/>
      <c r="G8" s="4425"/>
      <c r="H8" s="4422"/>
      <c r="I8" s="4425"/>
      <c r="J8" s="4422"/>
      <c r="K8" s="3734" t="s">
        <v>477</v>
      </c>
      <c r="L8" s="3735"/>
      <c r="M8" s="3736"/>
      <c r="N8" s="3736"/>
      <c r="O8" s="3736"/>
      <c r="P8" s="4406"/>
      <c r="Q8" s="4407"/>
      <c r="R8" s="4410"/>
      <c r="S8" s="4411"/>
      <c r="T8" s="4418"/>
      <c r="U8" s="4419"/>
      <c r="V8" s="4420"/>
      <c r="W8" s="4420"/>
      <c r="X8" s="3737"/>
      <c r="Y8" s="4418"/>
      <c r="Z8" s="4419"/>
      <c r="AA8" s="4396"/>
      <c r="AB8" s="4396"/>
      <c r="AC8" s="4396"/>
    </row>
    <row r="9" spans="1:29" s="3753" customFormat="1" ht="15.75" thickBot="1">
      <c r="A9" s="3743"/>
      <c r="B9" s="3744" t="s">
        <v>478</v>
      </c>
      <c r="C9" s="4087">
        <f>'数据-取费表'!B2</f>
        <v>45382</v>
      </c>
      <c r="D9" s="3745">
        <v>100</v>
      </c>
      <c r="E9" s="4085">
        <f>成本案例!I3</f>
        <v>44105</v>
      </c>
      <c r="F9" s="3746">
        <v>91.48</v>
      </c>
      <c r="G9" s="4086">
        <f>成本案例!I4</f>
        <v>44652</v>
      </c>
      <c r="H9" s="3745">
        <v>95.01</v>
      </c>
      <c r="I9" s="4086">
        <f>成本案例!I6</f>
        <v>44986</v>
      </c>
      <c r="J9" s="3745">
        <v>97.26</v>
      </c>
      <c r="K9" s="3734"/>
      <c r="L9" s="3747"/>
      <c r="M9" s="3748"/>
      <c r="N9" s="3748"/>
      <c r="O9" s="3748"/>
      <c r="P9" s="4416" t="s">
        <v>479</v>
      </c>
      <c r="Q9" s="4426"/>
      <c r="R9" s="3749" t="s">
        <v>5</v>
      </c>
      <c r="S9" s="3750">
        <f t="shared" ref="S9:S17" si="0">F9</f>
        <v>91.48</v>
      </c>
      <c r="T9" s="3749" t="s">
        <v>5</v>
      </c>
      <c r="U9" s="3750">
        <f t="shared" ref="U9:U17" si="1">H9</f>
        <v>95.01</v>
      </c>
      <c r="V9" s="3749" t="s">
        <v>5</v>
      </c>
      <c r="W9" s="3750">
        <f t="shared" ref="W9:W17" si="2">J9</f>
        <v>97.26</v>
      </c>
      <c r="X9" s="3751"/>
      <c r="Y9" s="4416" t="s">
        <v>479</v>
      </c>
      <c r="Z9" s="4417"/>
      <c r="AA9" s="3752">
        <f>D9/F9</f>
        <v>1.0931351114997814</v>
      </c>
      <c r="AB9" s="3752">
        <f>D9/H9</f>
        <v>1.0525207872855489</v>
      </c>
      <c r="AC9" s="3752">
        <f>D9/J9</f>
        <v>1.0281719103434093</v>
      </c>
    </row>
    <row r="10" spans="1:29" s="3753" customFormat="1" ht="15.75" thickBot="1">
      <c r="A10" s="3754"/>
      <c r="B10" s="3755" t="s">
        <v>480</v>
      </c>
      <c r="C10" s="3756" t="s">
        <v>481</v>
      </c>
      <c r="D10" s="3745">
        <v>100</v>
      </c>
      <c r="E10" s="3756" t="s">
        <v>3316</v>
      </c>
      <c r="F10" s="3746">
        <f>SUMIF(69:69,E10,70:70)-SUMIF(69:69,C10,70:70)+100</f>
        <v>100</v>
      </c>
      <c r="G10" s="3756" t="s">
        <v>3316</v>
      </c>
      <c r="H10" s="3745">
        <f>SUMIF(69:69,G10,70:70)-SUMIF(69:69,C10,70:70)+100</f>
        <v>100</v>
      </c>
      <c r="I10" s="3756" t="s">
        <v>3316</v>
      </c>
      <c r="J10" s="3745">
        <f>SUMIF(69:69,I10,70:70)-SUMIF(69:69,C10,70:70)+100</f>
        <v>100</v>
      </c>
      <c r="K10" s="3734"/>
      <c r="L10" s="3747"/>
      <c r="M10" s="3748"/>
      <c r="N10" s="3748"/>
      <c r="O10" s="3748"/>
      <c r="P10" s="4416" t="s">
        <v>482</v>
      </c>
      <c r="Q10" s="4417"/>
      <c r="R10" s="3749" t="s">
        <v>5</v>
      </c>
      <c r="S10" s="3750">
        <f t="shared" si="0"/>
        <v>100</v>
      </c>
      <c r="T10" s="3749" t="s">
        <v>5</v>
      </c>
      <c r="U10" s="3750">
        <f t="shared" si="1"/>
        <v>100</v>
      </c>
      <c r="V10" s="3749" t="s">
        <v>5</v>
      </c>
      <c r="W10" s="3750">
        <f t="shared" si="2"/>
        <v>100</v>
      </c>
      <c r="X10" s="3751"/>
      <c r="Y10" s="4416" t="s">
        <v>482</v>
      </c>
      <c r="Z10" s="4417"/>
      <c r="AA10" s="3752">
        <f t="shared" ref="AA10:AA42" si="3">D10/F10</f>
        <v>1</v>
      </c>
      <c r="AB10" s="3752">
        <f t="shared" ref="AB10:AB42" si="4">D10/H10</f>
        <v>1</v>
      </c>
      <c r="AC10" s="3752">
        <f t="shared" ref="AC10:AC42" si="5">D10/J10</f>
        <v>1</v>
      </c>
    </row>
    <row r="11" spans="1:29" s="3753" customFormat="1" ht="15">
      <c r="A11" s="3757"/>
      <c r="B11" s="3758" t="s">
        <v>2038</v>
      </c>
      <c r="C11" s="3759" t="s">
        <v>905</v>
      </c>
      <c r="D11" s="3760">
        <v>100</v>
      </c>
      <c r="E11" s="3759" t="s">
        <v>905</v>
      </c>
      <c r="F11" s="3760">
        <f>SUMIF(71:71,E11,72:72)-SUMIF(71:71,C11,72:72)+100</f>
        <v>100</v>
      </c>
      <c r="G11" s="3759" t="s">
        <v>905</v>
      </c>
      <c r="H11" s="3760">
        <f>SUMIF(71:71,G11,72:72)-SUMIF(71:71,C11,72:72)+100</f>
        <v>100</v>
      </c>
      <c r="I11" s="3759" t="s">
        <v>905</v>
      </c>
      <c r="J11" s="3760">
        <f>SUMIF(71:71,I11,72:72)-SUMIF(71:71,C11,72:72)+100</f>
        <v>100</v>
      </c>
      <c r="K11" s="3734"/>
      <c r="L11" s="3747"/>
      <c r="M11" s="3748"/>
      <c r="N11" s="3748"/>
      <c r="O11" s="3761"/>
      <c r="P11" s="4427" t="s">
        <v>484</v>
      </c>
      <c r="Q11" s="3762" t="str">
        <f t="shared" ref="Q11:Q17" si="6">B11</f>
        <v>用途</v>
      </c>
      <c r="R11" s="3749" t="s">
        <v>5</v>
      </c>
      <c r="S11" s="3750">
        <f t="shared" si="0"/>
        <v>100</v>
      </c>
      <c r="T11" s="3749" t="s">
        <v>5</v>
      </c>
      <c r="U11" s="3750">
        <f t="shared" si="1"/>
        <v>100</v>
      </c>
      <c r="V11" s="3749" t="s">
        <v>5</v>
      </c>
      <c r="W11" s="3750">
        <f t="shared" si="2"/>
        <v>100</v>
      </c>
      <c r="X11" s="3751"/>
      <c r="Y11" s="4428" t="s">
        <v>485</v>
      </c>
      <c r="Z11" s="3763" t="str">
        <f t="shared" ref="Z11:Z17" si="7">Q11</f>
        <v>用途</v>
      </c>
      <c r="AA11" s="3752">
        <f t="shared" si="3"/>
        <v>1</v>
      </c>
      <c r="AB11" s="3752">
        <f t="shared" si="4"/>
        <v>1</v>
      </c>
      <c r="AC11" s="3752">
        <f t="shared" si="5"/>
        <v>1</v>
      </c>
    </row>
    <row r="12" spans="1:29" s="3771" customFormat="1" ht="27">
      <c r="A12" s="3764"/>
      <c r="B12" s="3755" t="s">
        <v>2039</v>
      </c>
      <c r="C12" s="3765">
        <v>50</v>
      </c>
      <c r="D12" s="3766">
        <v>100</v>
      </c>
      <c r="E12" s="3765">
        <f>C12</f>
        <v>50</v>
      </c>
      <c r="F12" s="3766">
        <f>ROUND(100/'[1]数据-取费表'!G16,0)</f>
        <v>100</v>
      </c>
      <c r="G12" s="3765">
        <f>C12</f>
        <v>50</v>
      </c>
      <c r="H12" s="3766">
        <f>ROUND(100/'[1]数据-取费表'!G16,0)</f>
        <v>100</v>
      </c>
      <c r="I12" s="3765">
        <f>C12</f>
        <v>50</v>
      </c>
      <c r="J12" s="3766">
        <f>ROUND(100/'[1]数据-取费表'!G16,0)</f>
        <v>100</v>
      </c>
      <c r="K12" s="3767"/>
      <c r="L12" s="3768"/>
      <c r="M12" s="3769"/>
      <c r="N12" s="3769"/>
      <c r="O12" s="3770"/>
      <c r="P12" s="4427"/>
      <c r="Q12" s="3762" t="str">
        <f t="shared" si="6"/>
        <v>土地使用年限（年）</v>
      </c>
      <c r="R12" s="3749" t="s">
        <v>5</v>
      </c>
      <c r="S12" s="3750">
        <f t="shared" si="0"/>
        <v>100</v>
      </c>
      <c r="T12" s="3749" t="s">
        <v>5</v>
      </c>
      <c r="U12" s="3750">
        <f t="shared" si="1"/>
        <v>100</v>
      </c>
      <c r="V12" s="3749" t="s">
        <v>5</v>
      </c>
      <c r="W12" s="3750">
        <f t="shared" si="2"/>
        <v>100</v>
      </c>
      <c r="X12" s="3751"/>
      <c r="Y12" s="4428"/>
      <c r="Z12" s="3763" t="str">
        <f t="shared" si="7"/>
        <v>土地使用年限（年）</v>
      </c>
      <c r="AA12" s="3752">
        <f t="shared" si="3"/>
        <v>1</v>
      </c>
      <c r="AB12" s="3752">
        <f t="shared" si="4"/>
        <v>1</v>
      </c>
      <c r="AC12" s="3752">
        <f t="shared" si="5"/>
        <v>1</v>
      </c>
    </row>
    <row r="13" spans="1:29" ht="15">
      <c r="A13" s="3772"/>
      <c r="B13" s="3755" t="s">
        <v>2040</v>
      </c>
      <c r="C13" s="3773">
        <v>1</v>
      </c>
      <c r="D13" s="3766">
        <v>100</v>
      </c>
      <c r="E13" s="3773">
        <v>1</v>
      </c>
      <c r="F13" s="3766">
        <f>LOOKUP(E13,76:76,77:77)-LOOKUP(C13,76:76,77:77)+100</f>
        <v>100</v>
      </c>
      <c r="G13" s="3774">
        <v>1</v>
      </c>
      <c r="H13" s="3766">
        <f>LOOKUP(G13,76:76,77:77)-LOOKUP(C13,76:76,77:77)+100</f>
        <v>100</v>
      </c>
      <c r="I13" s="3773">
        <v>1</v>
      </c>
      <c r="J13" s="3766">
        <f>LOOKUP(I13,76:76,77:77)-LOOKUP(C13,76:76,77:77)+100</f>
        <v>100</v>
      </c>
      <c r="K13" s="3775"/>
      <c r="L13" s="3776"/>
      <c r="M13" s="3736"/>
      <c r="N13" s="3736"/>
      <c r="O13" s="3777"/>
      <c r="P13" s="4427"/>
      <c r="Q13" s="3762" t="str">
        <f t="shared" si="6"/>
        <v>容积率</v>
      </c>
      <c r="R13" s="3749" t="s">
        <v>5</v>
      </c>
      <c r="S13" s="3750">
        <f t="shared" si="0"/>
        <v>100</v>
      </c>
      <c r="T13" s="3749" t="s">
        <v>5</v>
      </c>
      <c r="U13" s="3750">
        <f t="shared" si="1"/>
        <v>100</v>
      </c>
      <c r="V13" s="3749" t="s">
        <v>5</v>
      </c>
      <c r="W13" s="3750">
        <f t="shared" si="2"/>
        <v>100</v>
      </c>
      <c r="X13" s="3751"/>
      <c r="Y13" s="4428"/>
      <c r="Z13" s="3763" t="str">
        <f t="shared" si="7"/>
        <v>容积率</v>
      </c>
      <c r="AA13" s="3752">
        <f t="shared" si="3"/>
        <v>1</v>
      </c>
      <c r="AB13" s="3752">
        <f t="shared" si="4"/>
        <v>1</v>
      </c>
      <c r="AC13" s="3752">
        <f t="shared" si="5"/>
        <v>1</v>
      </c>
    </row>
    <row r="14" spans="1:29" s="3753" customFormat="1" ht="15">
      <c r="A14" s="3778"/>
      <c r="B14" s="3779">
        <v>111</v>
      </c>
      <c r="C14" s="3765"/>
      <c r="D14" s="3780">
        <v>100</v>
      </c>
      <c r="E14" s="3781"/>
      <c r="F14" s="3766">
        <f>SUMIF(78:78,E14,79:79)-SUMIF(78:78,C14,79:79)+100</f>
        <v>100</v>
      </c>
      <c r="G14" s="3782"/>
      <c r="H14" s="3766">
        <f>SUMIF(78:78,G14,79:79)-SUMIF(78:78,C14,79:79)+100</f>
        <v>100</v>
      </c>
      <c r="I14" s="3781"/>
      <c r="J14" s="3766">
        <f>SUMIF(78:78,I14,79:79)-SUMIF(78:78,C14,79:79)+100</f>
        <v>100</v>
      </c>
      <c r="K14" s="3767"/>
      <c r="L14" s="3747"/>
      <c r="M14" s="3748"/>
      <c r="N14" s="3748"/>
      <c r="O14" s="3761"/>
      <c r="P14" s="4427"/>
      <c r="Q14" s="3762">
        <f t="shared" si="6"/>
        <v>111</v>
      </c>
      <c r="R14" s="3749" t="s">
        <v>5</v>
      </c>
      <c r="S14" s="3750">
        <f t="shared" si="0"/>
        <v>100</v>
      </c>
      <c r="T14" s="3749" t="s">
        <v>5</v>
      </c>
      <c r="U14" s="3750">
        <f t="shared" si="1"/>
        <v>100</v>
      </c>
      <c r="V14" s="3749" t="s">
        <v>5</v>
      </c>
      <c r="W14" s="3750">
        <f t="shared" si="2"/>
        <v>100</v>
      </c>
      <c r="X14" s="3751"/>
      <c r="Y14" s="4428"/>
      <c r="Z14" s="3763">
        <f t="shared" si="7"/>
        <v>111</v>
      </c>
      <c r="AA14" s="3752">
        <f>D14/F14</f>
        <v>1</v>
      </c>
      <c r="AB14" s="3752">
        <f>D14/H14</f>
        <v>1</v>
      </c>
      <c r="AC14" s="3752">
        <f>D14/J14</f>
        <v>1</v>
      </c>
    </row>
    <row r="15" spans="1:29" ht="15">
      <c r="A15" s="3778"/>
      <c r="B15" s="3779">
        <v>111</v>
      </c>
      <c r="C15" s="3783"/>
      <c r="D15" s="3784">
        <v>100</v>
      </c>
      <c r="E15" s="3781"/>
      <c r="F15" s="3766">
        <f>SUMIF(80:80,E15,81:81)-SUMIF(80:80,C15,81:81)+100</f>
        <v>100</v>
      </c>
      <c r="G15" s="3782"/>
      <c r="H15" s="3784">
        <f>SUMIF(80:80,G15,81:81)-SUMIF(80:80,C15,81:81)+100</f>
        <v>100</v>
      </c>
      <c r="I15" s="3781"/>
      <c r="J15" s="3784">
        <f>SUMIF(80:80,I15,81:81)-SUMIF(80:80,C15,81:81)+100</f>
        <v>100</v>
      </c>
      <c r="K15" s="3767"/>
      <c r="L15" s="3785"/>
      <c r="M15" s="3736"/>
      <c r="N15" s="3736"/>
      <c r="O15" s="3777"/>
      <c r="P15" s="4427"/>
      <c r="Q15" s="3762">
        <f t="shared" si="6"/>
        <v>111</v>
      </c>
      <c r="R15" s="3749" t="s">
        <v>5</v>
      </c>
      <c r="S15" s="3750">
        <f t="shared" si="0"/>
        <v>100</v>
      </c>
      <c r="T15" s="3749" t="s">
        <v>5</v>
      </c>
      <c r="U15" s="3750">
        <f t="shared" si="1"/>
        <v>100</v>
      </c>
      <c r="V15" s="3749" t="s">
        <v>5</v>
      </c>
      <c r="W15" s="3750">
        <f t="shared" si="2"/>
        <v>100</v>
      </c>
      <c r="X15" s="3751"/>
      <c r="Y15" s="4428"/>
      <c r="Z15" s="3763">
        <f t="shared" si="7"/>
        <v>111</v>
      </c>
      <c r="AA15" s="3752">
        <f t="shared" si="3"/>
        <v>1</v>
      </c>
      <c r="AB15" s="3752">
        <f t="shared" si="4"/>
        <v>1</v>
      </c>
      <c r="AC15" s="3752">
        <f t="shared" si="5"/>
        <v>1</v>
      </c>
    </row>
    <row r="16" spans="1:29" ht="15.75" thickBot="1">
      <c r="A16" s="3786"/>
      <c r="B16" s="3787">
        <v>111</v>
      </c>
      <c r="C16" s="3788"/>
      <c r="D16" s="3789">
        <v>100</v>
      </c>
      <c r="E16" s="3781"/>
      <c r="F16" s="3789">
        <f>SUMIF(82:82,E16,83:83)-SUMIF(82:82,C16,83:83)+100</f>
        <v>100</v>
      </c>
      <c r="G16" s="3782"/>
      <c r="H16" s="3789">
        <f>SUMIF(82:82,G16,83:83)-SUMIF(82:82,C16,83:83)+100</f>
        <v>100</v>
      </c>
      <c r="I16" s="3781"/>
      <c r="J16" s="3789">
        <f>SUMIF(82:82,I16,83:83)-SUMIF(82:82,C16,83:83)+100</f>
        <v>100</v>
      </c>
      <c r="K16" s="3767"/>
      <c r="L16" s="3785"/>
      <c r="M16" s="3736"/>
      <c r="N16" s="3736"/>
      <c r="O16" s="3777"/>
      <c r="P16" s="4427"/>
      <c r="Q16" s="3762">
        <f t="shared" si="6"/>
        <v>111</v>
      </c>
      <c r="R16" s="3749" t="s">
        <v>5</v>
      </c>
      <c r="S16" s="3750">
        <f t="shared" si="0"/>
        <v>100</v>
      </c>
      <c r="T16" s="3749" t="s">
        <v>5</v>
      </c>
      <c r="U16" s="3750">
        <f t="shared" si="1"/>
        <v>100</v>
      </c>
      <c r="V16" s="3749" t="s">
        <v>5</v>
      </c>
      <c r="W16" s="3750">
        <f t="shared" si="2"/>
        <v>100</v>
      </c>
      <c r="X16" s="3751"/>
      <c r="Y16" s="4428"/>
      <c r="Z16" s="3763">
        <f t="shared" si="7"/>
        <v>111</v>
      </c>
      <c r="AA16" s="3752">
        <f t="shared" si="3"/>
        <v>1</v>
      </c>
      <c r="AB16" s="3752">
        <f t="shared" si="4"/>
        <v>1</v>
      </c>
      <c r="AC16" s="3752">
        <f t="shared" si="5"/>
        <v>1</v>
      </c>
    </row>
    <row r="17" spans="1:29" ht="171">
      <c r="A17" s="3790" t="s">
        <v>3317</v>
      </c>
      <c r="B17" s="3791" t="s">
        <v>550</v>
      </c>
      <c r="C17" s="3792" t="str">
        <f>[1]估价对象房地状况!G15</f>
        <v>估价对象现状周边以产业用地为主，邻近周边有乐铁设备（北京）有限公司、综合信兴物流（南法信卫生院东北）、安博北京首都机场第二物流中心等，物流企业较多，产业集聚程度较好</v>
      </c>
      <c r="D17" s="3793">
        <v>100</v>
      </c>
      <c r="E17" s="3794"/>
      <c r="F17" s="3793">
        <f>SUMIF(84:84,E18,85:85)-SUMIF(84:84,C18,85:85)+100</f>
        <v>100</v>
      </c>
      <c r="G17" s="3794"/>
      <c r="H17" s="3793">
        <f>SUMIF(84:84,G18,85:85)-SUMIF(84:84,C18,85:85)+100</f>
        <v>100</v>
      </c>
      <c r="I17" s="3795"/>
      <c r="J17" s="3793">
        <f>SUMIF(84:84,I18,85:85)-SUMIF(84:84,C18,85:85)+100</f>
        <v>100</v>
      </c>
      <c r="K17" s="3775">
        <v>4</v>
      </c>
      <c r="L17" s="3785"/>
      <c r="M17" s="3736"/>
      <c r="N17" s="3736"/>
      <c r="O17" s="3777"/>
      <c r="P17" s="4429" t="s">
        <v>489</v>
      </c>
      <c r="Q17" s="3796" t="str">
        <f t="shared" si="6"/>
        <v>产业集聚程度</v>
      </c>
      <c r="R17" s="3797" t="s">
        <v>5</v>
      </c>
      <c r="S17" s="3798">
        <f t="shared" si="0"/>
        <v>100</v>
      </c>
      <c r="T17" s="3797" t="s">
        <v>5</v>
      </c>
      <c r="U17" s="3798">
        <f t="shared" si="1"/>
        <v>100</v>
      </c>
      <c r="V17" s="3797" t="s">
        <v>5</v>
      </c>
      <c r="W17" s="3798">
        <f t="shared" si="2"/>
        <v>100</v>
      </c>
      <c r="X17" s="3737"/>
      <c r="Y17" s="4429" t="s">
        <v>489</v>
      </c>
      <c r="Z17" s="3799" t="str">
        <f t="shared" si="7"/>
        <v>产业集聚程度</v>
      </c>
      <c r="AA17" s="3800">
        <f t="shared" si="3"/>
        <v>1</v>
      </c>
      <c r="AB17" s="3800">
        <f t="shared" si="4"/>
        <v>1</v>
      </c>
      <c r="AC17" s="3800">
        <f t="shared" si="5"/>
        <v>1</v>
      </c>
    </row>
    <row r="18" spans="1:29" ht="15">
      <c r="A18" s="3801"/>
      <c r="B18" s="3802"/>
      <c r="C18" s="3803" t="s">
        <v>3318</v>
      </c>
      <c r="D18" s="3804"/>
      <c r="E18" s="3805" t="s">
        <v>3318</v>
      </c>
      <c r="F18" s="3804"/>
      <c r="G18" s="3805" t="s">
        <v>3318</v>
      </c>
      <c r="H18" s="3806"/>
      <c r="I18" s="3805" t="s">
        <v>3318</v>
      </c>
      <c r="J18" s="3804"/>
      <c r="K18" s="3767"/>
      <c r="L18" s="3785"/>
      <c r="M18" s="3736"/>
      <c r="N18" s="3736"/>
      <c r="O18" s="3777"/>
      <c r="P18" s="4430"/>
      <c r="Q18" s="3796"/>
      <c r="R18" s="3797"/>
      <c r="S18" s="3798"/>
      <c r="T18" s="3797"/>
      <c r="U18" s="3798"/>
      <c r="V18" s="3797"/>
      <c r="W18" s="3798"/>
      <c r="X18" s="3737"/>
      <c r="Y18" s="4430"/>
      <c r="Z18" s="3799"/>
      <c r="AA18" s="3800">
        <v>1</v>
      </c>
      <c r="AB18" s="3800">
        <v>1</v>
      </c>
      <c r="AC18" s="3800">
        <v>1</v>
      </c>
    </row>
    <row r="19" spans="1:29" ht="171">
      <c r="A19" s="3801"/>
      <c r="B19" s="3807" t="s">
        <v>534</v>
      </c>
      <c r="C19" s="3808" t="str">
        <f>[1]估价对象房地状况!G16</f>
        <v>估价对象临近城市次干道——顺于路、周边有顺2路、顺27路、顺28路、顺38路、顺43路、顺59路、顺60路等多条公交线路，距地铁15号线（南法信站）约500米，综合评价交通便捷度较好。</v>
      </c>
      <c r="D19" s="3806">
        <v>100</v>
      </c>
      <c r="E19" s="3809"/>
      <c r="F19" s="3810">
        <f>SUMIF(86:86,E20,87:87)-SUMIF(86:86,C20,87:87)+100</f>
        <v>100</v>
      </c>
      <c r="G19" s="3809"/>
      <c r="H19" s="3810">
        <f>SUMIF(86:86,G20,87:87)-SUMIF(86:86,C20,87:87)+100</f>
        <v>98</v>
      </c>
      <c r="I19" s="3811"/>
      <c r="J19" s="3806">
        <f>SUMIF(86:86,I20,87:87)-SUMIF(86:86,C20,87:87)+100</f>
        <v>100</v>
      </c>
      <c r="K19" s="3775">
        <v>2</v>
      </c>
      <c r="L19" s="3785"/>
      <c r="M19" s="3736"/>
      <c r="N19" s="3736"/>
      <c r="O19" s="3777"/>
      <c r="P19" s="4430"/>
      <c r="Q19" s="3796" t="str">
        <f>B19</f>
        <v>交通便捷度</v>
      </c>
      <c r="R19" s="3797" t="s">
        <v>5</v>
      </c>
      <c r="S19" s="3798">
        <f>F19</f>
        <v>100</v>
      </c>
      <c r="T19" s="3797" t="s">
        <v>5</v>
      </c>
      <c r="U19" s="3798">
        <f>H19</f>
        <v>98</v>
      </c>
      <c r="V19" s="3797" t="s">
        <v>5</v>
      </c>
      <c r="W19" s="3798">
        <f>J19</f>
        <v>100</v>
      </c>
      <c r="X19" s="3737"/>
      <c r="Y19" s="4430"/>
      <c r="Z19" s="3799" t="str">
        <f>Q19</f>
        <v>交通便捷度</v>
      </c>
      <c r="AA19" s="3800">
        <f t="shared" si="3"/>
        <v>1</v>
      </c>
      <c r="AB19" s="3800">
        <f t="shared" si="4"/>
        <v>1.0204081632653061</v>
      </c>
      <c r="AC19" s="3800">
        <f t="shared" si="5"/>
        <v>1</v>
      </c>
    </row>
    <row r="20" spans="1:29" ht="15">
      <c r="A20" s="3801"/>
      <c r="B20" s="3812"/>
      <c r="C20" s="3803" t="s">
        <v>3318</v>
      </c>
      <c r="D20" s="3804"/>
      <c r="E20" s="3805" t="s">
        <v>3318</v>
      </c>
      <c r="F20" s="3804"/>
      <c r="G20" s="3805" t="s">
        <v>3319</v>
      </c>
      <c r="H20" s="3804"/>
      <c r="I20" s="3803" t="s">
        <v>3318</v>
      </c>
      <c r="J20" s="3804"/>
      <c r="K20" s="3767"/>
      <c r="L20" s="3785"/>
      <c r="M20" s="3736"/>
      <c r="N20" s="3736"/>
      <c r="O20" s="3777"/>
      <c r="P20" s="4430"/>
      <c r="Q20" s="3796"/>
      <c r="R20" s="3797"/>
      <c r="S20" s="3798"/>
      <c r="T20" s="3797"/>
      <c r="U20" s="3798"/>
      <c r="V20" s="3797"/>
      <c r="W20" s="3798"/>
      <c r="X20" s="3737"/>
      <c r="Y20" s="4430"/>
      <c r="Z20" s="3799"/>
      <c r="AA20" s="3800">
        <v>1</v>
      </c>
      <c r="AB20" s="3800">
        <v>1</v>
      </c>
      <c r="AC20" s="3800">
        <v>1</v>
      </c>
    </row>
    <row r="21" spans="1:29" ht="57">
      <c r="A21" s="3739"/>
      <c r="B21" s="3807" t="s">
        <v>535</v>
      </c>
      <c r="C21" s="3808" t="str">
        <f>[1]估价对象房地状况!G17</f>
        <v>周边以产业用地为主，零星有其他用地，基本不影响本宗地。</v>
      </c>
      <c r="D21" s="3806">
        <v>100</v>
      </c>
      <c r="E21" s="3809"/>
      <c r="F21" s="3813">
        <f>SUMIF(88:88,E22,89:89)-SUMIF(88:88,C22,89:89)+100</f>
        <v>100</v>
      </c>
      <c r="G21" s="3811"/>
      <c r="H21" s="3813">
        <f>SUMIF(88:88,G22,89:89)-SUMIF(88:88,C22,89:89)+100</f>
        <v>100</v>
      </c>
      <c r="I21" s="3811"/>
      <c r="J21" s="3813">
        <f>SUMIF(88:88,I22,89:89)-SUMIF(88:88,C22,89:89)+100</f>
        <v>100</v>
      </c>
      <c r="K21" s="3814"/>
      <c r="L21" s="3785"/>
      <c r="M21" s="3736">
        <f>[1]结果汇总表!D16</f>
        <v>9903.3107</v>
      </c>
      <c r="N21" s="3736"/>
      <c r="O21" s="3777"/>
      <c r="P21" s="4430"/>
      <c r="Q21" s="3796" t="str">
        <f t="shared" ref="Q21:Q35" si="8">B21</f>
        <v>区域土地利用方向</v>
      </c>
      <c r="R21" s="3797" t="s">
        <v>3320</v>
      </c>
      <c r="S21" s="3798">
        <f>F21</f>
        <v>100</v>
      </c>
      <c r="T21" s="3797" t="s">
        <v>3320</v>
      </c>
      <c r="U21" s="3798">
        <f>H21</f>
        <v>100</v>
      </c>
      <c r="V21" s="3797" t="s">
        <v>3320</v>
      </c>
      <c r="W21" s="3798">
        <f>J21</f>
        <v>100</v>
      </c>
      <c r="X21" s="3737"/>
      <c r="Y21" s="4430"/>
      <c r="Z21" s="3799" t="str">
        <f>Q21</f>
        <v>区域土地利用方向</v>
      </c>
      <c r="AA21" s="3800">
        <f t="shared" si="3"/>
        <v>1</v>
      </c>
      <c r="AB21" s="3800">
        <f t="shared" si="4"/>
        <v>1</v>
      </c>
      <c r="AC21" s="3800">
        <f t="shared" si="5"/>
        <v>1</v>
      </c>
    </row>
    <row r="22" spans="1:29" ht="15">
      <c r="A22" s="3739"/>
      <c r="B22" s="3815"/>
      <c r="C22" s="3803" t="s">
        <v>3318</v>
      </c>
      <c r="D22" s="3804"/>
      <c r="E22" s="3805" t="s">
        <v>3318</v>
      </c>
      <c r="F22" s="3816"/>
      <c r="G22" s="3803" t="s">
        <v>3318</v>
      </c>
      <c r="H22" s="3816"/>
      <c r="I22" s="3803" t="s">
        <v>3318</v>
      </c>
      <c r="J22" s="3816"/>
      <c r="K22" s="3817"/>
      <c r="L22" s="3785"/>
      <c r="M22" s="3736"/>
      <c r="N22" s="3736"/>
      <c r="O22" s="3777"/>
      <c r="P22" s="4430"/>
      <c r="Q22" s="3796"/>
      <c r="R22" s="3797"/>
      <c r="S22" s="3798"/>
      <c r="T22" s="3797"/>
      <c r="U22" s="3798"/>
      <c r="V22" s="3797"/>
      <c r="W22" s="3798"/>
      <c r="X22" s="3737"/>
      <c r="Y22" s="4430"/>
      <c r="Z22" s="3799"/>
      <c r="AA22" s="3800"/>
      <c r="AB22" s="3800"/>
      <c r="AC22" s="3800"/>
    </row>
    <row r="23" spans="1:29" ht="99.75">
      <c r="A23" s="3739"/>
      <c r="B23" s="3812" t="s">
        <v>3321</v>
      </c>
      <c r="C23" s="3808" t="str">
        <f>[1]估价对象房地状况!G18</f>
        <v>估价对象周边有小中河等自然景观；国家新闻出版广电总局研修学院等人文设施，综合评价环境状况一般。</v>
      </c>
      <c r="D23" s="3806">
        <v>100</v>
      </c>
      <c r="E23" s="3809"/>
      <c r="F23" s="3806">
        <f>SUMIF(90:90,E24,91:91)-SUMIF(90:90,C24,91:91)+100</f>
        <v>100</v>
      </c>
      <c r="G23" s="3809"/>
      <c r="H23" s="3806">
        <f>SUMIF(90:90,G24,91:91)-SUMIF(90:90,C24,91:91)+100</f>
        <v>100</v>
      </c>
      <c r="I23" s="3811"/>
      <c r="J23" s="3806">
        <f>SUMIF(90:90,I24,91:91)-SUMIF(90:90,C24,91:91)+100</f>
        <v>100</v>
      </c>
      <c r="K23" s="3775">
        <v>1</v>
      </c>
      <c r="L23" s="3785"/>
      <c r="M23" s="3736"/>
      <c r="N23" s="3736"/>
      <c r="O23" s="3777"/>
      <c r="P23" s="4430"/>
      <c r="Q23" s="3796" t="str">
        <f t="shared" si="8"/>
        <v>环境状况</v>
      </c>
      <c r="R23" s="3797" t="s">
        <v>3320</v>
      </c>
      <c r="S23" s="3798">
        <f>F23</f>
        <v>100</v>
      </c>
      <c r="T23" s="3797" t="s">
        <v>3320</v>
      </c>
      <c r="U23" s="3798">
        <f>H23</f>
        <v>100</v>
      </c>
      <c r="V23" s="3797" t="s">
        <v>3320</v>
      </c>
      <c r="W23" s="3798">
        <f>J23</f>
        <v>100</v>
      </c>
      <c r="X23" s="3737"/>
      <c r="Y23" s="4430"/>
      <c r="Z23" s="3799" t="str">
        <f>Q23</f>
        <v>环境状况</v>
      </c>
      <c r="AA23" s="3800">
        <f t="shared" si="3"/>
        <v>1</v>
      </c>
      <c r="AB23" s="3800">
        <f t="shared" si="4"/>
        <v>1</v>
      </c>
      <c r="AC23" s="3800">
        <f t="shared" si="5"/>
        <v>1</v>
      </c>
    </row>
    <row r="24" spans="1:29" ht="15">
      <c r="A24" s="3739"/>
      <c r="B24" s="3815"/>
      <c r="C24" s="3803" t="s">
        <v>3319</v>
      </c>
      <c r="D24" s="3804"/>
      <c r="E24" s="3805" t="s">
        <v>3319</v>
      </c>
      <c r="F24" s="3804"/>
      <c r="G24" s="3805" t="s">
        <v>3319</v>
      </c>
      <c r="H24" s="3804"/>
      <c r="I24" s="3803" t="s">
        <v>3319</v>
      </c>
      <c r="J24" s="3804"/>
      <c r="K24" s="3767"/>
      <c r="L24" s="3785"/>
      <c r="M24" s="3736"/>
      <c r="N24" s="3736"/>
      <c r="O24" s="3777"/>
      <c r="P24" s="4430"/>
      <c r="Q24" s="3796"/>
      <c r="R24" s="3797"/>
      <c r="S24" s="3798"/>
      <c r="T24" s="3797"/>
      <c r="U24" s="3798"/>
      <c r="V24" s="3797"/>
      <c r="W24" s="3798"/>
      <c r="X24" s="3737"/>
      <c r="Y24" s="4430"/>
      <c r="Z24" s="3799"/>
      <c r="AA24" s="3800">
        <v>1</v>
      </c>
      <c r="AB24" s="3800">
        <v>1</v>
      </c>
      <c r="AC24" s="3800">
        <v>1</v>
      </c>
    </row>
    <row r="25" spans="1:29" s="3753" customFormat="1" ht="156.75">
      <c r="A25" s="3818"/>
      <c r="B25" s="3819" t="s">
        <v>3322</v>
      </c>
      <c r="C25" s="3808" t="str">
        <f>[1]估价对象房地状况!G19</f>
        <v>估价对象所处区域目前已拥有较完善的基础设施配套保障，区内大部分区域基础设施配套目前可达到“五通”（通路、通电、通上水、通下水、通讯）条件，保证程度一般。</v>
      </c>
      <c r="D25" s="3806">
        <v>100</v>
      </c>
      <c r="E25" s="3809"/>
      <c r="F25" s="3806">
        <f>SUMIF(92:92,E26,93:93)-SUMIF(92:92,C26,93:93)+100</f>
        <v>101</v>
      </c>
      <c r="G25" s="3809"/>
      <c r="H25" s="3806">
        <f>SUMIF(92:92,G26,93:93)-SUMIF(92:92,C26,93:93)+100</f>
        <v>101</v>
      </c>
      <c r="I25" s="3811"/>
      <c r="J25" s="3806">
        <f>SUMIF(92:92,I26,93:93)-SUMIF(92:92,C26,93:93)+100</f>
        <v>102</v>
      </c>
      <c r="K25" s="3775">
        <v>1</v>
      </c>
      <c r="L25" s="3747"/>
      <c r="M25" s="3748"/>
      <c r="N25" s="3748"/>
      <c r="O25" s="3761"/>
      <c r="P25" s="4430"/>
      <c r="Q25" s="3762" t="str">
        <f t="shared" si="8"/>
        <v>公共配套设施</v>
      </c>
      <c r="R25" s="3749" t="s">
        <v>3323</v>
      </c>
      <c r="S25" s="3750">
        <f>F25</f>
        <v>101</v>
      </c>
      <c r="T25" s="3749" t="s">
        <v>3320</v>
      </c>
      <c r="U25" s="3750">
        <f>H25</f>
        <v>101</v>
      </c>
      <c r="V25" s="3749" t="s">
        <v>3320</v>
      </c>
      <c r="W25" s="3750">
        <f>J25</f>
        <v>102</v>
      </c>
      <c r="X25" s="3751"/>
      <c r="Y25" s="4430"/>
      <c r="Z25" s="3763" t="str">
        <f>Q25</f>
        <v>公共配套设施</v>
      </c>
      <c r="AA25" s="3800">
        <f>D25/F25</f>
        <v>0.99009900990099009</v>
      </c>
      <c r="AB25" s="3800">
        <f>D25/H25</f>
        <v>0.99009900990099009</v>
      </c>
      <c r="AC25" s="3800">
        <f>D25/J25</f>
        <v>0.98039215686274506</v>
      </c>
    </row>
    <row r="26" spans="1:29" s="3753" customFormat="1" ht="15">
      <c r="A26" s="3818"/>
      <c r="B26" s="3815"/>
      <c r="C26" s="3820" t="s">
        <v>3319</v>
      </c>
      <c r="D26" s="3804"/>
      <c r="E26" s="3805" t="s">
        <v>3318</v>
      </c>
      <c r="F26" s="3804"/>
      <c r="G26" s="3805" t="s">
        <v>3318</v>
      </c>
      <c r="H26" s="3804"/>
      <c r="I26" s="3803" t="s">
        <v>3324</v>
      </c>
      <c r="J26" s="3804"/>
      <c r="K26" s="3767"/>
      <c r="L26" s="3747"/>
      <c r="M26" s="3748"/>
      <c r="N26" s="3748"/>
      <c r="O26" s="3761"/>
      <c r="P26" s="4430"/>
      <c r="Q26" s="3762"/>
      <c r="R26" s="3749"/>
      <c r="S26" s="3750"/>
      <c r="T26" s="3749"/>
      <c r="U26" s="3750"/>
      <c r="V26" s="3749"/>
      <c r="W26" s="3750"/>
      <c r="X26" s="3751"/>
      <c r="Y26" s="4430"/>
      <c r="Z26" s="3763"/>
      <c r="AA26" s="3752">
        <v>1</v>
      </c>
      <c r="AB26" s="3752">
        <v>1</v>
      </c>
      <c r="AC26" s="3752">
        <v>1</v>
      </c>
    </row>
    <row r="27" spans="1:29" s="3753" customFormat="1" ht="28.5">
      <c r="A27" s="3818"/>
      <c r="B27" s="3819" t="s">
        <v>3325</v>
      </c>
      <c r="C27" s="3808" t="str">
        <f>[1]估价对象房地状况!G20</f>
        <v>估价对象所在区域基础设施水平</v>
      </c>
      <c r="D27" s="3806">
        <v>100</v>
      </c>
      <c r="E27" s="3809"/>
      <c r="F27" s="3806">
        <f>SUMIF(94:94,E28,95:95)-SUMIF(94:94,C28,95:95)+100</f>
        <v>100</v>
      </c>
      <c r="G27" s="3809"/>
      <c r="H27" s="3806">
        <f>SUMIF(94:94,G28,95:95)-SUMIF(94:94,C28,95:95)+100</f>
        <v>100</v>
      </c>
      <c r="I27" s="3811"/>
      <c r="J27" s="3806">
        <f>SUMIF(94:94,I28,95:95)-SUMIF(94:94,C28,95:95)+100</f>
        <v>100</v>
      </c>
      <c r="K27" s="3775"/>
      <c r="L27" s="3747"/>
      <c r="M27" s="3748"/>
      <c r="N27" s="3748"/>
      <c r="O27" s="3761"/>
      <c r="P27" s="4430"/>
      <c r="Q27" s="3762" t="str">
        <f>B27</f>
        <v>基础设施水平</v>
      </c>
      <c r="R27" s="3749" t="s">
        <v>5</v>
      </c>
      <c r="S27" s="3750">
        <f>F27</f>
        <v>100</v>
      </c>
      <c r="T27" s="3749" t="s">
        <v>3320</v>
      </c>
      <c r="U27" s="3750">
        <f>H27</f>
        <v>100</v>
      </c>
      <c r="V27" s="3749" t="s">
        <v>3320</v>
      </c>
      <c r="W27" s="3750">
        <f>J27</f>
        <v>100</v>
      </c>
      <c r="X27" s="3751"/>
      <c r="Y27" s="4430"/>
      <c r="Z27" s="3763" t="str">
        <f>Q27</f>
        <v>基础设施水平</v>
      </c>
      <c r="AA27" s="3800">
        <f>D27/F27</f>
        <v>1</v>
      </c>
      <c r="AB27" s="3800">
        <f>D27/H27</f>
        <v>1</v>
      </c>
      <c r="AC27" s="3800">
        <f>D27/J27</f>
        <v>1</v>
      </c>
    </row>
    <row r="28" spans="1:29" s="3753" customFormat="1" ht="15">
      <c r="A28" s="3818"/>
      <c r="B28" s="3815"/>
      <c r="C28" s="3820"/>
      <c r="D28" s="3804"/>
      <c r="E28" s="3821"/>
      <c r="F28" s="3804"/>
      <c r="G28" s="3821"/>
      <c r="H28" s="3804"/>
      <c r="I28" s="3821"/>
      <c r="J28" s="3804"/>
      <c r="K28" s="3767"/>
      <c r="L28" s="3747"/>
      <c r="M28" s="3748"/>
      <c r="N28" s="3748"/>
      <c r="O28" s="3761"/>
      <c r="P28" s="4430"/>
      <c r="Q28" s="3762"/>
      <c r="R28" s="3749"/>
      <c r="S28" s="3750"/>
      <c r="T28" s="3749"/>
      <c r="U28" s="3750"/>
      <c r="V28" s="3749"/>
      <c r="W28" s="3750"/>
      <c r="X28" s="3751"/>
      <c r="Y28" s="4430"/>
      <c r="Z28" s="3763"/>
      <c r="AA28" s="3752">
        <v>1</v>
      </c>
      <c r="AB28" s="3752">
        <v>1</v>
      </c>
      <c r="AC28" s="3752">
        <v>1</v>
      </c>
    </row>
    <row r="29" spans="1:29" ht="15">
      <c r="A29" s="3801"/>
      <c r="B29" s="3815" t="s">
        <v>3326</v>
      </c>
      <c r="C29" s="3822"/>
      <c r="D29" s="3784">
        <v>100</v>
      </c>
      <c r="E29" s="3823"/>
      <c r="F29" s="3784">
        <f>SUMIF(96:96,E29,97:97)-SUMIF(96:96,C29,97:97)+100</f>
        <v>100</v>
      </c>
      <c r="G29" s="3823"/>
      <c r="H29" s="3784">
        <f>SUMIF(96:96,G29,97:97)-SUMIF(96:96,C29,97:97)+100</f>
        <v>100</v>
      </c>
      <c r="I29" s="3823"/>
      <c r="J29" s="3784">
        <f>SUMIF(96:96,I29,97:97)-SUMIF(96:96,C29,97:97)+100</f>
        <v>100</v>
      </c>
      <c r="K29" s="3775"/>
      <c r="L29" s="3785"/>
      <c r="M29" s="3736"/>
      <c r="N29" s="3736"/>
      <c r="O29" s="3777"/>
      <c r="P29" s="4430"/>
      <c r="Q29" s="3796" t="str">
        <f t="shared" si="8"/>
        <v>临街状况</v>
      </c>
      <c r="R29" s="3797" t="s">
        <v>3320</v>
      </c>
      <c r="S29" s="3798">
        <f t="shared" ref="S29:S42" si="9">F29</f>
        <v>100</v>
      </c>
      <c r="T29" s="3797" t="s">
        <v>3320</v>
      </c>
      <c r="U29" s="3798">
        <f t="shared" ref="U29:U42" si="10">H29</f>
        <v>100</v>
      </c>
      <c r="V29" s="3797" t="s">
        <v>3320</v>
      </c>
      <c r="W29" s="3798">
        <f t="shared" ref="W29:W42" si="11">J29</f>
        <v>100</v>
      </c>
      <c r="X29" s="3737"/>
      <c r="Y29" s="4430"/>
      <c r="Z29" s="3799" t="str">
        <f t="shared" ref="Z29:Z42" si="12">Q29</f>
        <v>临街状况</v>
      </c>
      <c r="AA29" s="3800">
        <f t="shared" si="3"/>
        <v>1</v>
      </c>
      <c r="AB29" s="3800">
        <f t="shared" si="4"/>
        <v>1</v>
      </c>
      <c r="AC29" s="3800">
        <f t="shared" si="5"/>
        <v>1</v>
      </c>
    </row>
    <row r="30" spans="1:29" ht="28.5">
      <c r="A30" s="3801"/>
      <c r="B30" s="3812" t="s">
        <v>725</v>
      </c>
      <c r="C30" s="3824" t="str">
        <f>[1]估价对象房地状况!G22</f>
        <v>城市次干道——顺于路</v>
      </c>
      <c r="D30" s="3806">
        <v>100</v>
      </c>
      <c r="E30" s="3809"/>
      <c r="F30" s="3806">
        <f>SUMIF(98:98,E31,99:99)-SUMIF(98:98,C31,99:99)+100</f>
        <v>100</v>
      </c>
      <c r="G30" s="3809"/>
      <c r="H30" s="3806">
        <f>SUMIF(98:98,G31,99:99)-SUMIF(98:98,C31,99:99)+100</f>
        <v>100</v>
      </c>
      <c r="I30" s="3811"/>
      <c r="J30" s="3806">
        <f>SUMIF(98:98,I31,99:99)-SUMIF(98:98,C31,99:99)+100</f>
        <v>100</v>
      </c>
      <c r="K30" s="3775"/>
      <c r="L30" s="3785"/>
      <c r="M30" s="3736"/>
      <c r="N30" s="3736"/>
      <c r="O30" s="3777"/>
      <c r="P30" s="4430"/>
      <c r="Q30" s="3796" t="str">
        <f t="shared" si="8"/>
        <v>毗邻道路的类型与等级</v>
      </c>
      <c r="R30" s="3797" t="s">
        <v>3320</v>
      </c>
      <c r="S30" s="3798">
        <f t="shared" si="9"/>
        <v>100</v>
      </c>
      <c r="T30" s="3797" t="s">
        <v>3320</v>
      </c>
      <c r="U30" s="3798">
        <f t="shared" si="10"/>
        <v>100</v>
      </c>
      <c r="V30" s="3797" t="s">
        <v>3320</v>
      </c>
      <c r="W30" s="3798">
        <f t="shared" si="11"/>
        <v>100</v>
      </c>
      <c r="X30" s="3737"/>
      <c r="Y30" s="4430"/>
      <c r="Z30" s="3799" t="str">
        <f t="shared" si="12"/>
        <v>毗邻道路的类型与等级</v>
      </c>
      <c r="AA30" s="3800">
        <f t="shared" si="3"/>
        <v>1</v>
      </c>
      <c r="AB30" s="3800">
        <f t="shared" si="4"/>
        <v>1</v>
      </c>
      <c r="AC30" s="3800">
        <f t="shared" si="5"/>
        <v>1</v>
      </c>
    </row>
    <row r="31" spans="1:29" ht="15">
      <c r="A31" s="3801"/>
      <c r="B31" s="3815"/>
      <c r="C31" s="3803"/>
      <c r="D31" s="3804"/>
      <c r="E31" s="3803"/>
      <c r="F31" s="3804"/>
      <c r="G31" s="3803"/>
      <c r="H31" s="3804"/>
      <c r="I31" s="3803"/>
      <c r="J31" s="3804"/>
      <c r="K31" s="3825"/>
      <c r="L31" s="3785"/>
      <c r="M31" s="3736"/>
      <c r="N31" s="3736"/>
      <c r="O31" s="3777"/>
      <c r="P31" s="4430"/>
      <c r="Q31" s="3796"/>
      <c r="R31" s="3797"/>
      <c r="S31" s="3798"/>
      <c r="T31" s="3797"/>
      <c r="U31" s="3798"/>
      <c r="V31" s="3797"/>
      <c r="W31" s="3798"/>
      <c r="X31" s="3737"/>
      <c r="Y31" s="4430"/>
      <c r="Z31" s="3799"/>
      <c r="AA31" s="3800">
        <v>1</v>
      </c>
      <c r="AB31" s="3800">
        <v>1</v>
      </c>
      <c r="AC31" s="3800">
        <v>1</v>
      </c>
    </row>
    <row r="32" spans="1:29" ht="15">
      <c r="A32" s="3801"/>
      <c r="B32" s="3826" t="s">
        <v>3327</v>
      </c>
      <c r="C32" s="3827" t="str">
        <f>[1]估价对象房地状况!G23</f>
        <v>八级</v>
      </c>
      <c r="D32" s="3784">
        <v>100</v>
      </c>
      <c r="E32" s="3823" t="s">
        <v>1154</v>
      </c>
      <c r="F32" s="3784">
        <f>SUMIF(100:100,E32,101:101)-SUMIF(100:100,C32,101:101)+100</f>
        <v>100</v>
      </c>
      <c r="G32" s="3823" t="s">
        <v>1154</v>
      </c>
      <c r="H32" s="3784">
        <f>SUMIF(100:100,G32,101:101)-SUMIF(100:100,C32,101:101)+100</f>
        <v>100</v>
      </c>
      <c r="I32" s="3823" t="s">
        <v>1153</v>
      </c>
      <c r="J32" s="3784">
        <f>SUMIF(100:100,I32,101:101)-SUMIF(100:100,C32,101:101)+100</f>
        <v>100</v>
      </c>
      <c r="K32" s="3828">
        <v>0</v>
      </c>
      <c r="L32" s="3785"/>
      <c r="M32" s="3736"/>
      <c r="N32" s="3736"/>
      <c r="O32" s="3777"/>
      <c r="P32" s="4430"/>
      <c r="Q32" s="3796" t="str">
        <f t="shared" si="8"/>
        <v>土地级别</v>
      </c>
      <c r="R32" s="3797" t="s">
        <v>3323</v>
      </c>
      <c r="S32" s="3798">
        <f t="shared" si="9"/>
        <v>100</v>
      </c>
      <c r="T32" s="3797" t="s">
        <v>3320</v>
      </c>
      <c r="U32" s="3798">
        <f t="shared" si="10"/>
        <v>100</v>
      </c>
      <c r="V32" s="3797" t="s">
        <v>3320</v>
      </c>
      <c r="W32" s="3798">
        <f t="shared" si="11"/>
        <v>100</v>
      </c>
      <c r="X32" s="3737"/>
      <c r="Y32" s="4430"/>
      <c r="Z32" s="3799" t="str">
        <f t="shared" si="12"/>
        <v>土地级别</v>
      </c>
      <c r="AA32" s="3800">
        <f t="shared" si="3"/>
        <v>1</v>
      </c>
      <c r="AB32" s="3800">
        <f t="shared" si="4"/>
        <v>1</v>
      </c>
      <c r="AC32" s="3800">
        <f t="shared" si="5"/>
        <v>1</v>
      </c>
    </row>
    <row r="33" spans="1:29" ht="15">
      <c r="A33" s="3739"/>
      <c r="B33" s="3829">
        <v>111</v>
      </c>
      <c r="C33" s="3782"/>
      <c r="D33" s="3784">
        <v>100</v>
      </c>
      <c r="E33" s="3830"/>
      <c r="F33" s="3784">
        <f>SUMIF(102:102,E33,103:103)-SUMIF(102:102,C33,103:103)+100</f>
        <v>100</v>
      </c>
      <c r="G33" s="3830"/>
      <c r="H33" s="3784">
        <f>SUMIF(102:102,G33,103:103)-SUMIF(102:102,C33,103:103)+100</f>
        <v>100</v>
      </c>
      <c r="I33" s="3781"/>
      <c r="J33" s="3784">
        <f>SUMIF(102:102,I33,103:103)-SUMIF(102:102,C33,103:103)+100</f>
        <v>100</v>
      </c>
      <c r="K33" s="3825"/>
      <c r="L33" s="3785"/>
      <c r="M33" s="3736"/>
      <c r="N33" s="3736"/>
      <c r="O33" s="3777"/>
      <c r="P33" s="4430"/>
      <c r="Q33" s="3796">
        <f t="shared" si="8"/>
        <v>111</v>
      </c>
      <c r="R33" s="3797" t="s">
        <v>3323</v>
      </c>
      <c r="S33" s="3798">
        <f t="shared" si="9"/>
        <v>100</v>
      </c>
      <c r="T33" s="3797" t="s">
        <v>3323</v>
      </c>
      <c r="U33" s="3798">
        <f t="shared" si="10"/>
        <v>100</v>
      </c>
      <c r="V33" s="3797" t="s">
        <v>3323</v>
      </c>
      <c r="W33" s="3798">
        <f t="shared" si="11"/>
        <v>100</v>
      </c>
      <c r="X33" s="3737"/>
      <c r="Y33" s="4430"/>
      <c r="Z33" s="3799">
        <f t="shared" si="12"/>
        <v>111</v>
      </c>
      <c r="AA33" s="3800">
        <f t="shared" si="3"/>
        <v>1</v>
      </c>
      <c r="AB33" s="3800">
        <f t="shared" si="4"/>
        <v>1</v>
      </c>
      <c r="AC33" s="3800">
        <f t="shared" si="5"/>
        <v>1</v>
      </c>
    </row>
    <row r="34" spans="1:29" ht="15">
      <c r="A34" s="3831"/>
      <c r="B34" s="3832">
        <v>111</v>
      </c>
      <c r="C34" s="3782"/>
      <c r="D34" s="3784">
        <v>100</v>
      </c>
      <c r="E34" s="3830"/>
      <c r="F34" s="3784">
        <f>SUMIF(104:104,E35,105:105)-SUMIF(104:104,C35,105:105)+100</f>
        <v>100</v>
      </c>
      <c r="G34" s="3830"/>
      <c r="H34" s="3784">
        <f>SUMIF(104:104,G34,105:105)-SUMIF(104:104,C34,105:105)+100</f>
        <v>100</v>
      </c>
      <c r="I34" s="3782"/>
      <c r="J34" s="3784">
        <f>SUMIF(104:104,I34,105:105)-SUMIF(104:104,C34,105:105)+100</f>
        <v>100</v>
      </c>
      <c r="K34" s="3825"/>
      <c r="L34" s="3785"/>
      <c r="M34" s="3736"/>
      <c r="N34" s="3736"/>
      <c r="O34" s="3777"/>
      <c r="P34" s="4431" t="s">
        <v>3328</v>
      </c>
      <c r="Q34" s="3796">
        <f t="shared" si="8"/>
        <v>111</v>
      </c>
      <c r="R34" s="3797" t="s">
        <v>3323</v>
      </c>
      <c r="S34" s="3798">
        <f t="shared" si="9"/>
        <v>100</v>
      </c>
      <c r="T34" s="3797" t="s">
        <v>3323</v>
      </c>
      <c r="U34" s="3798">
        <f t="shared" si="10"/>
        <v>100</v>
      </c>
      <c r="V34" s="3797" t="s">
        <v>3323</v>
      </c>
      <c r="W34" s="3798">
        <f t="shared" si="11"/>
        <v>100</v>
      </c>
      <c r="X34" s="3737"/>
      <c r="Y34" s="4432" t="s">
        <v>499</v>
      </c>
      <c r="Z34" s="3799">
        <f t="shared" si="12"/>
        <v>111</v>
      </c>
      <c r="AA34" s="3800">
        <f t="shared" si="3"/>
        <v>1</v>
      </c>
      <c r="AB34" s="3800">
        <f t="shared" si="4"/>
        <v>1</v>
      </c>
      <c r="AC34" s="3800">
        <f t="shared" si="5"/>
        <v>1</v>
      </c>
    </row>
    <row r="35" spans="1:29" s="3844" customFormat="1" ht="15.75" thickBot="1">
      <c r="A35" s="3833"/>
      <c r="B35" s="3834">
        <v>111</v>
      </c>
      <c r="C35" s="3835"/>
      <c r="D35" s="3836">
        <v>100</v>
      </c>
      <c r="E35" s="3837"/>
      <c r="F35" s="3789">
        <f>SUMIF(106:106,E35,107:107)-SUMIF(106:106,C35,107:107)+100</f>
        <v>100</v>
      </c>
      <c r="G35" s="3837"/>
      <c r="H35" s="3789">
        <f>SUMIF(106:106,G35,107:107)-SUMIF(106:106,C35,107:107)+100</f>
        <v>100</v>
      </c>
      <c r="I35" s="3835"/>
      <c r="J35" s="3789">
        <f>SUMIF(106:106,I35,107:107)-SUMIF(106:106,C35,107:107)+100</f>
        <v>100</v>
      </c>
      <c r="K35" s="3825"/>
      <c r="L35" s="3776"/>
      <c r="M35" s="3838"/>
      <c r="N35" s="3838"/>
      <c r="O35" s="3839"/>
      <c r="P35" s="4432"/>
      <c r="Q35" s="3796">
        <f t="shared" si="8"/>
        <v>111</v>
      </c>
      <c r="R35" s="3840" t="s">
        <v>3323</v>
      </c>
      <c r="S35" s="3841">
        <f t="shared" si="9"/>
        <v>100</v>
      </c>
      <c r="T35" s="3840" t="s">
        <v>3323</v>
      </c>
      <c r="U35" s="3841">
        <f t="shared" si="10"/>
        <v>100</v>
      </c>
      <c r="V35" s="3840" t="s">
        <v>3323</v>
      </c>
      <c r="W35" s="3841">
        <f t="shared" si="11"/>
        <v>100</v>
      </c>
      <c r="X35" s="3842"/>
      <c r="Y35" s="4432"/>
      <c r="Z35" s="3843">
        <f t="shared" si="12"/>
        <v>111</v>
      </c>
      <c r="AA35" s="3800">
        <f t="shared" si="3"/>
        <v>1</v>
      </c>
      <c r="AB35" s="3800">
        <f t="shared" si="4"/>
        <v>1</v>
      </c>
      <c r="AC35" s="3800">
        <f t="shared" si="5"/>
        <v>1</v>
      </c>
    </row>
    <row r="36" spans="1:29" ht="15">
      <c r="A36" s="3845" t="s">
        <v>3329</v>
      </c>
      <c r="B36" s="3815" t="s">
        <v>3330</v>
      </c>
      <c r="C36" s="3846">
        <f>'数据-基础表'!A3</f>
        <v>59218.34</v>
      </c>
      <c r="D36" s="3847">
        <v>100</v>
      </c>
      <c r="E36" s="3846">
        <f>成本案例!D3*10000</f>
        <v>129000</v>
      </c>
      <c r="F36" s="3847">
        <f>LOOKUP(E36,109:109,110:110)-LOOKUP(C36,109:109,110:110)+100</f>
        <v>100</v>
      </c>
      <c r="G36" s="3846">
        <f>成本案例!D4*10000</f>
        <v>361500</v>
      </c>
      <c r="H36" s="3847">
        <f>LOOKUP(G36,109:109,110:110)-LOOKUP(C36,109:109,110:110)+100</f>
        <v>100</v>
      </c>
      <c r="I36" s="3848">
        <f>成本案例!D6*10000</f>
        <v>847200</v>
      </c>
      <c r="J36" s="3847">
        <f>LOOKUP(I36,109:109,110:110)-LOOKUP(C36,109:109,110:110)+100</f>
        <v>98.5</v>
      </c>
      <c r="K36" s="3825"/>
      <c r="L36" s="3785"/>
      <c r="M36" s="3736"/>
      <c r="N36" s="3736"/>
      <c r="O36" s="3777"/>
      <c r="P36" s="4432"/>
      <c r="Q36" s="3796" t="str">
        <f>B36</f>
        <v>宗地面积</v>
      </c>
      <c r="R36" s="3797" t="s">
        <v>5</v>
      </c>
      <c r="S36" s="3798">
        <f t="shared" si="9"/>
        <v>100</v>
      </c>
      <c r="T36" s="3797" t="s">
        <v>5</v>
      </c>
      <c r="U36" s="3798">
        <f t="shared" si="10"/>
        <v>100</v>
      </c>
      <c r="V36" s="3797" t="s">
        <v>5</v>
      </c>
      <c r="W36" s="3798">
        <f t="shared" si="11"/>
        <v>98.5</v>
      </c>
      <c r="X36" s="3737"/>
      <c r="Y36" s="4432"/>
      <c r="Z36" s="3799" t="str">
        <f t="shared" si="12"/>
        <v>宗地面积</v>
      </c>
      <c r="AA36" s="3800">
        <f t="shared" si="3"/>
        <v>1</v>
      </c>
      <c r="AB36" s="3800">
        <f t="shared" si="4"/>
        <v>1</v>
      </c>
      <c r="AC36" s="3800">
        <f t="shared" si="5"/>
        <v>1.015228426395939</v>
      </c>
    </row>
    <row r="37" spans="1:29" ht="15">
      <c r="A37" s="3849"/>
      <c r="B37" s="3826" t="s">
        <v>542</v>
      </c>
      <c r="C37" s="3850" t="s">
        <v>3331</v>
      </c>
      <c r="D37" s="3784">
        <v>100</v>
      </c>
      <c r="E37" s="3850" t="s">
        <v>3331</v>
      </c>
      <c r="F37" s="3784">
        <f>SUMIF(111:111,E37,112:112)-SUMIF(111:111,C37,112:112)+100</f>
        <v>100</v>
      </c>
      <c r="G37" s="3850" t="s">
        <v>3331</v>
      </c>
      <c r="H37" s="3784">
        <f>SUMIF(111:111,G37,112:112)-SUMIF(111:111,C37,112:112)+100</f>
        <v>100</v>
      </c>
      <c r="I37" s="3850" t="s">
        <v>3331</v>
      </c>
      <c r="J37" s="3784">
        <f>SUMIF(111:111,I37,112:112)-SUMIF(111:111,C37,112:112)+100</f>
        <v>100</v>
      </c>
      <c r="K37" s="3828"/>
      <c r="L37" s="3785"/>
      <c r="M37" s="3736"/>
      <c r="N37" s="3736"/>
      <c r="O37" s="3777"/>
      <c r="P37" s="4432"/>
      <c r="Q37" s="3796" t="str">
        <f t="shared" ref="Q37:Q42" si="13">B37</f>
        <v>宗地形状</v>
      </c>
      <c r="R37" s="3797" t="s">
        <v>5</v>
      </c>
      <c r="S37" s="3798">
        <f t="shared" si="9"/>
        <v>100</v>
      </c>
      <c r="T37" s="3797" t="s">
        <v>5</v>
      </c>
      <c r="U37" s="3798">
        <f t="shared" si="10"/>
        <v>100</v>
      </c>
      <c r="V37" s="3797" t="s">
        <v>5</v>
      </c>
      <c r="W37" s="3798">
        <f t="shared" si="11"/>
        <v>100</v>
      </c>
      <c r="X37" s="3737"/>
      <c r="Y37" s="4432"/>
      <c r="Z37" s="3799" t="str">
        <f t="shared" si="12"/>
        <v>宗地形状</v>
      </c>
      <c r="AA37" s="3800">
        <f t="shared" si="3"/>
        <v>1</v>
      </c>
      <c r="AB37" s="3800">
        <f t="shared" si="4"/>
        <v>1</v>
      </c>
      <c r="AC37" s="3800">
        <f t="shared" si="5"/>
        <v>1</v>
      </c>
    </row>
    <row r="38" spans="1:29" s="3753" customFormat="1" ht="15" hidden="1">
      <c r="A38" s="3851"/>
      <c r="B38" s="3852" t="s">
        <v>1777</v>
      </c>
      <c r="C38" s="3853" t="s">
        <v>3332</v>
      </c>
      <c r="D38" s="3766">
        <v>100</v>
      </c>
      <c r="E38" s="3853" t="s">
        <v>3332</v>
      </c>
      <c r="F38" s="3784">
        <f>SUMIF(113:113,E38,114:114)-SUMIF(113:113,C38,114:114)+100</f>
        <v>100</v>
      </c>
      <c r="G38" s="3853" t="s">
        <v>3332</v>
      </c>
      <c r="H38" s="3784">
        <f>SUMIF(113:113,G38,114:114)-SUMIF(113:113,C38,114:114)+100</f>
        <v>100</v>
      </c>
      <c r="I38" s="3853" t="s">
        <v>3332</v>
      </c>
      <c r="J38" s="3784">
        <f>SUMIF(113:113,I38,114:114)-SUMIF(113:113,C38,114:114)+100</f>
        <v>100</v>
      </c>
      <c r="K38" s="3828">
        <v>1</v>
      </c>
      <c r="L38" s="3747"/>
      <c r="M38" s="3748"/>
      <c r="N38" s="3748"/>
      <c r="O38" s="3761"/>
      <c r="P38" s="4432"/>
      <c r="Q38" s="3796" t="str">
        <f t="shared" si="13"/>
        <v>宗地开发程度</v>
      </c>
      <c r="R38" s="3749" t="s">
        <v>5</v>
      </c>
      <c r="S38" s="3750">
        <f t="shared" si="9"/>
        <v>100</v>
      </c>
      <c r="T38" s="3749" t="s">
        <v>5</v>
      </c>
      <c r="U38" s="3750">
        <f t="shared" si="10"/>
        <v>100</v>
      </c>
      <c r="V38" s="3749" t="s">
        <v>5</v>
      </c>
      <c r="W38" s="3750">
        <f t="shared" si="11"/>
        <v>100</v>
      </c>
      <c r="X38" s="3751"/>
      <c r="Y38" s="4432"/>
      <c r="Z38" s="3763" t="str">
        <f t="shared" si="12"/>
        <v>宗地开发程度</v>
      </c>
      <c r="AA38" s="3752">
        <f t="shared" si="3"/>
        <v>1</v>
      </c>
      <c r="AB38" s="3752">
        <f t="shared" si="4"/>
        <v>1</v>
      </c>
      <c r="AC38" s="3752">
        <f t="shared" si="5"/>
        <v>1</v>
      </c>
    </row>
    <row r="39" spans="1:29" ht="15" hidden="1">
      <c r="A39" s="3849"/>
      <c r="B39" s="3826" t="s">
        <v>544</v>
      </c>
      <c r="C39" s="3850"/>
      <c r="D39" s="3784">
        <v>100</v>
      </c>
      <c r="E39" s="3850"/>
      <c r="F39" s="3784">
        <f>SUMIF(115:115,E39,116:116)-SUMIF(115:115,C39,116:116)+100</f>
        <v>100</v>
      </c>
      <c r="G39" s="3850"/>
      <c r="H39" s="3784">
        <f>SUMIF(115:115,G39,116:116)-SUMIF(115:115,C39,116:116)+100</f>
        <v>100</v>
      </c>
      <c r="I39" s="3850"/>
      <c r="J39" s="3784">
        <f>SUMIF(115:115,I39,116:116)-SUMIF(115:115,C39,116:116)+100</f>
        <v>100</v>
      </c>
      <c r="K39" s="3828"/>
      <c r="L39" s="3785"/>
      <c r="M39" s="3736"/>
      <c r="N39" s="3736"/>
      <c r="O39" s="3777"/>
      <c r="P39" s="4432" t="s">
        <v>499</v>
      </c>
      <c r="Q39" s="3796" t="str">
        <f t="shared" si="13"/>
        <v>工程地质条件</v>
      </c>
      <c r="R39" s="3797" t="s">
        <v>5</v>
      </c>
      <c r="S39" s="3798">
        <f t="shared" si="9"/>
        <v>100</v>
      </c>
      <c r="T39" s="3797" t="s">
        <v>5</v>
      </c>
      <c r="U39" s="3798">
        <f t="shared" si="10"/>
        <v>100</v>
      </c>
      <c r="V39" s="3797" t="s">
        <v>5</v>
      </c>
      <c r="W39" s="3798">
        <f t="shared" si="11"/>
        <v>100</v>
      </c>
      <c r="X39" s="3737"/>
      <c r="Y39" s="4432" t="s">
        <v>499</v>
      </c>
      <c r="Z39" s="3799" t="str">
        <f t="shared" si="12"/>
        <v>工程地质条件</v>
      </c>
      <c r="AA39" s="3800">
        <f t="shared" si="3"/>
        <v>1</v>
      </c>
      <c r="AB39" s="3800">
        <f t="shared" si="4"/>
        <v>1</v>
      </c>
      <c r="AC39" s="3800">
        <f t="shared" si="5"/>
        <v>1</v>
      </c>
    </row>
    <row r="40" spans="1:29" ht="15" hidden="1">
      <c r="A40" s="3849"/>
      <c r="B40" s="3832">
        <v>111</v>
      </c>
      <c r="C40" s="3782">
        <v>50</v>
      </c>
      <c r="D40" s="3784">
        <v>100</v>
      </c>
      <c r="E40" s="3782">
        <v>20</v>
      </c>
      <c r="F40" s="3784">
        <f>SUMIF(117:117,E40,118:118)-SUMIF(117:117,C40,118:118)+100</f>
        <v>100</v>
      </c>
      <c r="G40" s="3782">
        <f>E40</f>
        <v>20</v>
      </c>
      <c r="H40" s="3784">
        <f>SUMIF(117:117,G40,118:118)-SUMIF(117:117,C40,118:118)+100</f>
        <v>100</v>
      </c>
      <c r="I40" s="3781">
        <f>E40</f>
        <v>20</v>
      </c>
      <c r="J40" s="3784">
        <f>SUMIF(117:117,I40,118:118)-SUMIF(117:117,C40,118:118)+100</f>
        <v>100</v>
      </c>
      <c r="K40" s="3825"/>
      <c r="L40" s="3785"/>
      <c r="M40" s="3736"/>
      <c r="N40" s="3736"/>
      <c r="O40" s="3777"/>
      <c r="P40" s="4432"/>
      <c r="Q40" s="3796">
        <f t="shared" si="13"/>
        <v>111</v>
      </c>
      <c r="R40" s="3797" t="s">
        <v>5</v>
      </c>
      <c r="S40" s="3798">
        <f t="shared" si="9"/>
        <v>100</v>
      </c>
      <c r="T40" s="3797" t="s">
        <v>5</v>
      </c>
      <c r="U40" s="3798">
        <f t="shared" si="10"/>
        <v>100</v>
      </c>
      <c r="V40" s="3797" t="s">
        <v>5</v>
      </c>
      <c r="W40" s="3798">
        <f t="shared" si="11"/>
        <v>100</v>
      </c>
      <c r="X40" s="3737"/>
      <c r="Y40" s="4432"/>
      <c r="Z40" s="3799">
        <f t="shared" si="12"/>
        <v>111</v>
      </c>
      <c r="AA40" s="3800">
        <f t="shared" si="3"/>
        <v>1</v>
      </c>
      <c r="AB40" s="3800">
        <f t="shared" si="4"/>
        <v>1</v>
      </c>
      <c r="AC40" s="3800">
        <f t="shared" si="5"/>
        <v>1</v>
      </c>
    </row>
    <row r="41" spans="1:29" ht="15" hidden="1">
      <c r="A41" s="3849"/>
      <c r="B41" s="3832">
        <v>111</v>
      </c>
      <c r="C41" s="3782"/>
      <c r="D41" s="3784">
        <v>100</v>
      </c>
      <c r="E41" s="3782"/>
      <c r="F41" s="3784">
        <f>SUMIF(119:119,E41,120:120)-SUMIF(119:119,C41,120:120)+100</f>
        <v>100</v>
      </c>
      <c r="G41" s="3782"/>
      <c r="H41" s="3784">
        <f>SUMIF(119:119,G41,120:120)-SUMIF(119:119,C41,120:120)+100</f>
        <v>100</v>
      </c>
      <c r="I41" s="3781"/>
      <c r="J41" s="3784">
        <f>SUMIF(119:119,I41,120:120)-SUMIF(119:119,C41,120:120)+100</f>
        <v>100</v>
      </c>
      <c r="K41" s="3825"/>
      <c r="L41" s="3785"/>
      <c r="M41" s="3736"/>
      <c r="N41" s="3736"/>
      <c r="O41" s="3777"/>
      <c r="P41" s="4432"/>
      <c r="Q41" s="3796">
        <f t="shared" si="13"/>
        <v>111</v>
      </c>
      <c r="R41" s="3797" t="s">
        <v>5</v>
      </c>
      <c r="S41" s="3798">
        <f t="shared" si="9"/>
        <v>100</v>
      </c>
      <c r="T41" s="3797" t="s">
        <v>5</v>
      </c>
      <c r="U41" s="3798">
        <f t="shared" si="10"/>
        <v>100</v>
      </c>
      <c r="V41" s="3797" t="s">
        <v>5</v>
      </c>
      <c r="W41" s="3798">
        <f t="shared" si="11"/>
        <v>100</v>
      </c>
      <c r="X41" s="3737"/>
      <c r="Y41" s="4432"/>
      <c r="Z41" s="3799">
        <f t="shared" si="12"/>
        <v>111</v>
      </c>
      <c r="AA41" s="3800">
        <f t="shared" si="3"/>
        <v>1</v>
      </c>
      <c r="AB41" s="3800">
        <f t="shared" si="4"/>
        <v>1</v>
      </c>
      <c r="AC41" s="3800">
        <f t="shared" si="5"/>
        <v>1</v>
      </c>
    </row>
    <row r="42" spans="1:29" s="3844" customFormat="1" ht="15.75" thickBot="1">
      <c r="A42" s="3854"/>
      <c r="B42" s="3832">
        <v>111</v>
      </c>
      <c r="C42" s="3855"/>
      <c r="D42" s="3836">
        <v>100</v>
      </c>
      <c r="E42" s="3782"/>
      <c r="F42" s="3789">
        <f>SUMIF(121:121,E42,122:122)-SUMIF(121:121,C42,122:122)+100</f>
        <v>100</v>
      </c>
      <c r="G42" s="3782"/>
      <c r="H42" s="3789">
        <f>SUMIF(121:121,G42,122:122)-SUMIF(121:121,C42,122:122)+100</f>
        <v>100</v>
      </c>
      <c r="I42" s="3781"/>
      <c r="J42" s="3789">
        <f>SUMIF(121:121,I42,122:122)-SUMIF(121:121,C42,122:122)+100</f>
        <v>100</v>
      </c>
      <c r="K42" s="3856"/>
      <c r="L42" s="3776"/>
      <c r="M42" s="3838"/>
      <c r="N42" s="3838"/>
      <c r="O42" s="3839"/>
      <c r="P42" s="4432"/>
      <c r="Q42" s="3796">
        <f t="shared" si="13"/>
        <v>111</v>
      </c>
      <c r="R42" s="3840" t="s">
        <v>5</v>
      </c>
      <c r="S42" s="3841">
        <f t="shared" si="9"/>
        <v>100</v>
      </c>
      <c r="T42" s="3840" t="s">
        <v>5</v>
      </c>
      <c r="U42" s="3841">
        <f t="shared" si="10"/>
        <v>100</v>
      </c>
      <c r="V42" s="3840" t="s">
        <v>5</v>
      </c>
      <c r="W42" s="3841">
        <f t="shared" si="11"/>
        <v>100</v>
      </c>
      <c r="X42" s="3842"/>
      <c r="Y42" s="4432"/>
      <c r="Z42" s="3843">
        <f t="shared" si="12"/>
        <v>111</v>
      </c>
      <c r="AA42" s="3800">
        <f t="shared" si="3"/>
        <v>1</v>
      </c>
      <c r="AB42" s="3800">
        <f t="shared" si="4"/>
        <v>1</v>
      </c>
      <c r="AC42" s="3800">
        <f t="shared" si="5"/>
        <v>1</v>
      </c>
    </row>
    <row r="43" spans="1:29" ht="15">
      <c r="A43" s="3857" t="s">
        <v>505</v>
      </c>
      <c r="B43" s="3858" t="s">
        <v>2197</v>
      </c>
      <c r="C43" s="3859" t="s">
        <v>6</v>
      </c>
      <c r="D43" s="3860"/>
      <c r="E43" s="3861">
        <f>成本案例!J3</f>
        <v>2838.7</v>
      </c>
      <c r="F43" s="3862"/>
      <c r="G43" s="3863">
        <f>成本案例!J4</f>
        <v>2453.6</v>
      </c>
      <c r="H43" s="3864"/>
      <c r="I43" s="3861">
        <f>成本案例!J6</f>
        <v>1589.9</v>
      </c>
      <c r="J43" s="3864"/>
      <c r="K43" s="3865"/>
      <c r="L43" s="3866"/>
      <c r="M43" s="3736"/>
      <c r="N43" s="3736"/>
      <c r="O43" s="3867"/>
      <c r="P43" s="4427" t="str">
        <f>A43</f>
        <v>成交单价</v>
      </c>
      <c r="Q43" s="4427"/>
      <c r="R43" s="4420">
        <f>E43</f>
        <v>2838.7</v>
      </c>
      <c r="S43" s="4420"/>
      <c r="T43" s="4420">
        <f>G43</f>
        <v>2453.6</v>
      </c>
      <c r="U43" s="4420"/>
      <c r="V43" s="4420">
        <f>I43</f>
        <v>1589.9</v>
      </c>
      <c r="W43" s="4420"/>
      <c r="X43" s="3868"/>
      <c r="Y43" s="3869"/>
      <c r="Z43" s="3868"/>
      <c r="AA43" s="3868"/>
      <c r="AB43" s="3868"/>
      <c r="AC43" s="3868"/>
    </row>
    <row r="44" spans="1:29" ht="15.75" thickBot="1">
      <c r="A44" s="3870" t="s">
        <v>1975</v>
      </c>
      <c r="B44" s="3871"/>
      <c r="C44" s="3872">
        <f>R45</f>
        <v>2436</v>
      </c>
      <c r="D44" s="3873" t="s">
        <v>2261</v>
      </c>
      <c r="E44" s="3872">
        <f>R44</f>
        <v>3072</v>
      </c>
      <c r="F44" s="3874"/>
      <c r="G44" s="3875">
        <f>T44</f>
        <v>2609</v>
      </c>
      <c r="H44" s="3874"/>
      <c r="I44" s="3872">
        <f>V44</f>
        <v>1627</v>
      </c>
      <c r="J44" s="3874"/>
      <c r="K44" s="3876">
        <f>F44+H44+J44</f>
        <v>0</v>
      </c>
      <c r="L44" s="3866"/>
      <c r="M44" s="3736"/>
      <c r="N44" s="3736"/>
      <c r="O44" s="3867"/>
      <c r="P44" s="4427" t="str">
        <f>A44</f>
        <v>比较价格（元/平方米）</v>
      </c>
      <c r="Q44" s="4427"/>
      <c r="R44" s="4437">
        <f>ROUND(PRODUCT(R43,AA9:AA42),0)</f>
        <v>3072</v>
      </c>
      <c r="S44" s="4437"/>
      <c r="T44" s="4437">
        <f>ROUND(PRODUCT(T43,AB9:AB42),0)</f>
        <v>2609</v>
      </c>
      <c r="U44" s="4437"/>
      <c r="V44" s="4437">
        <f>ROUND(PRODUCT(V43,AC9:AC42),0)</f>
        <v>1627</v>
      </c>
      <c r="W44" s="4437"/>
      <c r="X44" s="3868"/>
      <c r="Y44" s="3868"/>
      <c r="Z44" s="3868"/>
      <c r="AA44" s="3868"/>
      <c r="AB44" s="3868"/>
      <c r="AC44" s="3868"/>
    </row>
    <row r="45" spans="1:29" ht="15.75" thickBot="1">
      <c r="A45" s="3877" t="s">
        <v>2198</v>
      </c>
      <c r="B45" s="3878"/>
      <c r="C45" s="3742">
        <f>R45</f>
        <v>2436</v>
      </c>
      <c r="D45" s="3742"/>
      <c r="E45" s="3742"/>
      <c r="F45" s="3742"/>
      <c r="G45" s="3742"/>
      <c r="H45" s="3742"/>
      <c r="I45" s="3742"/>
      <c r="J45" s="3742"/>
      <c r="K45" s="3879"/>
      <c r="L45" s="3866"/>
      <c r="M45" s="3736"/>
      <c r="N45" s="3736"/>
      <c r="O45" s="3867"/>
      <c r="P45" s="4438" t="str">
        <f>A45</f>
        <v>估价对象XX用房的比较价格（楼面单价，元/平方米）</v>
      </c>
      <c r="Q45" s="4439"/>
      <c r="R45" s="4440">
        <f>ROUND(IF(D44="简单平均",AVERAGE(R44:W44),R44*F44+T44*H44+V44*J44),0)</f>
        <v>2436</v>
      </c>
      <c r="S45" s="4440"/>
      <c r="T45" s="4440"/>
      <c r="U45" s="4440"/>
      <c r="V45" s="4440"/>
      <c r="W45" s="4440"/>
      <c r="X45" s="3868"/>
      <c r="Y45" s="3868"/>
      <c r="Z45" s="3868"/>
      <c r="AA45" s="3868"/>
      <c r="AB45" s="3868"/>
      <c r="AC45" s="3868"/>
    </row>
    <row r="46" spans="1:29">
      <c r="A46" s="3880"/>
      <c r="B46" s="3880"/>
      <c r="C46" s="3880"/>
      <c r="D46" s="3880"/>
      <c r="E46" s="3880"/>
      <c r="F46" s="3880"/>
      <c r="G46" s="3881"/>
      <c r="H46" s="3880"/>
      <c r="I46" s="3880"/>
      <c r="J46" s="3880"/>
      <c r="K46" s="3882"/>
      <c r="L46" s="3883"/>
      <c r="M46" s="3736"/>
      <c r="N46" s="3736"/>
      <c r="O46" s="3867"/>
      <c r="P46" s="3867"/>
      <c r="Q46" s="3867"/>
      <c r="R46" s="3867"/>
      <c r="S46" s="3867"/>
      <c r="T46" s="3867"/>
      <c r="U46" s="3867"/>
      <c r="V46" s="3867"/>
      <c r="W46" s="3867"/>
      <c r="X46" s="3867"/>
      <c r="Y46" s="3867"/>
      <c r="Z46" s="3867"/>
      <c r="AA46" s="3867"/>
      <c r="AB46" s="3867"/>
      <c r="AC46" s="3867"/>
    </row>
    <row r="47" spans="1:29">
      <c r="A47" s="3880"/>
      <c r="B47" s="3880"/>
      <c r="C47" s="3880"/>
      <c r="D47" s="3880"/>
      <c r="E47" s="3880"/>
      <c r="F47" s="3880"/>
      <c r="G47" s="3880"/>
      <c r="H47" s="3880"/>
      <c r="I47" s="3880"/>
      <c r="J47" s="3880"/>
      <c r="K47" s="3882"/>
      <c r="L47" s="3883"/>
      <c r="M47" s="3736"/>
      <c r="N47" s="3736"/>
      <c r="O47" s="3867"/>
      <c r="P47" s="3867"/>
      <c r="Q47" s="3867"/>
      <c r="R47" s="3867"/>
      <c r="S47" s="3867"/>
      <c r="T47" s="3867"/>
      <c r="U47" s="3867"/>
      <c r="V47" s="3867"/>
      <c r="W47" s="3867"/>
      <c r="X47" s="3867"/>
      <c r="Y47" s="3867"/>
      <c r="Z47" s="3867"/>
      <c r="AA47" s="3867"/>
      <c r="AB47" s="3867"/>
      <c r="AC47" s="3867"/>
    </row>
    <row r="48" spans="1:29" ht="13.5" customHeight="1">
      <c r="A48" s="3880"/>
      <c r="B48" s="3880"/>
      <c r="C48" s="3884" t="s">
        <v>506</v>
      </c>
      <c r="D48" s="3885"/>
      <c r="E48" s="3886">
        <f>IF(E43&lt;E44,E44/E43-1,E43/E44-1)</f>
        <v>8.218550745059372E-2</v>
      </c>
      <c r="F48" s="3887" t="str">
        <f>IF(OR(E48&gt;=0.3,E48&lt;=-0.3),"超过30%","")</f>
        <v/>
      </c>
      <c r="G48" s="3886">
        <f>IF(G43&lt;G44,G44/G43-1,G43/G44-1)</f>
        <v>6.3335507010107595E-2</v>
      </c>
      <c r="H48" s="3887" t="str">
        <f>IF(OR(G48&gt;=0.3,G48&lt;=-0.3),"超过30%","")</f>
        <v/>
      </c>
      <c r="I48" s="3886">
        <f>IF(I43&lt;I44,I44/I43-1,I43/I44-1)</f>
        <v>2.3334800930876032E-2</v>
      </c>
      <c r="J48" s="3887" t="str">
        <f>IF(OR(I48&gt;=0.3,I48&lt;=-0.3),"超过30%","")</f>
        <v/>
      </c>
      <c r="K48" s="3882"/>
      <c r="L48" s="3883"/>
      <c r="M48" s="3736"/>
      <c r="N48" s="3736"/>
      <c r="O48" s="3867"/>
      <c r="P48" s="3867"/>
      <c r="Q48" s="3867"/>
      <c r="R48" s="3867"/>
      <c r="S48" s="3867"/>
      <c r="T48" s="3867"/>
      <c r="U48" s="3867"/>
      <c r="V48" s="3867"/>
      <c r="W48" s="3867"/>
      <c r="X48" s="3867"/>
      <c r="Y48" s="3867"/>
      <c r="Z48" s="3867"/>
      <c r="AA48" s="3867"/>
      <c r="AB48" s="3867"/>
      <c r="AC48" s="3867"/>
    </row>
    <row r="49" spans="1:29" ht="13.5" customHeight="1">
      <c r="A49" s="3880"/>
      <c r="B49" s="3880"/>
      <c r="C49" s="3884" t="s">
        <v>507</v>
      </c>
      <c r="D49" s="3888"/>
      <c r="E49" s="3886">
        <f>IF(E44&lt;G44,G44/E44-1,E44/G44-1)</f>
        <v>0.17746262935990798</v>
      </c>
      <c r="F49" s="3887" t="str">
        <f>IF(OR(E49&gt;=0.2,E49&lt;=-0.2),"超过20%","")</f>
        <v/>
      </c>
      <c r="G49" s="3886">
        <f>IF(G44&lt;I44,I44/G44-1,G44/I44-1)</f>
        <v>0.60356484326982174</v>
      </c>
      <c r="H49" s="3887" t="str">
        <f>IF(OR(G49&gt;=0.2,G49&lt;=-0.2),"超过20%","")</f>
        <v>超过20%</v>
      </c>
      <c r="I49" s="3886">
        <f>IF(I44&lt;E44,E44/I44-1,I44/E44-1)</f>
        <v>0.88813767670559307</v>
      </c>
      <c r="J49" s="3887" t="str">
        <f>IF(OR(I49&gt;=0.2,I49&lt;=-0.2),"超过20%","")</f>
        <v>超过20%</v>
      </c>
      <c r="K49" s="3882"/>
      <c r="L49" s="3883"/>
      <c r="M49" s="3867"/>
      <c r="N49" s="3867"/>
      <c r="O49" s="3867"/>
      <c r="P49" s="3867"/>
      <c r="Q49" s="3867"/>
      <c r="R49" s="3867"/>
      <c r="S49" s="3867"/>
      <c r="T49" s="3867"/>
      <c r="U49" s="3867"/>
      <c r="V49" s="3867"/>
      <c r="W49" s="3867"/>
      <c r="X49" s="3867"/>
      <c r="Y49" s="3867"/>
      <c r="Z49" s="3867"/>
      <c r="AA49" s="3867"/>
      <c r="AB49" s="3867"/>
      <c r="AC49" s="3867"/>
    </row>
    <row r="50" spans="1:29" s="3893" customFormat="1" ht="13.5" customHeight="1">
      <c r="A50" s="3889"/>
      <c r="B50" s="3889"/>
      <c r="C50" s="3884" t="s">
        <v>508</v>
      </c>
      <c r="D50" s="3888"/>
      <c r="E50" s="3886">
        <f>IF(E43&lt;G43,G43/E43-1,E43/G43-1)</f>
        <v>0.15695304858167591</v>
      </c>
      <c r="F50" s="3887" t="str">
        <f>IF(OR(E50&gt;=0.3,E50&lt;=-0.3),"超过30%","")</f>
        <v/>
      </c>
      <c r="G50" s="3886">
        <f>IF(G43&lt;I43,I43/G43-1,G43/I43-1)</f>
        <v>0.54324171331530269</v>
      </c>
      <c r="H50" s="3887" t="str">
        <f>IF(OR(G50&gt;=0.3,G50&lt;=-0.3),"超过30%","")</f>
        <v>超过30%</v>
      </c>
      <c r="I50" s="3886">
        <f>IF(I43&lt;E43,E43/I43-1,I43/E43-1)</f>
        <v>0.78545820491854812</v>
      </c>
      <c r="J50" s="3887" t="str">
        <f>IF(OR(I50&gt;=0.3,I50&lt;=-0.3),"超过30%","")</f>
        <v>超过30%</v>
      </c>
      <c r="K50" s="3890"/>
      <c r="L50" s="3891"/>
      <c r="M50" s="3892"/>
      <c r="N50" s="3892"/>
      <c r="O50" s="3892"/>
      <c r="P50" s="3892"/>
      <c r="Q50" s="3892"/>
      <c r="R50" s="3892"/>
      <c r="S50" s="3892"/>
      <c r="T50" s="3892"/>
      <c r="U50" s="3892"/>
      <c r="V50" s="3892"/>
      <c r="W50" s="3892"/>
      <c r="X50" s="3892"/>
      <c r="Y50" s="3892"/>
      <c r="Z50" s="3892"/>
      <c r="AA50" s="3892"/>
      <c r="AB50" s="3892"/>
      <c r="AC50" s="3892"/>
    </row>
    <row r="51" spans="1:29" s="3893" customFormat="1" ht="15" thickBot="1">
      <c r="A51" s="3889"/>
      <c r="B51" s="3894"/>
      <c r="C51" s="3895"/>
      <c r="D51" s="3892"/>
      <c r="E51" s="3892"/>
      <c r="F51" s="3892"/>
      <c r="G51" s="3892"/>
      <c r="H51" s="3892"/>
      <c r="I51" s="3892"/>
      <c r="J51" s="3892"/>
      <c r="K51" s="3890"/>
      <c r="L51" s="3891"/>
      <c r="M51" s="3892"/>
      <c r="N51" s="3892"/>
      <c r="O51" s="3892"/>
      <c r="P51" s="3892"/>
      <c r="Q51" s="3892"/>
      <c r="R51" s="3892"/>
      <c r="S51" s="3892"/>
      <c r="T51" s="3892"/>
      <c r="U51" s="3892"/>
      <c r="V51" s="3892"/>
      <c r="W51" s="3892"/>
      <c r="X51" s="3892"/>
      <c r="Y51" s="3892"/>
      <c r="Z51" s="3892"/>
      <c r="AA51" s="3892"/>
      <c r="AB51" s="3892"/>
      <c r="AC51" s="3892"/>
    </row>
    <row r="52" spans="1:29" ht="27">
      <c r="A52" s="3896" t="s">
        <v>3333</v>
      </c>
      <c r="B52" s="3897" t="s">
        <v>3334</v>
      </c>
      <c r="C52" s="3898" t="s">
        <v>1253</v>
      </c>
      <c r="D52" s="3899" t="s">
        <v>1650</v>
      </c>
      <c r="E52" s="3900" t="s">
        <v>3335</v>
      </c>
      <c r="F52" s="3901" t="s">
        <v>3336</v>
      </c>
      <c r="G52" s="4433" t="s">
        <v>1642</v>
      </c>
      <c r="H52" s="4434"/>
      <c r="I52" s="3902" t="s">
        <v>1465</v>
      </c>
      <c r="J52" s="3903">
        <f>[1]项目基本情况!F41</f>
        <v>0</v>
      </c>
      <c r="K52" s="3904" t="s">
        <v>3337</v>
      </c>
      <c r="L52" s="3883"/>
      <c r="M52" s="3867"/>
      <c r="N52" s="3867"/>
      <c r="O52" s="3867"/>
      <c r="P52" s="3867"/>
      <c r="Q52" s="3867"/>
      <c r="R52" s="3867"/>
      <c r="S52" s="3867"/>
      <c r="T52" s="3867"/>
      <c r="U52" s="3867"/>
      <c r="V52" s="3867"/>
      <c r="W52" s="3867"/>
      <c r="X52" s="3867"/>
      <c r="Y52" s="3867"/>
      <c r="Z52" s="3867"/>
      <c r="AA52" s="3867"/>
      <c r="AB52" s="3867"/>
      <c r="AC52" s="3867"/>
    </row>
    <row r="53" spans="1:29" s="3914" customFormat="1" ht="12.75">
      <c r="A53" s="3905" t="s">
        <v>3338</v>
      </c>
      <c r="B53" s="3906">
        <f>C45</f>
        <v>2436</v>
      </c>
      <c r="C53" s="3907">
        <v>1</v>
      </c>
      <c r="D53" s="3908">
        <v>1</v>
      </c>
      <c r="E53" s="3907">
        <f>'[1]数据-汇总表'!E8+'[1]数据-汇总表'!E9</f>
        <v>22121.8</v>
      </c>
      <c r="F53" s="3909">
        <f t="shared" ref="F53:F61" si="14">ROUND(B53*E53/10000,0)</f>
        <v>5389</v>
      </c>
      <c r="G53" s="4435"/>
      <c r="H53" s="4436"/>
      <c r="I53" s="3910">
        <v>1</v>
      </c>
      <c r="J53" s="3911">
        <v>1</v>
      </c>
      <c r="K53" s="3912"/>
      <c r="L53" s="3913"/>
      <c r="M53" s="3913"/>
      <c r="N53" s="3913"/>
      <c r="O53" s="3913"/>
      <c r="P53" s="3913"/>
      <c r="Q53" s="3913"/>
      <c r="R53" s="3913"/>
      <c r="S53" s="3913"/>
      <c r="T53" s="3913"/>
      <c r="U53" s="3913"/>
      <c r="V53" s="3913"/>
      <c r="W53" s="3913"/>
      <c r="X53" s="3913"/>
      <c r="Y53" s="3913"/>
      <c r="Z53" s="3913"/>
      <c r="AA53" s="3913"/>
      <c r="AB53" s="3913"/>
      <c r="AC53" s="3913"/>
    </row>
    <row r="54" spans="1:29" s="3914" customFormat="1" ht="12.75">
      <c r="A54" s="3915" t="s">
        <v>3339</v>
      </c>
      <c r="B54" s="3916" t="e">
        <f>ROUND($C$45*C54*D54,0)</f>
        <v>#VALUE!</v>
      </c>
      <c r="C54" s="3917" t="e">
        <f t="shared" ref="C54:C61" si="15">IF($C$52="北京市系数",I54,J54)</f>
        <v>#VALUE!</v>
      </c>
      <c r="D54" s="3918">
        <v>0.25</v>
      </c>
      <c r="E54" s="3919"/>
      <c r="F54" s="3909" t="e">
        <f t="shared" si="14"/>
        <v>#VALUE!</v>
      </c>
      <c r="G54" s="3920" t="s">
        <v>1643</v>
      </c>
      <c r="H54" s="3921">
        <f>[1]项目基本情况!B43</f>
        <v>0</v>
      </c>
      <c r="I54" s="3910" t="e">
        <f>SUMIF([1]修正!$A$57:$A$68,H54,[1]修正!B57:B68)</f>
        <v>#VALUE!</v>
      </c>
      <c r="J54" s="3922"/>
      <c r="K54" s="3912"/>
      <c r="L54" s="3913"/>
      <c r="M54" s="3913"/>
      <c r="N54" s="3913"/>
      <c r="O54" s="3913"/>
      <c r="P54" s="3913"/>
      <c r="Q54" s="3913"/>
      <c r="R54" s="3913"/>
      <c r="S54" s="3913"/>
      <c r="T54" s="3913"/>
      <c r="U54" s="3913"/>
      <c r="V54" s="3913"/>
      <c r="W54" s="3913"/>
      <c r="X54" s="3913"/>
      <c r="Y54" s="3913"/>
      <c r="Z54" s="3913"/>
      <c r="AA54" s="3913"/>
      <c r="AB54" s="3913"/>
      <c r="AC54" s="3913"/>
    </row>
    <row r="55" spans="1:29" s="3914" customFormat="1" ht="12.75">
      <c r="A55" s="3915" t="s">
        <v>3340</v>
      </c>
      <c r="B55" s="3916" t="e">
        <f t="shared" ref="B55:B61" si="16">ROUND($C$45*C55*D55,0)</f>
        <v>#VALUE!</v>
      </c>
      <c r="C55" s="3917" t="e">
        <f t="shared" si="15"/>
        <v>#VALUE!</v>
      </c>
      <c r="D55" s="3918">
        <v>0.25</v>
      </c>
      <c r="E55" s="3919"/>
      <c r="F55" s="3909" t="e">
        <f t="shared" si="14"/>
        <v>#VALUE!</v>
      </c>
      <c r="G55" s="3923"/>
      <c r="H55" s="3924">
        <f>[1]项目基本情况!B43</f>
        <v>0</v>
      </c>
      <c r="I55" s="3910" t="e">
        <f>SUMIF([1]修正!$A$57:$A$68,H55,[1]修正!C57:C68)</f>
        <v>#VALUE!</v>
      </c>
      <c r="J55" s="3922"/>
      <c r="K55" s="3912"/>
      <c r="L55" s="3913"/>
      <c r="M55" s="3913"/>
      <c r="N55" s="3913"/>
      <c r="O55" s="3913"/>
      <c r="P55" s="3913"/>
      <c r="Q55" s="3913"/>
      <c r="R55" s="3913"/>
      <c r="S55" s="3913"/>
      <c r="T55" s="3913"/>
      <c r="U55" s="3913"/>
      <c r="V55" s="3913"/>
      <c r="W55" s="3913"/>
      <c r="X55" s="3913"/>
      <c r="Y55" s="3913"/>
      <c r="Z55" s="3913"/>
      <c r="AA55" s="3913"/>
      <c r="AB55" s="3913"/>
      <c r="AC55" s="3913"/>
    </row>
    <row r="56" spans="1:29" s="3914" customFormat="1" ht="12.75">
      <c r="A56" s="3915" t="s">
        <v>3341</v>
      </c>
      <c r="B56" s="3916" t="e">
        <f t="shared" si="16"/>
        <v>#VALUE!</v>
      </c>
      <c r="C56" s="3917" t="e">
        <f t="shared" si="15"/>
        <v>#VALUE!</v>
      </c>
      <c r="D56" s="3918">
        <v>0.25</v>
      </c>
      <c r="E56" s="3919"/>
      <c r="F56" s="3909" t="e">
        <f t="shared" si="14"/>
        <v>#VALUE!</v>
      </c>
      <c r="G56" s="3923"/>
      <c r="H56" s="3924">
        <f>[1]项目基本情况!B43</f>
        <v>0</v>
      </c>
      <c r="I56" s="3910" t="e">
        <f>SUMIF([1]修正!$A$57:$A$68,H56,[1]修正!D57:D68)</f>
        <v>#VALUE!</v>
      </c>
      <c r="J56" s="3922"/>
      <c r="K56" s="3912"/>
      <c r="L56" s="3913"/>
      <c r="M56" s="3913"/>
      <c r="N56" s="3913"/>
      <c r="O56" s="3913"/>
      <c r="P56" s="3913"/>
      <c r="Q56" s="3913"/>
      <c r="R56" s="3913"/>
      <c r="S56" s="3913"/>
      <c r="T56" s="3913"/>
      <c r="U56" s="3913"/>
      <c r="V56" s="3913"/>
      <c r="W56" s="3913"/>
      <c r="X56" s="3913"/>
      <c r="Y56" s="3913"/>
      <c r="Z56" s="3913"/>
      <c r="AA56" s="3913"/>
      <c r="AB56" s="3913"/>
      <c r="AC56" s="3913"/>
    </row>
    <row r="57" spans="1:29" s="3914" customFormat="1" ht="12.75">
      <c r="A57" s="3925" t="s">
        <v>3342</v>
      </c>
      <c r="B57" s="3916" t="e">
        <f t="shared" si="16"/>
        <v>#VALUE!</v>
      </c>
      <c r="C57" s="3917" t="e">
        <f t="shared" si="15"/>
        <v>#VALUE!</v>
      </c>
      <c r="D57" s="3918">
        <v>0.25</v>
      </c>
      <c r="E57" s="3926">
        <f>'[1]数据-汇总表'!E11</f>
        <v>0</v>
      </c>
      <c r="F57" s="3909" t="e">
        <f t="shared" si="14"/>
        <v>#VALUE!</v>
      </c>
      <c r="G57" s="3927" t="s">
        <v>1644</v>
      </c>
      <c r="H57" s="3924">
        <f>[1]项目基本情况!C43</f>
        <v>0</v>
      </c>
      <c r="I57" s="3910" t="e">
        <f>SUMIF([1]修正!$A$57:$A$68,H57,[1]修正!E57:E68)</f>
        <v>#VALUE!</v>
      </c>
      <c r="J57" s="3922"/>
      <c r="K57" s="3912"/>
      <c r="L57" s="3913"/>
      <c r="M57" s="3913"/>
      <c r="N57" s="3913"/>
      <c r="O57" s="3913"/>
      <c r="P57" s="3913"/>
      <c r="Q57" s="3913"/>
      <c r="R57" s="3913"/>
      <c r="S57" s="3913"/>
      <c r="T57" s="3913"/>
      <c r="U57" s="3913"/>
      <c r="V57" s="3913"/>
      <c r="W57" s="3913"/>
      <c r="X57" s="3913"/>
      <c r="Y57" s="3913"/>
      <c r="Z57" s="3913"/>
      <c r="AA57" s="3913"/>
      <c r="AB57" s="3913"/>
      <c r="AC57" s="3913"/>
    </row>
    <row r="58" spans="1:29" s="3914" customFormat="1" ht="12.75">
      <c r="A58" s="3915" t="s">
        <v>3343</v>
      </c>
      <c r="B58" s="3916" t="e">
        <f t="shared" si="16"/>
        <v>#VALUE!</v>
      </c>
      <c r="C58" s="3917" t="e">
        <f t="shared" si="15"/>
        <v>#VALUE!</v>
      </c>
      <c r="D58" s="3918">
        <v>0.25</v>
      </c>
      <c r="E58" s="3926">
        <f>'[1]数据-汇总表'!E12</f>
        <v>0</v>
      </c>
      <c r="F58" s="3909" t="e">
        <f t="shared" si="14"/>
        <v>#VALUE!</v>
      </c>
      <c r="G58" s="3928" t="s">
        <v>1212</v>
      </c>
      <c r="H58" s="3921">
        <f>IF(G58="商业",[1]项目基本情况!B43,IF(G58="办公",[1]项目基本情况!C43,IF(G58="住宅",[1]项目基本情况!D43,[1]项目基本情况!E43)))</f>
        <v>0</v>
      </c>
      <c r="I58" s="3910" t="e">
        <f>SUMIF([1]修正!$A$57:$A$68,H58,[1]修正!F57:F68)</f>
        <v>#VALUE!</v>
      </c>
      <c r="J58" s="3922"/>
      <c r="K58" s="3912"/>
      <c r="L58" s="3913"/>
      <c r="M58" s="3913"/>
      <c r="N58" s="3913"/>
      <c r="O58" s="3913"/>
      <c r="P58" s="3913"/>
      <c r="Q58" s="3913"/>
      <c r="R58" s="3913"/>
      <c r="S58" s="3913"/>
      <c r="T58" s="3913"/>
      <c r="U58" s="3913"/>
      <c r="V58" s="3913"/>
      <c r="W58" s="3913"/>
      <c r="X58" s="3913"/>
      <c r="Y58" s="3913"/>
      <c r="Z58" s="3913"/>
      <c r="AA58" s="3913"/>
      <c r="AB58" s="3913"/>
      <c r="AC58" s="3913"/>
    </row>
    <row r="59" spans="1:29" s="3914" customFormat="1" ht="12.75">
      <c r="A59" s="3915" t="s">
        <v>3344</v>
      </c>
      <c r="B59" s="3916" t="e">
        <f t="shared" si="16"/>
        <v>#VALUE!</v>
      </c>
      <c r="C59" s="3917" t="e">
        <f t="shared" si="15"/>
        <v>#VALUE!</v>
      </c>
      <c r="D59" s="3918">
        <v>0.25</v>
      </c>
      <c r="E59" s="3926">
        <f>'[1]数据-汇总表'!E13</f>
        <v>0</v>
      </c>
      <c r="F59" s="3909" t="e">
        <f t="shared" si="14"/>
        <v>#VALUE!</v>
      </c>
      <c r="G59" s="3928" t="s">
        <v>851</v>
      </c>
      <c r="H59" s="3921">
        <f>IF(G59="商业",[1]项目基本情况!B43,IF(G59="办公",[1]项目基本情况!C43,IF(G59="住宅",[1]项目基本情况!D43,[1]项目基本情况!E43)))</f>
        <v>0</v>
      </c>
      <c r="I59" s="3910" t="e">
        <f>SUMIF([1]修正!$A$57:$A$68,H59,[1]修正!G57:G68)</f>
        <v>#VALUE!</v>
      </c>
      <c r="J59" s="3922"/>
      <c r="K59" s="3912"/>
      <c r="L59" s="3913"/>
      <c r="M59" s="3913"/>
      <c r="N59" s="3913"/>
      <c r="O59" s="3913"/>
      <c r="P59" s="3913"/>
      <c r="Q59" s="3913"/>
      <c r="R59" s="3913"/>
      <c r="S59" s="3913"/>
      <c r="T59" s="3913"/>
      <c r="U59" s="3913"/>
      <c r="V59" s="3913"/>
      <c r="W59" s="3913"/>
      <c r="X59" s="3913"/>
      <c r="Y59" s="3913"/>
      <c r="Z59" s="3913"/>
      <c r="AA59" s="3913"/>
      <c r="AB59" s="3913"/>
      <c r="AC59" s="3913"/>
    </row>
    <row r="60" spans="1:29" s="3914" customFormat="1" ht="12.75">
      <c r="A60" s="3915" t="s">
        <v>3345</v>
      </c>
      <c r="B60" s="3916" t="e">
        <f t="shared" si="16"/>
        <v>#VALUE!</v>
      </c>
      <c r="C60" s="3917" t="e">
        <f t="shared" si="15"/>
        <v>#VALUE!</v>
      </c>
      <c r="D60" s="3918">
        <v>0.25</v>
      </c>
      <c r="E60" s="3926">
        <f>'[1]数据-汇总表'!E14</f>
        <v>0</v>
      </c>
      <c r="F60" s="3909" t="e">
        <f t="shared" si="14"/>
        <v>#VALUE!</v>
      </c>
      <c r="G60" s="3927" t="s">
        <v>1643</v>
      </c>
      <c r="H60" s="3924">
        <f>[1]项目基本情况!B43</f>
        <v>0</v>
      </c>
      <c r="I60" s="3910" t="e">
        <f>SUMIF([1]修正!$A$57:$A$68,H60,[1]修正!G57:G68)</f>
        <v>#VALUE!</v>
      </c>
      <c r="J60" s="3922"/>
      <c r="K60" s="3912"/>
      <c r="L60" s="3913"/>
      <c r="M60" s="3913"/>
      <c r="N60" s="3913"/>
      <c r="O60" s="3913"/>
      <c r="P60" s="3913"/>
      <c r="Q60" s="3913"/>
      <c r="R60" s="3913"/>
      <c r="S60" s="3913"/>
      <c r="T60" s="3913"/>
      <c r="U60" s="3913"/>
      <c r="V60" s="3913"/>
      <c r="W60" s="3913"/>
      <c r="X60" s="3913"/>
      <c r="Y60" s="3913"/>
      <c r="Z60" s="3913"/>
      <c r="AA60" s="3913"/>
      <c r="AB60" s="3913"/>
      <c r="AC60" s="3913"/>
    </row>
    <row r="61" spans="1:29" s="3914" customFormat="1" ht="13.5" thickBot="1">
      <c r="A61" s="3915" t="s">
        <v>3346</v>
      </c>
      <c r="B61" s="3916" t="e">
        <f t="shared" si="16"/>
        <v>#VALUE!</v>
      </c>
      <c r="C61" s="3917" t="e">
        <f t="shared" si="15"/>
        <v>#VALUE!</v>
      </c>
      <c r="D61" s="3918">
        <v>0.25</v>
      </c>
      <c r="E61" s="3926">
        <f>'[1]数据-汇总表'!E15</f>
        <v>0</v>
      </c>
      <c r="F61" s="3909" t="e">
        <f t="shared" si="14"/>
        <v>#VALUE!</v>
      </c>
      <c r="G61" s="3929" t="s">
        <v>1644</v>
      </c>
      <c r="H61" s="3930">
        <f>[1]项目基本情况!C43</f>
        <v>0</v>
      </c>
      <c r="I61" s="3910" t="e">
        <f>SUMIF([1]修正!$A$57:$A$68,H61,[1]修正!G57:G68)</f>
        <v>#VALUE!</v>
      </c>
      <c r="J61" s="3922"/>
      <c r="K61" s="3912"/>
      <c r="L61" s="3913"/>
      <c r="M61" s="3913"/>
      <c r="N61" s="3913"/>
      <c r="O61" s="3913"/>
      <c r="P61" s="3913"/>
      <c r="Q61" s="3913"/>
      <c r="R61" s="3913"/>
      <c r="S61" s="3913"/>
      <c r="T61" s="3913"/>
      <c r="U61" s="3913"/>
      <c r="V61" s="3913"/>
      <c r="W61" s="3913"/>
      <c r="X61" s="3913"/>
      <c r="Y61" s="3913"/>
      <c r="Z61" s="3913"/>
      <c r="AA61" s="3913"/>
      <c r="AB61" s="3913"/>
      <c r="AC61" s="3913"/>
    </row>
    <row r="62" spans="1:29" s="3914" customFormat="1" ht="13.5" thickBot="1">
      <c r="A62" s="3931" t="s">
        <v>3347</v>
      </c>
      <c r="B62" s="3932" t="s">
        <v>3348</v>
      </c>
      <c r="C62" s="3932" t="s">
        <v>3348</v>
      </c>
      <c r="D62" s="3932" t="s">
        <v>3348</v>
      </c>
      <c r="E62" s="3932">
        <f>IF(B43="楼面地价",SUM(E53:E61),'[1]数据-汇总表'!D3)</f>
        <v>22121.8</v>
      </c>
      <c r="F62" s="3933">
        <f>IF(B43="楼面地价",SUM(F53:F61),ROUND(C45*E62/10000,0))</f>
        <v>5389</v>
      </c>
      <c r="G62" s="3934"/>
      <c r="H62" s="3934"/>
      <c r="I62" s="3934"/>
      <c r="J62" s="3934"/>
      <c r="K62" s="3935"/>
      <c r="L62" s="3913"/>
      <c r="M62" s="3913"/>
      <c r="N62" s="3913"/>
      <c r="O62" s="3913"/>
      <c r="P62" s="3913"/>
      <c r="Q62" s="3913"/>
      <c r="R62" s="3913"/>
      <c r="S62" s="3913"/>
      <c r="T62" s="3913"/>
      <c r="U62" s="3913"/>
      <c r="V62" s="3913"/>
      <c r="W62" s="3913"/>
      <c r="X62" s="3913"/>
      <c r="Y62" s="3913"/>
      <c r="Z62" s="3913"/>
      <c r="AA62" s="3913"/>
      <c r="AB62" s="3913"/>
      <c r="AC62" s="3913"/>
    </row>
    <row r="63" spans="1:29">
      <c r="A63" s="3867"/>
      <c r="B63" s="3936"/>
      <c r="C63" s="3895"/>
      <c r="D63" s="3867"/>
      <c r="E63" s="3867"/>
      <c r="F63" s="3867"/>
      <c r="G63" s="3867"/>
      <c r="H63" s="3867"/>
      <c r="I63" s="3867"/>
      <c r="J63" s="3867"/>
      <c r="K63" s="3937"/>
      <c r="L63" s="3883"/>
      <c r="M63" s="3867"/>
      <c r="N63" s="3867"/>
      <c r="O63" s="3867"/>
      <c r="P63" s="3867"/>
      <c r="Q63" s="3867"/>
      <c r="R63" s="3867"/>
      <c r="S63" s="3867"/>
      <c r="T63" s="3867"/>
      <c r="U63" s="3867"/>
      <c r="V63" s="3867"/>
      <c r="W63" s="3867"/>
      <c r="X63" s="3867"/>
      <c r="Y63" s="3867"/>
      <c r="Z63" s="3867"/>
      <c r="AA63" s="3867"/>
      <c r="AB63" s="3867"/>
      <c r="AC63" s="3867"/>
    </row>
    <row r="64" spans="1:29">
      <c r="A64" s="3867"/>
      <c r="B64" s="3936"/>
      <c r="C64" s="3938" t="str">
        <f>YEAR(C9)&amp;"-"&amp;MONTH(C9)&amp;"-1"</f>
        <v>2024-3-1</v>
      </c>
      <c r="D64" s="3939">
        <f>EDATE(C64,-3)</f>
        <v>45261</v>
      </c>
      <c r="E64" s="3939">
        <f t="shared" ref="E64:N64" si="17">EDATE(D64,-3)</f>
        <v>45170</v>
      </c>
      <c r="F64" s="3939">
        <f t="shared" si="17"/>
        <v>45078</v>
      </c>
      <c r="G64" s="3939">
        <f t="shared" si="17"/>
        <v>44986</v>
      </c>
      <c r="H64" s="3939">
        <f t="shared" si="17"/>
        <v>44896</v>
      </c>
      <c r="I64" s="3939">
        <f t="shared" si="17"/>
        <v>44805</v>
      </c>
      <c r="J64" s="3939">
        <f t="shared" si="17"/>
        <v>44713</v>
      </c>
      <c r="K64" s="3939">
        <f t="shared" si="17"/>
        <v>44621</v>
      </c>
      <c r="L64" s="3939">
        <f t="shared" si="17"/>
        <v>44531</v>
      </c>
      <c r="M64" s="3939">
        <f t="shared" si="17"/>
        <v>44440</v>
      </c>
      <c r="N64" s="3939">
        <f t="shared" si="17"/>
        <v>44348</v>
      </c>
      <c r="O64" s="3867"/>
      <c r="P64" s="3867"/>
      <c r="Q64" s="3867"/>
      <c r="R64" s="3867"/>
      <c r="S64" s="3867"/>
      <c r="T64" s="3867"/>
      <c r="U64" s="3867"/>
      <c r="V64" s="3867"/>
      <c r="W64" s="3867"/>
      <c r="X64" s="3867"/>
      <c r="Y64" s="3867"/>
      <c r="Z64" s="3867"/>
      <c r="AA64" s="3867"/>
      <c r="AB64" s="3867"/>
      <c r="AC64" s="3867"/>
    </row>
    <row r="65" spans="1:29" ht="21.75" thickBot="1">
      <c r="A65" s="3940" t="s">
        <v>522</v>
      </c>
      <c r="B65" s="3868"/>
      <c r="C65" s="3941"/>
      <c r="D65" s="3941"/>
      <c r="E65" s="3941"/>
      <c r="F65" s="3942"/>
      <c r="G65" s="3942"/>
      <c r="H65" s="3941"/>
      <c r="I65" s="3941"/>
      <c r="J65" s="3941"/>
      <c r="K65" s="3943"/>
      <c r="L65" s="3944"/>
      <c r="M65" s="3941"/>
      <c r="N65" s="3941"/>
      <c r="O65" s="3945"/>
      <c r="P65" s="3945"/>
      <c r="Q65" s="3946"/>
      <c r="R65" s="3867"/>
      <c r="S65" s="3867"/>
      <c r="T65" s="3867"/>
      <c r="U65" s="3867"/>
      <c r="V65" s="3867"/>
      <c r="W65" s="3867"/>
      <c r="X65" s="3867"/>
      <c r="Y65" s="3867"/>
      <c r="Z65" s="3867"/>
      <c r="AA65" s="3867"/>
      <c r="AB65" s="3867"/>
      <c r="AC65" s="3867"/>
    </row>
    <row r="66" spans="1:29" s="3953" customFormat="1" ht="15">
      <c r="A66" s="3947" t="s">
        <v>1816</v>
      </c>
      <c r="B66" s="3948"/>
      <c r="C66" s="3949" t="str">
        <f>YEAR(C64)&amp;"-"&amp;ROUNDUP(MONTH(C64)/3,0)</f>
        <v>2024-1</v>
      </c>
      <c r="D66" s="3949" t="str">
        <f t="shared" ref="D66:N66" si="18">YEAR(D64)&amp;"-"&amp;ROUNDUP(MONTH(D64)/3,0)</f>
        <v>2023-4</v>
      </c>
      <c r="E66" s="3949" t="str">
        <f t="shared" si="18"/>
        <v>2023-3</v>
      </c>
      <c r="F66" s="3949" t="str">
        <f t="shared" si="18"/>
        <v>2023-2</v>
      </c>
      <c r="G66" s="3949" t="str">
        <f t="shared" si="18"/>
        <v>2023-1</v>
      </c>
      <c r="H66" s="3949" t="str">
        <f t="shared" si="18"/>
        <v>2022-4</v>
      </c>
      <c r="I66" s="3949" t="str">
        <f t="shared" si="18"/>
        <v>2022-3</v>
      </c>
      <c r="J66" s="3949" t="str">
        <f t="shared" si="18"/>
        <v>2022-2</v>
      </c>
      <c r="K66" s="3949" t="str">
        <f t="shared" si="18"/>
        <v>2022-1</v>
      </c>
      <c r="L66" s="3949" t="str">
        <f t="shared" si="18"/>
        <v>2021-4</v>
      </c>
      <c r="M66" s="3949" t="str">
        <f t="shared" si="18"/>
        <v>2021-3</v>
      </c>
      <c r="N66" s="3949" t="str">
        <f t="shared" si="18"/>
        <v>2021-2</v>
      </c>
      <c r="O66" s="3950"/>
      <c r="P66" s="3951"/>
      <c r="Q66" s="3952"/>
      <c r="R66" s="3952"/>
      <c r="S66" s="3952"/>
      <c r="T66" s="3952"/>
      <c r="U66" s="3952"/>
      <c r="V66" s="3952"/>
      <c r="W66" s="3952"/>
      <c r="X66" s="3952"/>
      <c r="Y66" s="3952"/>
      <c r="Z66" s="3952"/>
      <c r="AA66" s="3952"/>
      <c r="AB66" s="3952"/>
      <c r="AC66" s="3952"/>
    </row>
    <row r="67" spans="1:29" s="3753" customFormat="1" ht="27.75" customHeight="1">
      <c r="A67" s="3954" t="s">
        <v>776</v>
      </c>
      <c r="B67" s="3955" t="str">
        <f>"北京市平均增长率"&amp;TEXT([1]基准地价!P28,"0.00%")</f>
        <v>北京市平均增长率0.00%</v>
      </c>
      <c r="C67" s="3956">
        <v>100</v>
      </c>
      <c r="D67" s="3957">
        <f>ROUND(C67/(1+D68/100)/(1+C68/100),2)</f>
        <v>98.87</v>
      </c>
      <c r="E67" s="3957">
        <f>ROUND(D67/(1+E68/100),2)</f>
        <v>98.38</v>
      </c>
      <c r="F67" s="3957">
        <f t="shared" ref="F67:N67" si="19">ROUND(E67/(1+F68/100),2)</f>
        <v>97.86</v>
      </c>
      <c r="G67" s="3957">
        <f t="shared" si="19"/>
        <v>97.25</v>
      </c>
      <c r="H67" s="3957">
        <f t="shared" si="19"/>
        <v>96.21</v>
      </c>
      <c r="I67" s="3957">
        <f t="shared" si="19"/>
        <v>95.6</v>
      </c>
      <c r="J67" s="3957">
        <f t="shared" si="19"/>
        <v>95.08</v>
      </c>
      <c r="K67" s="3957">
        <f t="shared" si="19"/>
        <v>94.63</v>
      </c>
      <c r="L67" s="3957">
        <f t="shared" si="19"/>
        <v>93.68</v>
      </c>
      <c r="M67" s="3957">
        <f t="shared" si="19"/>
        <v>93.34</v>
      </c>
      <c r="N67" s="3957">
        <f t="shared" si="19"/>
        <v>90.89</v>
      </c>
      <c r="O67" s="3958"/>
      <c r="P67" s="3946"/>
      <c r="Q67" s="3959"/>
      <c r="R67" s="3959"/>
      <c r="S67" s="3959"/>
      <c r="T67" s="3959"/>
      <c r="U67" s="3959"/>
      <c r="V67" s="3959"/>
      <c r="W67" s="3959"/>
      <c r="X67" s="3959"/>
      <c r="Y67" s="3959"/>
      <c r="Z67" s="3959"/>
      <c r="AA67" s="3959"/>
      <c r="AB67" s="3959"/>
      <c r="AC67" s="3959"/>
    </row>
    <row r="68" spans="1:29" s="3753" customFormat="1" ht="15.75" thickBot="1">
      <c r="A68" s="3960" t="s">
        <v>3349</v>
      </c>
      <c r="B68" s="3961"/>
      <c r="C68" s="3962">
        <v>0.43</v>
      </c>
      <c r="D68" s="3963">
        <f>'[1]地价-分区'!H7</f>
        <v>0.71</v>
      </c>
      <c r="E68" s="3963">
        <f>'[1]地价-分区'!H8</f>
        <v>0.5</v>
      </c>
      <c r="F68" s="3963">
        <f>'[1]地价-分区'!H9</f>
        <v>0.53</v>
      </c>
      <c r="G68" s="3963">
        <f>'[1]地价-分区'!H10</f>
        <v>0.63</v>
      </c>
      <c r="H68" s="3963">
        <f>'[1]地价-分区'!H11</f>
        <v>1.08</v>
      </c>
      <c r="I68" s="3963">
        <f>'[1]地价-分区'!H12</f>
        <v>0.64</v>
      </c>
      <c r="J68" s="3963">
        <f>'[1]地价-分区'!H13</f>
        <v>0.55000000000000004</v>
      </c>
      <c r="K68" s="3963">
        <f>'[1]地价-分区'!H14</f>
        <v>0.48</v>
      </c>
      <c r="L68" s="3963">
        <f>'[1]地价-分区'!H15</f>
        <v>1.01</v>
      </c>
      <c r="M68" s="3963">
        <f>'[1]地价-分区'!H16</f>
        <v>0.36</v>
      </c>
      <c r="N68" s="3963">
        <v>2.69</v>
      </c>
      <c r="O68" s="3958"/>
      <c r="P68" s="3946"/>
      <c r="Q68" s="3946"/>
      <c r="R68" s="3959"/>
      <c r="S68" s="3959"/>
      <c r="T68" s="3959"/>
      <c r="U68" s="3959"/>
      <c r="V68" s="3959"/>
      <c r="W68" s="3959"/>
      <c r="X68" s="3959"/>
      <c r="Y68" s="3959"/>
      <c r="Z68" s="3959"/>
      <c r="AA68" s="3959"/>
      <c r="AB68" s="3959"/>
      <c r="AC68" s="3959"/>
    </row>
    <row r="69" spans="1:29" s="3753" customFormat="1" ht="15">
      <c r="A69" s="3964" t="s">
        <v>480</v>
      </c>
      <c r="B69" s="3965"/>
      <c r="C69" s="3966" t="s">
        <v>3350</v>
      </c>
      <c r="D69" s="3967"/>
      <c r="E69" s="3967"/>
      <c r="F69" s="3967"/>
      <c r="G69" s="3967"/>
      <c r="H69" s="3967"/>
      <c r="I69" s="3967"/>
      <c r="J69" s="3967"/>
      <c r="K69" s="3967"/>
      <c r="L69" s="3968"/>
      <c r="M69" s="3969"/>
      <c r="N69" s="3970"/>
      <c r="O69" s="3958"/>
      <c r="P69" s="3971"/>
      <c r="Q69" s="3946"/>
      <c r="R69" s="3959"/>
      <c r="S69" s="3959"/>
      <c r="T69" s="3959"/>
      <c r="U69" s="3959"/>
      <c r="V69" s="3959"/>
      <c r="W69" s="3959"/>
      <c r="X69" s="3959"/>
      <c r="Y69" s="3959"/>
      <c r="Z69" s="3959"/>
      <c r="AA69" s="3959"/>
      <c r="AB69" s="3959"/>
      <c r="AC69" s="3959"/>
    </row>
    <row r="70" spans="1:29" s="3753" customFormat="1" ht="15.75" thickBot="1">
      <c r="A70" s="3964"/>
      <c r="B70" s="3965"/>
      <c r="C70" s="3972">
        <v>100</v>
      </c>
      <c r="D70" s="3973"/>
      <c r="E70" s="3973"/>
      <c r="F70" s="3973"/>
      <c r="G70" s="3973"/>
      <c r="H70" s="3973"/>
      <c r="I70" s="3973"/>
      <c r="J70" s="3973"/>
      <c r="K70" s="3973"/>
      <c r="L70" s="3973"/>
      <c r="M70" s="3974"/>
      <c r="N70" s="3970"/>
      <c r="O70" s="3958"/>
      <c r="P70" s="3946"/>
      <c r="Q70" s="3946"/>
      <c r="R70" s="3959"/>
      <c r="S70" s="3959"/>
      <c r="T70" s="3959"/>
      <c r="U70" s="3959"/>
      <c r="V70" s="3959"/>
      <c r="W70" s="3959"/>
      <c r="X70" s="3959"/>
      <c r="Y70" s="3959"/>
      <c r="Z70" s="3959"/>
      <c r="AA70" s="3959"/>
      <c r="AB70" s="3959"/>
      <c r="AC70" s="3959"/>
    </row>
    <row r="71" spans="1:29">
      <c r="A71" s="3975" t="s">
        <v>525</v>
      </c>
      <c r="B71" s="3976" t="s">
        <v>483</v>
      </c>
      <c r="C71" s="3977" t="s">
        <v>3351</v>
      </c>
      <c r="D71" s="3978"/>
      <c r="E71" s="3978"/>
      <c r="F71" s="3978"/>
      <c r="G71" s="3978"/>
      <c r="H71" s="3978"/>
      <c r="I71" s="3978"/>
      <c r="J71" s="3978"/>
      <c r="K71" s="3979"/>
      <c r="L71" s="3980"/>
      <c r="M71" s="3981"/>
      <c r="N71" s="3982"/>
      <c r="O71" s="3983"/>
      <c r="P71" s="3984"/>
      <c r="Q71" s="3946"/>
      <c r="R71" s="3867"/>
      <c r="S71" s="3867"/>
      <c r="T71" s="3867"/>
      <c r="U71" s="3867"/>
      <c r="V71" s="3867"/>
      <c r="W71" s="3867"/>
      <c r="X71" s="3867"/>
      <c r="Y71" s="3867"/>
      <c r="Z71" s="3867"/>
      <c r="AA71" s="3867"/>
      <c r="AB71" s="3867"/>
      <c r="AC71" s="3867"/>
    </row>
    <row r="72" spans="1:29" ht="15.75" thickBot="1">
      <c r="A72" s="3985"/>
      <c r="B72" s="3986"/>
      <c r="C72" s="3987"/>
      <c r="D72" s="3987"/>
      <c r="E72" s="3987"/>
      <c r="F72" s="3987"/>
      <c r="G72" s="3987"/>
      <c r="H72" s="3987"/>
      <c r="I72" s="3987"/>
      <c r="J72" s="3987"/>
      <c r="K72" s="3987"/>
      <c r="L72" s="3987"/>
      <c r="M72" s="3988"/>
      <c r="N72" s="3989"/>
      <c r="O72" s="3990"/>
      <c r="P72" s="3984"/>
      <c r="Q72" s="3946"/>
      <c r="R72" s="3867"/>
      <c r="S72" s="3867"/>
      <c r="T72" s="3867"/>
      <c r="U72" s="3867"/>
      <c r="V72" s="3867"/>
      <c r="W72" s="3867"/>
      <c r="X72" s="3867"/>
      <c r="Y72" s="3867"/>
      <c r="Z72" s="3867"/>
      <c r="AA72" s="3867"/>
      <c r="AB72" s="3867"/>
      <c r="AC72" s="3867"/>
    </row>
    <row r="73" spans="1:29" ht="27.75" thickTop="1">
      <c r="A73" s="3985"/>
      <c r="B73" s="3991" t="s">
        <v>486</v>
      </c>
      <c r="C73" s="3992"/>
      <c r="D73" s="3992"/>
      <c r="E73" s="3992"/>
      <c r="F73" s="3992"/>
      <c r="G73" s="3992"/>
      <c r="H73" s="3992"/>
      <c r="I73" s="3992"/>
      <c r="J73" s="3992"/>
      <c r="K73" s="3993"/>
      <c r="L73" s="3994"/>
      <c r="M73" s="3995"/>
      <c r="N73" s="3982"/>
      <c r="O73" s="3983"/>
      <c r="P73" s="3984"/>
      <c r="Q73" s="3946"/>
      <c r="R73" s="3867"/>
      <c r="S73" s="3867"/>
      <c r="T73" s="3867"/>
      <c r="U73" s="3867"/>
      <c r="V73" s="3867"/>
      <c r="W73" s="3867"/>
      <c r="X73" s="3867"/>
      <c r="Y73" s="3867"/>
      <c r="Z73" s="3867"/>
      <c r="AA73" s="3867"/>
      <c r="AB73" s="3867"/>
      <c r="AC73" s="3867"/>
    </row>
    <row r="74" spans="1:29" ht="15.75" thickBot="1">
      <c r="A74" s="3985"/>
      <c r="B74" s="3996"/>
      <c r="C74" s="3997"/>
      <c r="D74" s="3997"/>
      <c r="E74" s="3997"/>
      <c r="F74" s="3997"/>
      <c r="G74" s="3997"/>
      <c r="H74" s="3997"/>
      <c r="I74" s="3997"/>
      <c r="J74" s="3997"/>
      <c r="K74" s="3997"/>
      <c r="L74" s="3997"/>
      <c r="M74" s="3998"/>
      <c r="N74" s="3989"/>
      <c r="O74" s="3990"/>
      <c r="P74" s="3984"/>
      <c r="Q74" s="3946"/>
      <c r="R74" s="3867"/>
      <c r="S74" s="3867"/>
      <c r="T74" s="3867"/>
      <c r="U74" s="3867"/>
      <c r="V74" s="3867"/>
      <c r="W74" s="3867"/>
      <c r="X74" s="3867"/>
      <c r="Y74" s="3867"/>
      <c r="Z74" s="3867"/>
      <c r="AA74" s="3867"/>
      <c r="AB74" s="3867"/>
      <c r="AC74" s="3867"/>
    </row>
    <row r="75" spans="1:29" ht="15.75" thickTop="1">
      <c r="A75" s="3985"/>
      <c r="B75" s="3999" t="s">
        <v>487</v>
      </c>
      <c r="C75" s="4000" t="str">
        <f>C76&amp;"（含）"&amp;"-"&amp;D76</f>
        <v>0（含）-1</v>
      </c>
      <c r="D75" s="4000" t="str">
        <f t="shared" ref="D75:L75" si="20">D76&amp;"（含）"&amp;"-"&amp;E76</f>
        <v>1（含）-</v>
      </c>
      <c r="E75" s="4000" t="str">
        <f t="shared" si="20"/>
        <v>（含）-</v>
      </c>
      <c r="F75" s="4000" t="str">
        <f t="shared" si="20"/>
        <v>（含）-</v>
      </c>
      <c r="G75" s="4000" t="str">
        <f t="shared" si="20"/>
        <v>（含）-</v>
      </c>
      <c r="H75" s="4000" t="str">
        <f t="shared" si="20"/>
        <v>（含）-</v>
      </c>
      <c r="I75" s="4000" t="str">
        <f t="shared" si="20"/>
        <v>（含）-</v>
      </c>
      <c r="J75" s="4000" t="str">
        <f t="shared" si="20"/>
        <v>（含）-</v>
      </c>
      <c r="K75" s="4000" t="str">
        <f t="shared" si="20"/>
        <v>（含）-</v>
      </c>
      <c r="L75" s="4000" t="str">
        <f t="shared" si="20"/>
        <v>（含）-</v>
      </c>
      <c r="M75" s="4001" t="str">
        <f>M76&amp;"（含）"&amp;"-"&amp;P76</f>
        <v>（含）-</v>
      </c>
      <c r="N75" s="3989"/>
      <c r="O75" s="3990"/>
      <c r="P75" s="3984"/>
      <c r="Q75" s="3946"/>
      <c r="R75" s="3867"/>
      <c r="S75" s="3867"/>
      <c r="T75" s="3867"/>
      <c r="U75" s="3867"/>
      <c r="V75" s="3867"/>
      <c r="W75" s="3867"/>
      <c r="X75" s="3867"/>
      <c r="Y75" s="3867"/>
      <c r="Z75" s="3867"/>
      <c r="AA75" s="3867"/>
      <c r="AB75" s="3867"/>
      <c r="AC75" s="3867"/>
    </row>
    <row r="76" spans="1:29" ht="15">
      <c r="A76" s="3985"/>
      <c r="B76" s="4002"/>
      <c r="C76" s="4003">
        <v>0</v>
      </c>
      <c r="D76" s="4003">
        <v>1</v>
      </c>
      <c r="E76" s="4003"/>
      <c r="F76" s="4003"/>
      <c r="G76" s="4003"/>
      <c r="H76" s="4003"/>
      <c r="I76" s="4003"/>
      <c r="J76" s="4003"/>
      <c r="K76" s="4004"/>
      <c r="L76" s="4005"/>
      <c r="M76" s="4006"/>
      <c r="N76" s="3982"/>
      <c r="O76" s="3983"/>
      <c r="P76" s="3984"/>
      <c r="Q76" s="3946"/>
      <c r="R76" s="3867"/>
      <c r="S76" s="3867"/>
      <c r="T76" s="3867"/>
      <c r="U76" s="3867"/>
      <c r="V76" s="3867"/>
      <c r="W76" s="3867"/>
      <c r="X76" s="3867"/>
      <c r="Y76" s="3867"/>
      <c r="Z76" s="3867"/>
      <c r="AA76" s="3867"/>
      <c r="AB76" s="3867"/>
      <c r="AC76" s="3867"/>
    </row>
    <row r="77" spans="1:29" ht="15.75" thickBot="1">
      <c r="A77" s="3985"/>
      <c r="B77" s="3986"/>
      <c r="C77" s="3997">
        <v>100</v>
      </c>
      <c r="D77" s="3997">
        <f t="shared" ref="D77:M77" si="21">IF($B$43="单位面积地价",C77+$K13,C77-$K13)</f>
        <v>100</v>
      </c>
      <c r="E77" s="3997">
        <f t="shared" si="21"/>
        <v>100</v>
      </c>
      <c r="F77" s="3997">
        <f t="shared" si="21"/>
        <v>100</v>
      </c>
      <c r="G77" s="3997">
        <f t="shared" si="21"/>
        <v>100</v>
      </c>
      <c r="H77" s="3997">
        <f t="shared" si="21"/>
        <v>100</v>
      </c>
      <c r="I77" s="3997">
        <f t="shared" si="21"/>
        <v>100</v>
      </c>
      <c r="J77" s="3997">
        <f t="shared" si="21"/>
        <v>100</v>
      </c>
      <c r="K77" s="3997">
        <f t="shared" si="21"/>
        <v>100</v>
      </c>
      <c r="L77" s="3997">
        <f t="shared" si="21"/>
        <v>100</v>
      </c>
      <c r="M77" s="3997">
        <f t="shared" si="21"/>
        <v>100</v>
      </c>
      <c r="N77" s="3989"/>
      <c r="O77" s="3990"/>
      <c r="P77" s="3984"/>
      <c r="Q77" s="3946"/>
      <c r="R77" s="3867"/>
      <c r="S77" s="3867"/>
      <c r="T77" s="3867"/>
      <c r="U77" s="3867"/>
      <c r="V77" s="3867"/>
      <c r="W77" s="3867"/>
      <c r="X77" s="3867"/>
      <c r="Y77" s="3867"/>
      <c r="Z77" s="3867"/>
      <c r="AA77" s="3867"/>
      <c r="AB77" s="3867"/>
      <c r="AC77" s="3867"/>
    </row>
    <row r="78" spans="1:29" s="3844" customFormat="1" ht="15.75" thickTop="1">
      <c r="A78" s="4007"/>
      <c r="B78" s="3991">
        <f>B14</f>
        <v>111</v>
      </c>
      <c r="C78" s="4008"/>
      <c r="D78" s="4008"/>
      <c r="E78" s="4008"/>
      <c r="F78" s="4008"/>
      <c r="G78" s="4008"/>
      <c r="H78" s="4009"/>
      <c r="I78" s="4009"/>
      <c r="J78" s="4009"/>
      <c r="K78" s="4009"/>
      <c r="L78" s="4010"/>
      <c r="M78" s="4011"/>
      <c r="N78" s="4012"/>
      <c r="O78" s="4013"/>
      <c r="P78" s="4014"/>
      <c r="Q78" s="4015"/>
      <c r="R78" s="4016"/>
      <c r="S78" s="4016"/>
      <c r="T78" s="4016"/>
      <c r="U78" s="4016"/>
      <c r="V78" s="4016"/>
      <c r="W78" s="4016"/>
      <c r="X78" s="4016"/>
      <c r="Y78" s="4016"/>
      <c r="Z78" s="4016"/>
      <c r="AA78" s="4016"/>
      <c r="AB78" s="4016"/>
      <c r="AC78" s="4016"/>
    </row>
    <row r="79" spans="1:29" s="3844" customFormat="1" ht="15.75" thickBot="1">
      <c r="A79" s="4007"/>
      <c r="B79" s="3996"/>
      <c r="C79" s="4017"/>
      <c r="D79" s="3987"/>
      <c r="E79" s="3987"/>
      <c r="F79" s="3987"/>
      <c r="G79" s="3987"/>
      <c r="H79" s="3987"/>
      <c r="I79" s="3987"/>
      <c r="J79" s="3987"/>
      <c r="K79" s="3987"/>
      <c r="L79" s="3987"/>
      <c r="M79" s="3988"/>
      <c r="N79" s="3989"/>
      <c r="O79" s="3990"/>
      <c r="P79" s="4014"/>
      <c r="Q79" s="4015"/>
      <c r="R79" s="4016"/>
      <c r="S79" s="4016"/>
      <c r="T79" s="4016"/>
      <c r="U79" s="4016"/>
      <c r="V79" s="4016"/>
      <c r="W79" s="4016"/>
      <c r="X79" s="4016"/>
      <c r="Y79" s="4016"/>
      <c r="Z79" s="4016"/>
      <c r="AA79" s="4016"/>
      <c r="AB79" s="4016"/>
      <c r="AC79" s="4016"/>
    </row>
    <row r="80" spans="1:29" s="3844" customFormat="1" ht="15.75" thickTop="1">
      <c r="A80" s="4007"/>
      <c r="B80" s="3991">
        <f>B15</f>
        <v>111</v>
      </c>
      <c r="C80" s="4008"/>
      <c r="D80" s="4008"/>
      <c r="E80" s="4008"/>
      <c r="F80" s="4008"/>
      <c r="G80" s="4008"/>
      <c r="H80" s="4009"/>
      <c r="I80" s="4009"/>
      <c r="J80" s="4009"/>
      <c r="K80" s="4009"/>
      <c r="L80" s="4010"/>
      <c r="M80" s="4011"/>
      <c r="N80" s="4012"/>
      <c r="O80" s="4013"/>
      <c r="P80" s="3838"/>
      <c r="Q80" s="4018"/>
      <c r="R80" s="4016"/>
      <c r="S80" s="4016"/>
      <c r="T80" s="4016"/>
      <c r="U80" s="4016"/>
      <c r="V80" s="4016"/>
      <c r="W80" s="4016"/>
      <c r="X80" s="4016"/>
      <c r="Y80" s="4016"/>
      <c r="Z80" s="4016"/>
      <c r="AA80" s="4016"/>
      <c r="AB80" s="4016"/>
      <c r="AC80" s="4016"/>
    </row>
    <row r="81" spans="1:29" s="3844" customFormat="1" ht="15.75" thickBot="1">
      <c r="A81" s="4007"/>
      <c r="B81" s="3996"/>
      <c r="C81" s="4017"/>
      <c r="D81" s="4017"/>
      <c r="E81" s="4017"/>
      <c r="F81" s="4017"/>
      <c r="G81" s="4017"/>
      <c r="H81" s="4019"/>
      <c r="I81" s="4019"/>
      <c r="J81" s="4019"/>
      <c r="K81" s="4019"/>
      <c r="L81" s="4019"/>
      <c r="M81" s="4020"/>
      <c r="N81" s="4012"/>
      <c r="O81" s="4013"/>
      <c r="P81" s="4014"/>
      <c r="Q81" s="4015"/>
      <c r="R81" s="4016"/>
      <c r="S81" s="4016"/>
      <c r="T81" s="4016"/>
      <c r="U81" s="4016"/>
      <c r="V81" s="4016"/>
      <c r="W81" s="4016"/>
      <c r="X81" s="4016"/>
      <c r="Y81" s="4016"/>
      <c r="Z81" s="4016"/>
      <c r="AA81" s="4016"/>
      <c r="AB81" s="4016"/>
      <c r="AC81" s="4016"/>
    </row>
    <row r="82" spans="1:29" s="3844" customFormat="1" ht="15.75" thickTop="1">
      <c r="A82" s="4007"/>
      <c r="B82" s="3999">
        <f>B16</f>
        <v>111</v>
      </c>
      <c r="C82" s="3967"/>
      <c r="D82" s="3967"/>
      <c r="E82" s="3967"/>
      <c r="F82" s="3967"/>
      <c r="G82" s="3967"/>
      <c r="H82" s="4021"/>
      <c r="I82" s="4021"/>
      <c r="J82" s="4021"/>
      <c r="K82" s="4021"/>
      <c r="L82" s="4022"/>
      <c r="M82" s="4023"/>
      <c r="N82" s="4012"/>
      <c r="O82" s="4013"/>
      <c r="P82" s="4024"/>
      <c r="Q82" s="4015"/>
      <c r="R82" s="4016"/>
      <c r="S82" s="4016"/>
      <c r="T82" s="4016"/>
      <c r="U82" s="4016"/>
      <c r="V82" s="4016"/>
      <c r="W82" s="4016"/>
      <c r="X82" s="4016"/>
      <c r="Y82" s="4016"/>
      <c r="Z82" s="4016"/>
      <c r="AA82" s="4016"/>
      <c r="AB82" s="4016"/>
      <c r="AC82" s="4016"/>
    </row>
    <row r="83" spans="1:29" s="3844" customFormat="1" ht="15.75" thickBot="1">
      <c r="A83" s="4025"/>
      <c r="B83" s="4026"/>
      <c r="C83" s="4027"/>
      <c r="D83" s="4027"/>
      <c r="E83" s="4027"/>
      <c r="F83" s="4027"/>
      <c r="G83" s="4027"/>
      <c r="H83" s="4028"/>
      <c r="I83" s="4028"/>
      <c r="J83" s="4028"/>
      <c r="K83" s="4028"/>
      <c r="L83" s="4028"/>
      <c r="M83" s="4029"/>
      <c r="N83" s="4012"/>
      <c r="O83" s="4013"/>
      <c r="P83" s="4014"/>
      <c r="Q83" s="4015"/>
      <c r="R83" s="4016"/>
      <c r="S83" s="4016"/>
      <c r="T83" s="4016"/>
      <c r="U83" s="4016"/>
      <c r="V83" s="4016"/>
      <c r="W83" s="4016"/>
      <c r="X83" s="4016"/>
      <c r="Y83" s="4016"/>
      <c r="Z83" s="4016"/>
      <c r="AA83" s="4016"/>
      <c r="AB83" s="4016"/>
      <c r="AC83" s="4016"/>
    </row>
    <row r="84" spans="1:29">
      <c r="A84" s="3975" t="s">
        <v>488</v>
      </c>
      <c r="B84" s="3976" t="s">
        <v>550</v>
      </c>
      <c r="C84" s="4030" t="s">
        <v>527</v>
      </c>
      <c r="D84" s="4030" t="s">
        <v>528</v>
      </c>
      <c r="E84" s="4030" t="s">
        <v>529</v>
      </c>
      <c r="F84" s="4030" t="s">
        <v>530</v>
      </c>
      <c r="G84" s="4030" t="s">
        <v>531</v>
      </c>
      <c r="H84" s="4031"/>
      <c r="I84" s="4031"/>
      <c r="J84" s="4031"/>
      <c r="K84" s="4032"/>
      <c r="L84" s="4033"/>
      <c r="M84" s="4034"/>
      <c r="N84" s="3982"/>
      <c r="O84" s="3983"/>
      <c r="P84" s="4035"/>
      <c r="Q84" s="3946"/>
      <c r="R84" s="3867"/>
      <c r="S84" s="3867"/>
      <c r="T84" s="3867"/>
      <c r="U84" s="3867"/>
      <c r="V84" s="3867"/>
      <c r="W84" s="3867"/>
      <c r="X84" s="3867"/>
      <c r="Y84" s="3867"/>
      <c r="Z84" s="3867"/>
      <c r="AA84" s="3867"/>
      <c r="AB84" s="3867"/>
      <c r="AC84" s="3867"/>
    </row>
    <row r="85" spans="1:29" ht="15.75" thickBot="1">
      <c r="A85" s="3985"/>
      <c r="B85" s="3996"/>
      <c r="C85" s="3997">
        <v>100</v>
      </c>
      <c r="D85" s="3997">
        <f>C85-$K17</f>
        <v>96</v>
      </c>
      <c r="E85" s="3997">
        <f>D85-$K17</f>
        <v>92</v>
      </c>
      <c r="F85" s="3997">
        <f>E85-$K17</f>
        <v>88</v>
      </c>
      <c r="G85" s="3997">
        <f>F85-$K17</f>
        <v>84</v>
      </c>
      <c r="H85" s="3997"/>
      <c r="I85" s="3997"/>
      <c r="J85" s="3997"/>
      <c r="K85" s="3997"/>
      <c r="L85" s="3997"/>
      <c r="M85" s="3998"/>
      <c r="N85" s="3989"/>
      <c r="O85" s="3990"/>
      <c r="P85" s="3984"/>
      <c r="Q85" s="3946"/>
      <c r="R85" s="3867"/>
      <c r="S85" s="3867"/>
      <c r="T85" s="3867"/>
      <c r="U85" s="3867"/>
      <c r="V85" s="3867"/>
      <c r="W85" s="3867"/>
      <c r="X85" s="3867"/>
      <c r="Y85" s="3867"/>
      <c r="Z85" s="3867"/>
      <c r="AA85" s="3867"/>
      <c r="AB85" s="3867"/>
      <c r="AC85" s="3867"/>
    </row>
    <row r="86" spans="1:29" ht="15.75" thickTop="1">
      <c r="A86" s="3985"/>
      <c r="B86" s="3991" t="s">
        <v>534</v>
      </c>
      <c r="C86" s="4036" t="s">
        <v>527</v>
      </c>
      <c r="D86" s="4036" t="s">
        <v>528</v>
      </c>
      <c r="E86" s="4036" t="s">
        <v>3352</v>
      </c>
      <c r="F86" s="4036" t="s">
        <v>530</v>
      </c>
      <c r="G86" s="4036" t="s">
        <v>531</v>
      </c>
      <c r="H86" s="3992"/>
      <c r="I86" s="3992"/>
      <c r="J86" s="3992"/>
      <c r="K86" s="3993"/>
      <c r="L86" s="3994"/>
      <c r="M86" s="3995"/>
      <c r="N86" s="3982"/>
      <c r="O86" s="3983"/>
      <c r="P86" s="3984"/>
      <c r="Q86" s="3946"/>
      <c r="R86" s="3867"/>
      <c r="S86" s="3867"/>
      <c r="T86" s="3867"/>
      <c r="U86" s="3867"/>
      <c r="V86" s="3867"/>
      <c r="W86" s="3867"/>
      <c r="X86" s="3867"/>
      <c r="Y86" s="3867"/>
      <c r="Z86" s="3867"/>
      <c r="AA86" s="3867"/>
      <c r="AB86" s="3867"/>
      <c r="AC86" s="3867"/>
    </row>
    <row r="87" spans="1:29" ht="15.75" thickBot="1">
      <c r="A87" s="3985"/>
      <c r="B87" s="3996"/>
      <c r="C87" s="3997">
        <v>100</v>
      </c>
      <c r="D87" s="3997">
        <f>C87-$K19</f>
        <v>98</v>
      </c>
      <c r="E87" s="3997">
        <f>D87-$K19</f>
        <v>96</v>
      </c>
      <c r="F87" s="3997">
        <f>E87-$K19</f>
        <v>94</v>
      </c>
      <c r="G87" s="3997">
        <f>F87-$K19</f>
        <v>92</v>
      </c>
      <c r="H87" s="3997"/>
      <c r="I87" s="3997"/>
      <c r="J87" s="3997"/>
      <c r="K87" s="3997"/>
      <c r="L87" s="3997"/>
      <c r="M87" s="3998"/>
      <c r="N87" s="3989"/>
      <c r="O87" s="3990"/>
      <c r="P87" s="3984"/>
      <c r="Q87" s="3946"/>
      <c r="R87" s="3867"/>
      <c r="S87" s="3867"/>
      <c r="T87" s="3867"/>
      <c r="U87" s="3867"/>
      <c r="V87" s="3867"/>
      <c r="W87" s="3867"/>
      <c r="X87" s="3867"/>
      <c r="Y87" s="3867"/>
      <c r="Z87" s="3867"/>
      <c r="AA87" s="3867"/>
      <c r="AB87" s="3867"/>
      <c r="AC87" s="3867"/>
    </row>
    <row r="88" spans="1:29" s="3753" customFormat="1" ht="27.75" thickTop="1">
      <c r="A88" s="4037"/>
      <c r="B88" s="3991" t="s">
        <v>535</v>
      </c>
      <c r="C88" s="4036" t="s">
        <v>527</v>
      </c>
      <c r="D88" s="4036" t="s">
        <v>528</v>
      </c>
      <c r="E88" s="4036" t="s">
        <v>529</v>
      </c>
      <c r="F88" s="4036" t="s">
        <v>530</v>
      </c>
      <c r="G88" s="4036" t="s">
        <v>531</v>
      </c>
      <c r="H88" s="4036"/>
      <c r="I88" s="4036"/>
      <c r="J88" s="4036"/>
      <c r="K88" s="4036"/>
      <c r="L88" s="4038"/>
      <c r="M88" s="4039"/>
      <c r="N88" s="3970"/>
      <c r="O88" s="3958"/>
      <c r="P88" s="3984"/>
      <c r="Q88" s="3946"/>
      <c r="R88" s="3959"/>
      <c r="S88" s="3959"/>
      <c r="T88" s="3959"/>
      <c r="U88" s="3959"/>
      <c r="V88" s="3959"/>
      <c r="W88" s="3959"/>
      <c r="X88" s="3959"/>
      <c r="Y88" s="3959"/>
      <c r="Z88" s="3959"/>
      <c r="AA88" s="3959"/>
      <c r="AB88" s="3959"/>
      <c r="AC88" s="3959"/>
    </row>
    <row r="89" spans="1:29" s="3753" customFormat="1" ht="15.75" thickBot="1">
      <c r="A89" s="4037"/>
      <c r="B89" s="3996"/>
      <c r="C89" s="4040">
        <v>100</v>
      </c>
      <c r="D89" s="3997">
        <f>C89-$K21</f>
        <v>100</v>
      </c>
      <c r="E89" s="3997">
        <f>D89-$K21</f>
        <v>100</v>
      </c>
      <c r="F89" s="3997">
        <f>E89-$K21</f>
        <v>100</v>
      </c>
      <c r="G89" s="3997">
        <f>F89-$K21</f>
        <v>100</v>
      </c>
      <c r="H89" s="3997"/>
      <c r="I89" s="3997"/>
      <c r="J89" s="3997"/>
      <c r="K89" s="3997"/>
      <c r="L89" s="3997"/>
      <c r="M89" s="3998"/>
      <c r="N89" s="3989"/>
      <c r="O89" s="3990"/>
      <c r="P89" s="3984"/>
      <c r="Q89" s="3946"/>
      <c r="R89" s="3959"/>
      <c r="S89" s="3959"/>
      <c r="T89" s="3959"/>
      <c r="U89" s="3959"/>
      <c r="V89" s="3959"/>
      <c r="W89" s="3959"/>
      <c r="X89" s="3959"/>
      <c r="Y89" s="3959"/>
      <c r="Z89" s="3959"/>
      <c r="AA89" s="3959"/>
      <c r="AB89" s="3959"/>
      <c r="AC89" s="3959"/>
    </row>
    <row r="90" spans="1:29" s="3753" customFormat="1" ht="27.75" thickTop="1">
      <c r="A90" s="4037"/>
      <c r="B90" s="3991" t="s">
        <v>536</v>
      </c>
      <c r="C90" s="4030" t="s">
        <v>527</v>
      </c>
      <c r="D90" s="4030" t="s">
        <v>528</v>
      </c>
      <c r="E90" s="4030" t="s">
        <v>529</v>
      </c>
      <c r="F90" s="4030" t="s">
        <v>530</v>
      </c>
      <c r="G90" s="4030" t="s">
        <v>531</v>
      </c>
      <c r="H90" s="4036"/>
      <c r="I90" s="4036"/>
      <c r="J90" s="4036"/>
      <c r="K90" s="4036"/>
      <c r="L90" s="4036"/>
      <c r="M90" s="4039"/>
      <c r="N90" s="3970"/>
      <c r="O90" s="3958"/>
      <c r="P90" s="3984"/>
      <c r="Q90" s="3946"/>
      <c r="R90" s="3959"/>
      <c r="S90" s="3959"/>
      <c r="T90" s="3959"/>
      <c r="U90" s="3959"/>
      <c r="V90" s="3959"/>
      <c r="W90" s="3959"/>
      <c r="X90" s="3959"/>
      <c r="Y90" s="3959"/>
      <c r="Z90" s="3959"/>
      <c r="AA90" s="3959"/>
      <c r="AB90" s="3959"/>
      <c r="AC90" s="3959"/>
    </row>
    <row r="91" spans="1:29" s="3753" customFormat="1" ht="15.75" thickBot="1">
      <c r="A91" s="4037"/>
      <c r="B91" s="3996"/>
      <c r="C91" s="3997">
        <v>100</v>
      </c>
      <c r="D91" s="3997">
        <f>C91-$K23</f>
        <v>99</v>
      </c>
      <c r="E91" s="3997">
        <f>D91-$K23</f>
        <v>98</v>
      </c>
      <c r="F91" s="3997">
        <f>E91-$K23</f>
        <v>97</v>
      </c>
      <c r="G91" s="3997">
        <f>F91-$K23</f>
        <v>96</v>
      </c>
      <c r="H91" s="3997"/>
      <c r="I91" s="3997"/>
      <c r="J91" s="3997"/>
      <c r="K91" s="3997"/>
      <c r="L91" s="3997"/>
      <c r="M91" s="3998"/>
      <c r="N91" s="3989"/>
      <c r="O91" s="3990"/>
      <c r="P91" s="3984"/>
      <c r="Q91" s="3946"/>
      <c r="R91" s="3959"/>
      <c r="S91" s="3959"/>
      <c r="T91" s="3959"/>
      <c r="U91" s="3959"/>
      <c r="V91" s="3959"/>
      <c r="W91" s="3959"/>
      <c r="X91" s="3959"/>
      <c r="Y91" s="3959"/>
      <c r="Z91" s="3959"/>
      <c r="AA91" s="3959"/>
      <c r="AB91" s="3959"/>
      <c r="AC91" s="3959"/>
    </row>
    <row r="92" spans="1:29" s="3844" customFormat="1" ht="15.75" thickTop="1">
      <c r="A92" s="4007"/>
      <c r="B92" s="4041" t="s">
        <v>1674</v>
      </c>
      <c r="C92" s="4030" t="s">
        <v>527</v>
      </c>
      <c r="D92" s="4030" t="s">
        <v>528</v>
      </c>
      <c r="E92" s="4030" t="s">
        <v>529</v>
      </c>
      <c r="F92" s="4030" t="s">
        <v>530</v>
      </c>
      <c r="G92" s="4030" t="s">
        <v>531</v>
      </c>
      <c r="H92" s="4042"/>
      <c r="I92" s="4042"/>
      <c r="J92" s="4042"/>
      <c r="K92" s="4042"/>
      <c r="L92" s="4043"/>
      <c r="M92" s="4044"/>
      <c r="N92" s="4012"/>
      <c r="O92" s="4013"/>
      <c r="P92" s="4014"/>
      <c r="Q92" s="4015"/>
      <c r="R92" s="4016"/>
      <c r="S92" s="4016"/>
      <c r="T92" s="4016"/>
      <c r="U92" s="4016"/>
      <c r="V92" s="4016"/>
      <c r="W92" s="4016"/>
      <c r="X92" s="4016"/>
      <c r="Y92" s="4016"/>
      <c r="Z92" s="4016"/>
      <c r="AA92" s="4016"/>
      <c r="AB92" s="4016"/>
      <c r="AC92" s="4016"/>
    </row>
    <row r="93" spans="1:29" s="3844" customFormat="1" ht="15.75" thickBot="1">
      <c r="A93" s="4007"/>
      <c r="B93" s="3996"/>
      <c r="C93" s="3997">
        <v>100</v>
      </c>
      <c r="D93" s="3997">
        <f>C93-$K25</f>
        <v>99</v>
      </c>
      <c r="E93" s="3997">
        <f>D93-$K25</f>
        <v>98</v>
      </c>
      <c r="F93" s="3997">
        <f>E93-$K25</f>
        <v>97</v>
      </c>
      <c r="G93" s="3997">
        <f>F93-$K25</f>
        <v>96</v>
      </c>
      <c r="H93" s="4045"/>
      <c r="I93" s="4045"/>
      <c r="J93" s="4045"/>
      <c r="K93" s="4045"/>
      <c r="L93" s="4045"/>
      <c r="M93" s="4046"/>
      <c r="N93" s="4012"/>
      <c r="O93" s="4013"/>
      <c r="P93" s="4014"/>
      <c r="Q93" s="4015"/>
      <c r="R93" s="4016"/>
      <c r="S93" s="4016"/>
      <c r="T93" s="4016"/>
      <c r="U93" s="4016"/>
      <c r="V93" s="4016"/>
      <c r="W93" s="4016"/>
      <c r="X93" s="4016"/>
      <c r="Y93" s="4016"/>
      <c r="Z93" s="4016"/>
      <c r="AA93" s="4016"/>
      <c r="AB93" s="4016"/>
      <c r="AC93" s="4016"/>
    </row>
    <row r="94" spans="1:29" s="3844" customFormat="1" ht="15.75" thickTop="1">
      <c r="A94" s="4007"/>
      <c r="B94" s="4047" t="s">
        <v>3353</v>
      </c>
      <c r="C94" s="4048" t="s">
        <v>1502</v>
      </c>
      <c r="D94" s="4048" t="s">
        <v>1501</v>
      </c>
      <c r="E94" s="4048" t="s">
        <v>1500</v>
      </c>
      <c r="F94" s="4048" t="s">
        <v>1499</v>
      </c>
      <c r="G94" s="4048" t="s">
        <v>1498</v>
      </c>
      <c r="H94" s="4042"/>
      <c r="I94" s="4042"/>
      <c r="J94" s="4042"/>
      <c r="K94" s="4042"/>
      <c r="L94" s="4042"/>
      <c r="M94" s="4044"/>
      <c r="N94" s="4012"/>
      <c r="O94" s="4013"/>
      <c r="P94" s="4014"/>
      <c r="Q94" s="4015"/>
      <c r="R94" s="4016"/>
      <c r="S94" s="4016"/>
      <c r="T94" s="4016"/>
      <c r="U94" s="4016"/>
      <c r="V94" s="4016"/>
      <c r="W94" s="4016"/>
      <c r="X94" s="4016"/>
      <c r="Y94" s="4016"/>
      <c r="Z94" s="4016"/>
      <c r="AA94" s="4016"/>
      <c r="AB94" s="4016"/>
      <c r="AC94" s="4016"/>
    </row>
    <row r="95" spans="1:29" s="3844" customFormat="1" ht="15.75" thickBot="1">
      <c r="A95" s="4007"/>
      <c r="B95" s="3999"/>
      <c r="C95" s="3997">
        <v>100</v>
      </c>
      <c r="D95" s="3997">
        <f>C95-$K27</f>
        <v>100</v>
      </c>
      <c r="E95" s="3997">
        <f>D95-$K27</f>
        <v>100</v>
      </c>
      <c r="F95" s="3997">
        <f>E95-$K27</f>
        <v>100</v>
      </c>
      <c r="G95" s="3997">
        <f>F95-$K27</f>
        <v>100</v>
      </c>
      <c r="H95" s="4002"/>
      <c r="I95" s="4002"/>
      <c r="J95" s="4002"/>
      <c r="K95" s="4002"/>
      <c r="L95" s="4002"/>
      <c r="M95" s="4049"/>
      <c r="N95" s="4012"/>
      <c r="O95" s="4013"/>
      <c r="P95" s="4014"/>
      <c r="Q95" s="4015"/>
      <c r="R95" s="4016"/>
      <c r="S95" s="4016"/>
      <c r="T95" s="4016"/>
      <c r="U95" s="4016"/>
      <c r="V95" s="4016"/>
      <c r="W95" s="4016"/>
      <c r="X95" s="4016"/>
      <c r="Y95" s="4016"/>
      <c r="Z95" s="4016"/>
      <c r="AA95" s="4016"/>
      <c r="AB95" s="4016"/>
      <c r="AC95" s="4016"/>
    </row>
    <row r="96" spans="1:29" ht="15.75" thickTop="1">
      <c r="A96" s="3985"/>
      <c r="B96" s="3991" t="str">
        <f>B29</f>
        <v>临街状况</v>
      </c>
      <c r="C96" s="3992" t="s">
        <v>3354</v>
      </c>
      <c r="D96" s="3992" t="s">
        <v>3355</v>
      </c>
      <c r="E96" s="3992" t="s">
        <v>3356</v>
      </c>
      <c r="F96" s="3992" t="s">
        <v>3357</v>
      </c>
      <c r="G96" s="3992"/>
      <c r="H96" s="3992"/>
      <c r="I96" s="3992"/>
      <c r="J96" s="3992"/>
      <c r="K96" s="3993"/>
      <c r="L96" s="3994"/>
      <c r="M96" s="3995"/>
      <c r="N96" s="3982"/>
      <c r="O96" s="3983"/>
      <c r="P96" s="3984"/>
      <c r="Q96" s="3946"/>
      <c r="R96" s="3867"/>
      <c r="S96" s="3867"/>
      <c r="T96" s="3867"/>
      <c r="U96" s="3867"/>
      <c r="V96" s="3867"/>
      <c r="W96" s="3867"/>
      <c r="X96" s="3867"/>
      <c r="Y96" s="3867"/>
      <c r="Z96" s="3867"/>
      <c r="AA96" s="3867"/>
      <c r="AB96" s="3867"/>
      <c r="AC96" s="3867"/>
    </row>
    <row r="97" spans="1:29" ht="15.75" thickBot="1">
      <c r="A97" s="3985"/>
      <c r="B97" s="3996"/>
      <c r="C97" s="3997">
        <v>100</v>
      </c>
      <c r="D97" s="3997">
        <f t="shared" ref="D97:M97" si="22">C97-$K29</f>
        <v>100</v>
      </c>
      <c r="E97" s="3997">
        <f t="shared" si="22"/>
        <v>100</v>
      </c>
      <c r="F97" s="3997">
        <f t="shared" si="22"/>
        <v>100</v>
      </c>
      <c r="G97" s="3997">
        <f t="shared" si="22"/>
        <v>100</v>
      </c>
      <c r="H97" s="3997">
        <f t="shared" si="22"/>
        <v>100</v>
      </c>
      <c r="I97" s="3997">
        <f t="shared" si="22"/>
        <v>100</v>
      </c>
      <c r="J97" s="3997">
        <f t="shared" si="22"/>
        <v>100</v>
      </c>
      <c r="K97" s="3997">
        <f t="shared" si="22"/>
        <v>100</v>
      </c>
      <c r="L97" s="3997">
        <f t="shared" si="22"/>
        <v>100</v>
      </c>
      <c r="M97" s="3997">
        <f t="shared" si="22"/>
        <v>100</v>
      </c>
      <c r="N97" s="3989"/>
      <c r="O97" s="3990"/>
      <c r="P97" s="3984"/>
      <c r="Q97" s="3946"/>
      <c r="R97" s="3867"/>
      <c r="S97" s="3867"/>
      <c r="T97" s="3867"/>
      <c r="U97" s="3867"/>
      <c r="V97" s="3867"/>
      <c r="W97" s="3867"/>
      <c r="X97" s="3867"/>
      <c r="Y97" s="3867"/>
      <c r="Z97" s="3867"/>
      <c r="AA97" s="3867"/>
      <c r="AB97" s="3867"/>
      <c r="AC97" s="3867"/>
    </row>
    <row r="98" spans="1:29" ht="27.75" thickTop="1">
      <c r="A98" s="3985"/>
      <c r="B98" s="3991" t="s">
        <v>725</v>
      </c>
      <c r="C98" s="4008"/>
      <c r="D98" s="4008"/>
      <c r="E98" s="4008"/>
      <c r="F98" s="4008"/>
      <c r="G98" s="4008"/>
      <c r="H98" s="4050"/>
      <c r="I98" s="4050"/>
      <c r="J98" s="4050"/>
      <c r="K98" s="4051"/>
      <c r="L98" s="4052"/>
      <c r="M98" s="4053"/>
      <c r="N98" s="3982"/>
      <c r="O98" s="3983"/>
      <c r="P98" s="3984"/>
      <c r="Q98" s="3946"/>
      <c r="R98" s="3867"/>
      <c r="S98" s="3867"/>
      <c r="T98" s="3867"/>
      <c r="U98" s="3867"/>
      <c r="V98" s="3867"/>
      <c r="W98" s="3867"/>
      <c r="X98" s="3867"/>
      <c r="Y98" s="3867"/>
      <c r="Z98" s="3867"/>
      <c r="AA98" s="3867"/>
      <c r="AB98" s="3867"/>
      <c r="AC98" s="3867"/>
    </row>
    <row r="99" spans="1:29" ht="15.75" thickBot="1">
      <c r="A99" s="3985"/>
      <c r="B99" s="3996"/>
      <c r="C99" s="3997">
        <v>100</v>
      </c>
      <c r="D99" s="3997">
        <f t="shared" ref="D99:M99" si="23">C99-$K30</f>
        <v>100</v>
      </c>
      <c r="E99" s="3997">
        <f t="shared" si="23"/>
        <v>100</v>
      </c>
      <c r="F99" s="3997">
        <f t="shared" si="23"/>
        <v>100</v>
      </c>
      <c r="G99" s="3997">
        <f t="shared" si="23"/>
        <v>100</v>
      </c>
      <c r="H99" s="3997">
        <f t="shared" si="23"/>
        <v>100</v>
      </c>
      <c r="I99" s="3997">
        <f t="shared" si="23"/>
        <v>100</v>
      </c>
      <c r="J99" s="3997">
        <f t="shared" si="23"/>
        <v>100</v>
      </c>
      <c r="K99" s="3997">
        <f t="shared" si="23"/>
        <v>100</v>
      </c>
      <c r="L99" s="3997">
        <f t="shared" si="23"/>
        <v>100</v>
      </c>
      <c r="M99" s="3997">
        <f t="shared" si="23"/>
        <v>100</v>
      </c>
      <c r="N99" s="3989"/>
      <c r="O99" s="3990"/>
      <c r="P99" s="3984"/>
      <c r="Q99" s="3946"/>
      <c r="R99" s="3867"/>
      <c r="S99" s="3867"/>
      <c r="T99" s="3867"/>
      <c r="U99" s="3867"/>
      <c r="V99" s="3867"/>
      <c r="W99" s="3867"/>
      <c r="X99" s="3867"/>
      <c r="Y99" s="3867"/>
      <c r="Z99" s="3867"/>
      <c r="AA99" s="3867"/>
      <c r="AB99" s="3867"/>
      <c r="AC99" s="3867"/>
    </row>
    <row r="100" spans="1:29" ht="15.75" thickTop="1">
      <c r="A100" s="3985"/>
      <c r="B100" s="3991" t="s">
        <v>3358</v>
      </c>
      <c r="C100" s="4054" t="s">
        <v>2173</v>
      </c>
      <c r="D100" s="4054" t="s">
        <v>2174</v>
      </c>
      <c r="E100" s="4054" t="s">
        <v>3359</v>
      </c>
      <c r="F100" s="4050"/>
      <c r="G100" s="4050"/>
      <c r="H100" s="4050"/>
      <c r="I100" s="4050"/>
      <c r="J100" s="4050"/>
      <c r="K100" s="4051"/>
      <c r="L100" s="4052"/>
      <c r="M100" s="4053"/>
      <c r="N100" s="3982"/>
      <c r="O100" s="3983"/>
      <c r="P100" s="3984"/>
      <c r="Q100" s="3946"/>
      <c r="R100" s="3867"/>
      <c r="S100" s="3867"/>
      <c r="T100" s="3867"/>
      <c r="U100" s="3867"/>
      <c r="V100" s="3867"/>
      <c r="W100" s="3867"/>
      <c r="X100" s="3867"/>
      <c r="Y100" s="3867"/>
      <c r="Z100" s="3867"/>
      <c r="AA100" s="3867"/>
      <c r="AB100" s="3867"/>
      <c r="AC100" s="3867"/>
    </row>
    <row r="101" spans="1:29" ht="15.75" thickBot="1">
      <c r="A101" s="3985"/>
      <c r="B101" s="3996"/>
      <c r="C101" s="3997">
        <v>100</v>
      </c>
      <c r="D101" s="3997">
        <f t="shared" ref="D101:M101" si="24">C101-$K32</f>
        <v>100</v>
      </c>
      <c r="E101" s="3997">
        <f t="shared" si="24"/>
        <v>100</v>
      </c>
      <c r="F101" s="3997">
        <f t="shared" si="24"/>
        <v>100</v>
      </c>
      <c r="G101" s="3997">
        <f t="shared" si="24"/>
        <v>100</v>
      </c>
      <c r="H101" s="3997">
        <f t="shared" si="24"/>
        <v>100</v>
      </c>
      <c r="I101" s="3997">
        <f t="shared" si="24"/>
        <v>100</v>
      </c>
      <c r="J101" s="3997">
        <f t="shared" si="24"/>
        <v>100</v>
      </c>
      <c r="K101" s="3997">
        <f t="shared" si="24"/>
        <v>100</v>
      </c>
      <c r="L101" s="3997">
        <f t="shared" si="24"/>
        <v>100</v>
      </c>
      <c r="M101" s="3997">
        <f t="shared" si="24"/>
        <v>100</v>
      </c>
      <c r="N101" s="3989"/>
      <c r="O101" s="3990"/>
      <c r="P101" s="3984"/>
      <c r="Q101" s="3946"/>
      <c r="R101" s="3867"/>
      <c r="S101" s="3867"/>
      <c r="T101" s="3867"/>
      <c r="U101" s="3867"/>
      <c r="V101" s="3867"/>
      <c r="W101" s="3867"/>
      <c r="X101" s="3867"/>
      <c r="Y101" s="3867"/>
      <c r="Z101" s="3867"/>
      <c r="AA101" s="3867"/>
      <c r="AB101" s="3867"/>
      <c r="AC101" s="3867"/>
    </row>
    <row r="102" spans="1:29" ht="15.75" thickTop="1">
      <c r="A102" s="3985"/>
      <c r="B102" s="3999">
        <f>B33</f>
        <v>111</v>
      </c>
      <c r="C102" s="4008">
        <v>50</v>
      </c>
      <c r="D102" s="4008">
        <v>20</v>
      </c>
      <c r="E102" s="4008"/>
      <c r="F102" s="4008"/>
      <c r="G102" s="4055"/>
      <c r="H102" s="4055"/>
      <c r="I102" s="4055"/>
      <c r="J102" s="4055"/>
      <c r="K102" s="4056"/>
      <c r="L102" s="4057"/>
      <c r="M102" s="4058"/>
      <c r="N102" s="3982"/>
      <c r="O102" s="3983"/>
      <c r="P102" s="3984"/>
      <c r="Q102" s="3946"/>
      <c r="R102" s="3867"/>
      <c r="S102" s="3867"/>
      <c r="T102" s="3867"/>
      <c r="U102" s="3867"/>
      <c r="V102" s="3867"/>
      <c r="W102" s="3867"/>
      <c r="X102" s="3867"/>
      <c r="Y102" s="3867"/>
      <c r="Z102" s="3867"/>
      <c r="AA102" s="3867"/>
      <c r="AB102" s="3867"/>
      <c r="AC102" s="3867"/>
    </row>
    <row r="103" spans="1:29" ht="15.75" thickBot="1">
      <c r="A103" s="3985"/>
      <c r="B103" s="4026"/>
      <c r="C103" s="4017">
        <v>100</v>
      </c>
      <c r="D103" s="3987">
        <f>1/[1]公开市场案例!Q11</f>
        <v>1.464986815118664</v>
      </c>
      <c r="E103" s="3987"/>
      <c r="F103" s="3987"/>
      <c r="G103" s="4059"/>
      <c r="H103" s="4059"/>
      <c r="I103" s="4059"/>
      <c r="J103" s="4059"/>
      <c r="K103" s="4059"/>
      <c r="L103" s="4059"/>
      <c r="M103" s="4060"/>
      <c r="N103" s="3989"/>
      <c r="O103" s="3990"/>
      <c r="P103" s="3984"/>
      <c r="Q103" s="3946"/>
      <c r="R103" s="3867"/>
      <c r="S103" s="3867"/>
      <c r="T103" s="3867"/>
      <c r="U103" s="3867"/>
      <c r="V103" s="3867"/>
      <c r="W103" s="3867"/>
      <c r="X103" s="3867"/>
      <c r="Y103" s="3867"/>
      <c r="Z103" s="3867"/>
      <c r="AA103" s="3867"/>
      <c r="AB103" s="3867"/>
      <c r="AC103" s="3867"/>
    </row>
    <row r="104" spans="1:29" ht="15" thickTop="1">
      <c r="A104" s="4061"/>
      <c r="B104" s="3991">
        <f>B34</f>
        <v>111</v>
      </c>
      <c r="C104" s="4008"/>
      <c r="D104" s="4008"/>
      <c r="E104" s="4008"/>
      <c r="F104" s="4008"/>
      <c r="G104" s="4050"/>
      <c r="H104" s="4050"/>
      <c r="I104" s="4050"/>
      <c r="J104" s="4050"/>
      <c r="K104" s="4051"/>
      <c r="L104" s="4052"/>
      <c r="M104" s="4053"/>
      <c r="N104" s="3982"/>
      <c r="O104" s="3983"/>
      <c r="P104" s="3984"/>
      <c r="Q104" s="3946"/>
      <c r="R104" s="3867"/>
      <c r="S104" s="3867"/>
      <c r="T104" s="3867"/>
      <c r="U104" s="3867"/>
      <c r="V104" s="3867"/>
      <c r="W104" s="3867"/>
      <c r="X104" s="3867"/>
      <c r="Y104" s="3867"/>
      <c r="Z104" s="3867"/>
      <c r="AA104" s="3867"/>
      <c r="AB104" s="3867"/>
      <c r="AC104" s="3867"/>
    </row>
    <row r="105" spans="1:29" ht="15.75" thickBot="1">
      <c r="A105" s="3985"/>
      <c r="B105" s="3996"/>
      <c r="C105" s="4017"/>
      <c r="D105" s="4017"/>
      <c r="E105" s="4017"/>
      <c r="F105" s="4017"/>
      <c r="G105" s="3987"/>
      <c r="H105" s="3987"/>
      <c r="I105" s="3987"/>
      <c r="J105" s="3987"/>
      <c r="K105" s="3987"/>
      <c r="L105" s="3987"/>
      <c r="M105" s="3988"/>
      <c r="N105" s="3989"/>
      <c r="O105" s="3990"/>
      <c r="P105" s="3984"/>
      <c r="Q105" s="3946"/>
      <c r="R105" s="3867"/>
      <c r="S105" s="3867"/>
      <c r="T105" s="3867"/>
      <c r="U105" s="3867"/>
      <c r="V105" s="3867"/>
      <c r="W105" s="3867"/>
      <c r="X105" s="3867"/>
      <c r="Y105" s="3867"/>
      <c r="Z105" s="3867"/>
      <c r="AA105" s="3867"/>
      <c r="AB105" s="3867"/>
      <c r="AC105" s="3867"/>
    </row>
    <row r="106" spans="1:29" s="3844" customFormat="1" ht="15" thickTop="1">
      <c r="A106" s="4062"/>
      <c r="B106" s="4063">
        <f>B35</f>
        <v>111</v>
      </c>
      <c r="C106" s="3967"/>
      <c r="D106" s="3967"/>
      <c r="E106" s="3967"/>
      <c r="F106" s="3967"/>
      <c r="G106" s="3957"/>
      <c r="H106" s="3957"/>
      <c r="I106" s="3957"/>
      <c r="J106" s="4064"/>
      <c r="K106" s="4064"/>
      <c r="L106" s="4065"/>
      <c r="M106" s="4066"/>
      <c r="N106" s="4012"/>
      <c r="O106" s="4013"/>
      <c r="P106" s="4014"/>
      <c r="Q106" s="4015"/>
      <c r="R106" s="4016"/>
      <c r="S106" s="4016"/>
      <c r="T106" s="4016"/>
      <c r="U106" s="4016"/>
      <c r="V106" s="4016"/>
      <c r="W106" s="4016"/>
      <c r="X106" s="4016"/>
      <c r="Y106" s="4016"/>
      <c r="Z106" s="4016"/>
      <c r="AA106" s="4016"/>
      <c r="AB106" s="4016"/>
      <c r="AC106" s="4016"/>
    </row>
    <row r="107" spans="1:29" s="3844" customFormat="1" ht="15.75" thickBot="1">
      <c r="A107" s="4007"/>
      <c r="B107" s="3999"/>
      <c r="C107" s="4027"/>
      <c r="D107" s="4027"/>
      <c r="E107" s="4027"/>
      <c r="F107" s="4027"/>
      <c r="G107" s="4067"/>
      <c r="H107" s="4067"/>
      <c r="I107" s="4067"/>
      <c r="J107" s="4067"/>
      <c r="K107" s="4067"/>
      <c r="L107" s="4067"/>
      <c r="M107" s="4068"/>
      <c r="N107" s="3989"/>
      <c r="O107" s="3990"/>
      <c r="P107" s="4014"/>
      <c r="Q107" s="4015"/>
      <c r="R107" s="4016"/>
      <c r="S107" s="4016"/>
      <c r="T107" s="4016"/>
      <c r="U107" s="4016"/>
      <c r="V107" s="4016"/>
      <c r="W107" s="4016"/>
      <c r="X107" s="4016"/>
      <c r="Y107" s="4016"/>
      <c r="Z107" s="4016"/>
      <c r="AA107" s="4016"/>
      <c r="AB107" s="4016"/>
      <c r="AC107" s="4016"/>
    </row>
    <row r="108" spans="1:29" ht="28.5">
      <c r="A108" s="3975" t="s">
        <v>500</v>
      </c>
      <c r="B108" s="3976" t="s">
        <v>541</v>
      </c>
      <c r="C108" s="4031" t="str">
        <f t="shared" ref="C108:L108" si="25">C109&amp;"(含)"&amp;"-"&amp;D109</f>
        <v>0(含)-50000</v>
      </c>
      <c r="D108" s="4031" t="str">
        <f t="shared" si="25"/>
        <v>50000(含)-500000</v>
      </c>
      <c r="E108" s="4031" t="str">
        <f t="shared" si="25"/>
        <v>500000(含)-1000000</v>
      </c>
      <c r="F108" s="4031" t="str">
        <f t="shared" si="25"/>
        <v>1000000(含)-</v>
      </c>
      <c r="G108" s="4031" t="str">
        <f t="shared" si="25"/>
        <v>(含)-</v>
      </c>
      <c r="H108" s="4031" t="str">
        <f t="shared" si="25"/>
        <v>(含)-</v>
      </c>
      <c r="I108" s="4031" t="str">
        <f t="shared" si="25"/>
        <v>(含)-</v>
      </c>
      <c r="J108" s="4031" t="str">
        <f t="shared" si="25"/>
        <v>(含)-</v>
      </c>
      <c r="K108" s="4069" t="str">
        <f t="shared" si="25"/>
        <v>(含)-</v>
      </c>
      <c r="L108" s="4070" t="str">
        <f t="shared" si="25"/>
        <v>(含)-</v>
      </c>
      <c r="M108" s="4071" t="str">
        <f>M109&amp;"(含)"&amp;"-"&amp;P109</f>
        <v>(含)-</v>
      </c>
      <c r="N108" s="3982"/>
      <c r="O108" s="3983"/>
      <c r="P108" s="3984"/>
      <c r="Q108" s="3946"/>
      <c r="R108" s="3867"/>
      <c r="S108" s="3867"/>
      <c r="T108" s="3867"/>
      <c r="U108" s="3867"/>
      <c r="V108" s="3867"/>
      <c r="W108" s="3867"/>
      <c r="X108" s="3867"/>
      <c r="Y108" s="3867"/>
      <c r="Z108" s="3867"/>
      <c r="AA108" s="3867"/>
      <c r="AB108" s="3867"/>
      <c r="AC108" s="3867"/>
    </row>
    <row r="109" spans="1:29" ht="15">
      <c r="A109" s="3985"/>
      <c r="B109" s="3999"/>
      <c r="C109" s="3957">
        <v>0</v>
      </c>
      <c r="D109" s="3957">
        <v>50000</v>
      </c>
      <c r="E109" s="3957">
        <v>500000</v>
      </c>
      <c r="F109" s="3957">
        <v>1000000</v>
      </c>
      <c r="G109" s="3957"/>
      <c r="H109" s="3957"/>
      <c r="I109" s="3957"/>
      <c r="J109" s="4064"/>
      <c r="K109" s="4064"/>
      <c r="L109" s="4065"/>
      <c r="M109" s="4066"/>
      <c r="N109" s="3982"/>
      <c r="O109" s="3983"/>
      <c r="P109" s="3984"/>
      <c r="Q109" s="3946"/>
      <c r="R109" s="3867"/>
      <c r="S109" s="3867"/>
      <c r="T109" s="3867"/>
      <c r="U109" s="3867"/>
      <c r="V109" s="3867"/>
      <c r="W109" s="3867"/>
      <c r="X109" s="3867"/>
      <c r="Y109" s="3867"/>
      <c r="Z109" s="3867"/>
      <c r="AA109" s="3867"/>
      <c r="AB109" s="3867"/>
      <c r="AC109" s="3867"/>
    </row>
    <row r="110" spans="1:29" ht="15.75" thickBot="1">
      <c r="A110" s="3985"/>
      <c r="B110" s="3996"/>
      <c r="C110" s="4027">
        <v>100</v>
      </c>
      <c r="D110" s="4059">
        <f>C110-1.5</f>
        <v>98.5</v>
      </c>
      <c r="E110" s="4059">
        <f t="shared" ref="E110:F110" si="26">D110-1.5</f>
        <v>97</v>
      </c>
      <c r="F110" s="4059">
        <f t="shared" si="26"/>
        <v>95.5</v>
      </c>
      <c r="G110" s="4059"/>
      <c r="H110" s="4059"/>
      <c r="I110" s="4059"/>
      <c r="J110" s="4059"/>
      <c r="K110" s="4059"/>
      <c r="L110" s="4059"/>
      <c r="M110" s="4060"/>
      <c r="N110" s="3989"/>
      <c r="O110" s="3990"/>
      <c r="P110" s="3984"/>
      <c r="Q110" s="3946"/>
      <c r="R110" s="3867"/>
      <c r="S110" s="3867"/>
      <c r="T110" s="3867"/>
      <c r="U110" s="3867"/>
      <c r="V110" s="3867"/>
      <c r="W110" s="3867"/>
      <c r="X110" s="3867"/>
      <c r="Y110" s="3867"/>
      <c r="Z110" s="3867"/>
      <c r="AA110" s="3867"/>
      <c r="AB110" s="3867"/>
      <c r="AC110" s="3867"/>
    </row>
    <row r="111" spans="1:29" ht="15" thickTop="1">
      <c r="A111" s="4072"/>
      <c r="B111" s="3991" t="s">
        <v>542</v>
      </c>
      <c r="C111" s="4054" t="s">
        <v>3360</v>
      </c>
      <c r="D111" s="4050"/>
      <c r="E111" s="4050"/>
      <c r="F111" s="4050"/>
      <c r="G111" s="4050"/>
      <c r="H111" s="4050"/>
      <c r="I111" s="4050"/>
      <c r="J111" s="4050"/>
      <c r="K111" s="4051"/>
      <c r="L111" s="4052"/>
      <c r="M111" s="4053"/>
      <c r="N111" s="3982"/>
      <c r="O111" s="3983"/>
      <c r="P111" s="3984"/>
      <c r="Q111" s="3946"/>
      <c r="R111" s="3867"/>
      <c r="S111" s="3867"/>
      <c r="T111" s="3867"/>
      <c r="U111" s="3867"/>
      <c r="V111" s="3867"/>
      <c r="W111" s="3867"/>
      <c r="X111" s="3867"/>
      <c r="Y111" s="3867"/>
      <c r="Z111" s="3867"/>
      <c r="AA111" s="3867"/>
      <c r="AB111" s="3867"/>
      <c r="AC111" s="3867"/>
    </row>
    <row r="112" spans="1:29" ht="15.75" thickBot="1">
      <c r="A112" s="3985"/>
      <c r="B112" s="3996"/>
      <c r="C112" s="3997">
        <v>100</v>
      </c>
      <c r="D112" s="3997">
        <f t="shared" ref="D112:M112" si="27">C112-$K37</f>
        <v>100</v>
      </c>
      <c r="E112" s="3997">
        <f t="shared" si="27"/>
        <v>100</v>
      </c>
      <c r="F112" s="3997">
        <f t="shared" si="27"/>
        <v>100</v>
      </c>
      <c r="G112" s="3997">
        <f t="shared" si="27"/>
        <v>100</v>
      </c>
      <c r="H112" s="3997">
        <f t="shared" si="27"/>
        <v>100</v>
      </c>
      <c r="I112" s="3997">
        <f t="shared" si="27"/>
        <v>100</v>
      </c>
      <c r="J112" s="3997">
        <f t="shared" si="27"/>
        <v>100</v>
      </c>
      <c r="K112" s="3997">
        <f t="shared" si="27"/>
        <v>100</v>
      </c>
      <c r="L112" s="3997">
        <f t="shared" si="27"/>
        <v>100</v>
      </c>
      <c r="M112" s="3998">
        <f t="shared" si="27"/>
        <v>100</v>
      </c>
      <c r="N112" s="3989"/>
      <c r="O112" s="3990"/>
      <c r="P112" s="3984"/>
      <c r="Q112" s="3946"/>
      <c r="R112" s="3867"/>
      <c r="S112" s="3867"/>
      <c r="T112" s="3867"/>
      <c r="U112" s="3867"/>
      <c r="V112" s="3867"/>
      <c r="W112" s="3867"/>
      <c r="X112" s="3867"/>
      <c r="Y112" s="3867"/>
      <c r="Z112" s="3867"/>
      <c r="AA112" s="3867"/>
      <c r="AB112" s="3867"/>
      <c r="AC112" s="3867"/>
    </row>
    <row r="113" spans="1:29" s="3844" customFormat="1" ht="15" thickTop="1">
      <c r="A113" s="4062"/>
      <c r="B113" s="4041" t="s">
        <v>1777</v>
      </c>
      <c r="C113" s="4073" t="s">
        <v>3361</v>
      </c>
      <c r="D113" s="4073" t="s">
        <v>3362</v>
      </c>
      <c r="E113" s="4073" t="s">
        <v>3363</v>
      </c>
      <c r="F113" s="4073"/>
      <c r="G113" s="4073"/>
      <c r="H113" s="4050"/>
      <c r="I113" s="4050"/>
      <c r="J113" s="4050"/>
      <c r="K113" s="4051"/>
      <c r="L113" s="4052"/>
      <c r="M113" s="4053"/>
      <c r="N113" s="4012"/>
      <c r="O113" s="4013"/>
      <c r="P113" s="4014"/>
      <c r="Q113" s="4015"/>
      <c r="R113" s="4016"/>
      <c r="S113" s="4016"/>
      <c r="T113" s="4016"/>
      <c r="U113" s="4016"/>
      <c r="V113" s="4016"/>
      <c r="W113" s="4016"/>
      <c r="X113" s="4016"/>
      <c r="Y113" s="4016"/>
      <c r="Z113" s="4016"/>
      <c r="AA113" s="4016"/>
      <c r="AB113" s="4016"/>
      <c r="AC113" s="4016"/>
    </row>
    <row r="114" spans="1:29" s="3844" customFormat="1" ht="15.75" thickBot="1">
      <c r="A114" s="4007"/>
      <c r="B114" s="3996"/>
      <c r="C114" s="3997">
        <v>100</v>
      </c>
      <c r="D114" s="3997">
        <f t="shared" ref="D114:M114" si="28">C114-$K38</f>
        <v>99</v>
      </c>
      <c r="E114" s="3997">
        <f t="shared" si="28"/>
        <v>98</v>
      </c>
      <c r="F114" s="3997">
        <f t="shared" si="28"/>
        <v>97</v>
      </c>
      <c r="G114" s="3997">
        <f t="shared" si="28"/>
        <v>96</v>
      </c>
      <c r="H114" s="3997">
        <f t="shared" si="28"/>
        <v>95</v>
      </c>
      <c r="I114" s="3997">
        <f t="shared" si="28"/>
        <v>94</v>
      </c>
      <c r="J114" s="3997">
        <f t="shared" si="28"/>
        <v>93</v>
      </c>
      <c r="K114" s="3997">
        <f t="shared" si="28"/>
        <v>92</v>
      </c>
      <c r="L114" s="3997">
        <f t="shared" si="28"/>
        <v>91</v>
      </c>
      <c r="M114" s="3998">
        <f t="shared" si="28"/>
        <v>90</v>
      </c>
      <c r="N114" s="4012"/>
      <c r="O114" s="4013"/>
      <c r="P114" s="4014"/>
      <c r="Q114" s="4015"/>
      <c r="R114" s="4016"/>
      <c r="S114" s="4016"/>
      <c r="T114" s="4016"/>
      <c r="U114" s="4016"/>
      <c r="V114" s="4016"/>
      <c r="W114" s="4016"/>
      <c r="X114" s="4016"/>
      <c r="Y114" s="4016"/>
      <c r="Z114" s="4016"/>
      <c r="AA114" s="4016"/>
      <c r="AB114" s="4016"/>
      <c r="AC114" s="4016"/>
    </row>
    <row r="115" spans="1:29" ht="15" thickTop="1">
      <c r="A115" s="4072"/>
      <c r="B115" s="3991" t="s">
        <v>544</v>
      </c>
      <c r="C115" s="4074" t="s">
        <v>3364</v>
      </c>
      <c r="D115" s="4008"/>
      <c r="E115" s="4050"/>
      <c r="F115" s="4050"/>
      <c r="G115" s="4050"/>
      <c r="H115" s="4050"/>
      <c r="I115" s="4050"/>
      <c r="J115" s="4050"/>
      <c r="K115" s="4051"/>
      <c r="L115" s="4052"/>
      <c r="M115" s="4053"/>
      <c r="N115" s="3982"/>
      <c r="O115" s="3983"/>
      <c r="P115" s="3984"/>
      <c r="Q115" s="3946"/>
      <c r="R115" s="3867"/>
      <c r="S115" s="3867"/>
      <c r="T115" s="3867"/>
      <c r="U115" s="3867"/>
      <c r="V115" s="3867"/>
      <c r="W115" s="3867"/>
      <c r="X115" s="3867"/>
      <c r="Y115" s="3867"/>
      <c r="Z115" s="3867"/>
      <c r="AA115" s="3867"/>
      <c r="AB115" s="3867"/>
      <c r="AC115" s="3867"/>
    </row>
    <row r="116" spans="1:29" ht="15.75" thickBot="1">
      <c r="A116" s="3985"/>
      <c r="B116" s="3996"/>
      <c r="C116" s="3997">
        <v>100</v>
      </c>
      <c r="D116" s="3997">
        <f t="shared" ref="D116:M116" si="29">C116-$K39</f>
        <v>100</v>
      </c>
      <c r="E116" s="3997">
        <f t="shared" si="29"/>
        <v>100</v>
      </c>
      <c r="F116" s="3997">
        <f t="shared" si="29"/>
        <v>100</v>
      </c>
      <c r="G116" s="3997">
        <f t="shared" si="29"/>
        <v>100</v>
      </c>
      <c r="H116" s="3997">
        <f t="shared" si="29"/>
        <v>100</v>
      </c>
      <c r="I116" s="3997">
        <f t="shared" si="29"/>
        <v>100</v>
      </c>
      <c r="J116" s="3997">
        <f t="shared" si="29"/>
        <v>100</v>
      </c>
      <c r="K116" s="3997">
        <f t="shared" si="29"/>
        <v>100</v>
      </c>
      <c r="L116" s="3997">
        <f t="shared" si="29"/>
        <v>100</v>
      </c>
      <c r="M116" s="3998">
        <f t="shared" si="29"/>
        <v>100</v>
      </c>
      <c r="N116" s="3989"/>
      <c r="O116" s="3990"/>
      <c r="P116" s="3984"/>
      <c r="Q116" s="3946"/>
      <c r="R116" s="3867"/>
      <c r="S116" s="3867"/>
      <c r="T116" s="3867"/>
      <c r="U116" s="3867"/>
      <c r="V116" s="3867"/>
      <c r="W116" s="3867"/>
      <c r="X116" s="3867"/>
      <c r="Y116" s="3867"/>
      <c r="Z116" s="3867"/>
      <c r="AA116" s="3867"/>
      <c r="AB116" s="3867"/>
      <c r="AC116" s="3867"/>
    </row>
    <row r="117" spans="1:29" ht="15" thickTop="1">
      <c r="A117" s="4072"/>
      <c r="B117" s="3991">
        <f>B40</f>
        <v>111</v>
      </c>
      <c r="C117" s="4008"/>
      <c r="D117" s="4008"/>
      <c r="E117" s="4008"/>
      <c r="F117" s="4008"/>
      <c r="G117" s="4008"/>
      <c r="H117" s="4050"/>
      <c r="I117" s="4050"/>
      <c r="J117" s="4050"/>
      <c r="K117" s="4051"/>
      <c r="L117" s="4052"/>
      <c r="M117" s="4053"/>
      <c r="N117" s="3982"/>
      <c r="O117" s="3983"/>
      <c r="P117" s="3984"/>
      <c r="Q117" s="3946"/>
      <c r="R117" s="3867"/>
      <c r="S117" s="3867"/>
      <c r="T117" s="3867"/>
      <c r="U117" s="3867"/>
      <c r="V117" s="3867"/>
      <c r="W117" s="3867"/>
      <c r="X117" s="3867"/>
      <c r="Y117" s="3867"/>
      <c r="Z117" s="3867"/>
      <c r="AA117" s="3867"/>
      <c r="AB117" s="3867"/>
      <c r="AC117" s="3867"/>
    </row>
    <row r="118" spans="1:29" ht="15.75" thickBot="1">
      <c r="A118" s="3985"/>
      <c r="B118" s="3996"/>
      <c r="C118" s="4017"/>
      <c r="D118" s="3987"/>
      <c r="E118" s="3987"/>
      <c r="F118" s="3987"/>
      <c r="G118" s="3987"/>
      <c r="H118" s="3987"/>
      <c r="I118" s="3987"/>
      <c r="J118" s="3987"/>
      <c r="K118" s="3987"/>
      <c r="L118" s="3987"/>
      <c r="M118" s="3988"/>
      <c r="N118" s="3989"/>
      <c r="O118" s="3990"/>
      <c r="P118" s="3984"/>
      <c r="Q118" s="3946"/>
      <c r="R118" s="3867"/>
      <c r="S118" s="3867"/>
      <c r="T118" s="3867"/>
      <c r="U118" s="3867"/>
      <c r="V118" s="3867"/>
      <c r="W118" s="3867"/>
      <c r="X118" s="3867"/>
      <c r="Y118" s="3867"/>
      <c r="Z118" s="3867"/>
      <c r="AA118" s="3867"/>
      <c r="AB118" s="3867"/>
      <c r="AC118" s="3867"/>
    </row>
    <row r="119" spans="1:29" ht="15" thickTop="1">
      <c r="A119" s="4072"/>
      <c r="B119" s="3991">
        <f>B41</f>
        <v>111</v>
      </c>
      <c r="C119" s="4008"/>
      <c r="D119" s="4008"/>
      <c r="E119" s="4008"/>
      <c r="F119" s="4008"/>
      <c r="G119" s="4050"/>
      <c r="H119" s="4050"/>
      <c r="I119" s="4050"/>
      <c r="J119" s="4050"/>
      <c r="K119" s="4051"/>
      <c r="L119" s="4052"/>
      <c r="M119" s="4053"/>
      <c r="N119" s="3982"/>
      <c r="O119" s="3983"/>
      <c r="P119" s="3984"/>
      <c r="Q119" s="3946"/>
      <c r="R119" s="3867"/>
      <c r="S119" s="3867"/>
      <c r="T119" s="3867"/>
      <c r="U119" s="3867"/>
      <c r="V119" s="3867"/>
      <c r="W119" s="3867"/>
      <c r="X119" s="3867"/>
      <c r="Y119" s="3867"/>
      <c r="Z119" s="3867"/>
      <c r="AA119" s="3867"/>
      <c r="AB119" s="3867"/>
      <c r="AC119" s="3867"/>
    </row>
    <row r="120" spans="1:29" ht="15.75" thickBot="1">
      <c r="A120" s="3985"/>
      <c r="B120" s="3996"/>
      <c r="C120" s="4017"/>
      <c r="D120" s="4017"/>
      <c r="E120" s="4017"/>
      <c r="F120" s="4017"/>
      <c r="G120" s="3987"/>
      <c r="H120" s="3987"/>
      <c r="I120" s="3987"/>
      <c r="J120" s="3987"/>
      <c r="K120" s="3987"/>
      <c r="L120" s="3987"/>
      <c r="M120" s="3988"/>
      <c r="N120" s="3989"/>
      <c r="O120" s="3990"/>
      <c r="P120" s="3984"/>
      <c r="Q120" s="3946"/>
      <c r="R120" s="3867"/>
      <c r="S120" s="3867"/>
      <c r="T120" s="3867"/>
      <c r="U120" s="3867"/>
      <c r="V120" s="3867"/>
      <c r="W120" s="3867"/>
      <c r="X120" s="3867"/>
      <c r="Y120" s="3867"/>
      <c r="Z120" s="3867"/>
      <c r="AA120" s="3867"/>
      <c r="AB120" s="3867"/>
      <c r="AC120" s="3867"/>
    </row>
    <row r="121" spans="1:29" s="3844" customFormat="1" ht="15" thickTop="1">
      <c r="A121" s="4062"/>
      <c r="B121" s="3991">
        <f>B42</f>
        <v>111</v>
      </c>
      <c r="C121" s="3967"/>
      <c r="D121" s="3967"/>
      <c r="E121" s="3967"/>
      <c r="F121" s="3967"/>
      <c r="G121" s="4009"/>
      <c r="H121" s="4009"/>
      <c r="I121" s="4009"/>
      <c r="J121" s="4009"/>
      <c r="K121" s="4009"/>
      <c r="L121" s="4010"/>
      <c r="M121" s="4011"/>
      <c r="N121" s="4012"/>
      <c r="O121" s="4013"/>
      <c r="P121" s="4014"/>
      <c r="Q121" s="4015"/>
      <c r="R121" s="4016"/>
      <c r="S121" s="4016"/>
      <c r="T121" s="4016"/>
      <c r="U121" s="4016"/>
      <c r="V121" s="4016"/>
      <c r="W121" s="4016"/>
      <c r="X121" s="4016"/>
      <c r="Y121" s="4016"/>
      <c r="Z121" s="4016"/>
      <c r="AA121" s="4016"/>
      <c r="AB121" s="4016"/>
      <c r="AC121" s="4016"/>
    </row>
    <row r="122" spans="1:29" s="3844" customFormat="1" ht="15.75" thickBot="1">
      <c r="A122" s="4025"/>
      <c r="B122" s="4075"/>
      <c r="C122" s="4027"/>
      <c r="D122" s="4027"/>
      <c r="E122" s="4027"/>
      <c r="F122" s="4027"/>
      <c r="G122" s="4059"/>
      <c r="H122" s="4059"/>
      <c r="I122" s="4059"/>
      <c r="J122" s="4059"/>
      <c r="K122" s="4059"/>
      <c r="L122" s="4059"/>
      <c r="M122" s="4060"/>
      <c r="N122" s="4012"/>
      <c r="O122" s="4013"/>
      <c r="P122" s="4014"/>
      <c r="Q122" s="4015"/>
      <c r="R122" s="4016"/>
      <c r="S122" s="4016"/>
      <c r="T122" s="4016"/>
      <c r="U122" s="4016"/>
      <c r="V122" s="4016"/>
      <c r="W122" s="4016"/>
      <c r="X122" s="4016"/>
      <c r="Y122" s="4016"/>
      <c r="Z122" s="4016"/>
      <c r="AA122" s="4016"/>
      <c r="AB122" s="4016"/>
      <c r="AC122" s="4016"/>
    </row>
    <row r="123" spans="1:29">
      <c r="A123" s="4076"/>
      <c r="B123" s="4076"/>
      <c r="C123" s="4076"/>
      <c r="D123" s="4076"/>
      <c r="E123" s="4076"/>
      <c r="F123" s="4076"/>
      <c r="G123" s="4076"/>
      <c r="H123" s="4076"/>
      <c r="I123" s="4076"/>
      <c r="J123" s="4076"/>
      <c r="K123" s="4077"/>
      <c r="L123" s="4078"/>
      <c r="M123" s="4076"/>
      <c r="N123" s="4076"/>
      <c r="O123" s="4076"/>
      <c r="P123" s="4076"/>
      <c r="Q123" s="4076"/>
      <c r="R123" s="4076"/>
      <c r="S123" s="4076"/>
      <c r="T123" s="4076"/>
      <c r="U123" s="4076"/>
      <c r="V123" s="4076"/>
      <c r="W123" s="4076"/>
      <c r="X123" s="4076"/>
      <c r="Y123" s="4076"/>
      <c r="Z123" s="4076"/>
      <c r="AA123" s="4076"/>
      <c r="AB123" s="4076"/>
      <c r="AC123" s="4076"/>
    </row>
    <row r="124" spans="1:29">
      <c r="A124" s="4076"/>
      <c r="B124" s="4076"/>
      <c r="C124" s="4076"/>
      <c r="D124" s="4076"/>
      <c r="E124" s="4076"/>
      <c r="F124" s="4076"/>
      <c r="G124" s="4076"/>
      <c r="H124" s="4076"/>
      <c r="I124" s="4076"/>
      <c r="J124" s="4076"/>
      <c r="K124" s="4077"/>
      <c r="L124" s="4078"/>
      <c r="M124" s="4076"/>
      <c r="N124" s="4076"/>
      <c r="O124" s="4076"/>
      <c r="P124" s="4076"/>
      <c r="Q124" s="4076"/>
      <c r="R124" s="4076"/>
      <c r="S124" s="4076"/>
      <c r="T124" s="4076"/>
      <c r="U124" s="4076"/>
      <c r="V124" s="4076"/>
      <c r="W124" s="4076"/>
      <c r="X124" s="4076"/>
      <c r="Y124" s="4076"/>
      <c r="Z124" s="4076"/>
      <c r="AA124" s="4076"/>
      <c r="AB124" s="4076"/>
      <c r="AC124" s="4076"/>
    </row>
    <row r="125" spans="1:29">
      <c r="A125" s="4076"/>
      <c r="B125" s="4076"/>
      <c r="C125" s="4076"/>
      <c r="D125" s="4076"/>
      <c r="E125" s="4076"/>
      <c r="F125" s="4076"/>
      <c r="G125" s="4076"/>
      <c r="H125" s="4076"/>
      <c r="I125" s="4076"/>
      <c r="J125" s="4076"/>
      <c r="K125" s="4077"/>
      <c r="L125" s="4078"/>
      <c r="M125" s="4076"/>
      <c r="N125" s="4076"/>
      <c r="O125" s="4076"/>
      <c r="P125" s="4076"/>
      <c r="Q125" s="4076"/>
      <c r="R125" s="4076"/>
      <c r="S125" s="4076"/>
      <c r="T125" s="4076"/>
      <c r="U125" s="4076"/>
      <c r="V125" s="4076"/>
      <c r="W125" s="4076"/>
      <c r="X125" s="4076"/>
      <c r="Y125" s="4076"/>
      <c r="Z125" s="4076"/>
      <c r="AA125" s="4076"/>
      <c r="AB125" s="4076"/>
      <c r="AC125" s="4076"/>
    </row>
    <row r="126" spans="1:29">
      <c r="A126" s="4076"/>
      <c r="B126" s="4076"/>
      <c r="C126" s="4076"/>
      <c r="D126" s="4076"/>
      <c r="E126" s="4076"/>
      <c r="F126" s="4076"/>
      <c r="G126" s="4076"/>
      <c r="H126" s="4076"/>
      <c r="I126" s="4076"/>
      <c r="J126" s="4076"/>
      <c r="K126" s="4077"/>
      <c r="L126" s="4078"/>
      <c r="M126" s="4076"/>
      <c r="N126" s="4076"/>
      <c r="O126" s="4076"/>
      <c r="P126" s="4076"/>
      <c r="Q126" s="4076"/>
      <c r="R126" s="4076"/>
      <c r="S126" s="4076"/>
      <c r="T126" s="4076"/>
      <c r="U126" s="4076"/>
      <c r="V126" s="4076"/>
      <c r="W126" s="4076"/>
      <c r="X126" s="4076"/>
      <c r="Y126" s="4076"/>
      <c r="Z126" s="4076"/>
      <c r="AA126" s="4076"/>
      <c r="AB126" s="4076"/>
      <c r="AC126" s="4076"/>
    </row>
    <row r="127" spans="1:29">
      <c r="A127" s="4076"/>
      <c r="B127" s="4076"/>
      <c r="C127" s="4076"/>
      <c r="D127" s="4076"/>
      <c r="E127" s="4076"/>
      <c r="F127" s="4076"/>
      <c r="G127" s="4076"/>
      <c r="H127" s="4076"/>
      <c r="I127" s="4076"/>
      <c r="J127" s="4076"/>
      <c r="K127" s="4077"/>
      <c r="L127" s="4078"/>
      <c r="M127" s="4076"/>
      <c r="N127" s="4076"/>
      <c r="O127" s="4076"/>
      <c r="P127" s="4076"/>
      <c r="Q127" s="4076"/>
      <c r="R127" s="4076"/>
      <c r="S127" s="4076"/>
      <c r="T127" s="4076"/>
      <c r="U127" s="4076"/>
      <c r="V127" s="4076"/>
      <c r="W127" s="4076"/>
      <c r="X127" s="4076"/>
      <c r="Y127" s="4076"/>
      <c r="Z127" s="4076"/>
      <c r="AA127" s="4076"/>
      <c r="AB127" s="4076"/>
      <c r="AC127" s="4076"/>
    </row>
    <row r="128" spans="1:29">
      <c r="A128" s="4076"/>
      <c r="B128" s="4076"/>
      <c r="C128" s="4076"/>
      <c r="D128" s="4076"/>
      <c r="E128" s="4076"/>
      <c r="F128" s="4076"/>
      <c r="G128" s="4076"/>
      <c r="H128" s="4076"/>
      <c r="I128" s="4076"/>
      <c r="J128" s="4076"/>
      <c r="K128" s="4077"/>
      <c r="L128" s="4078"/>
      <c r="M128" s="4076"/>
      <c r="N128" s="4076"/>
      <c r="O128" s="4076"/>
      <c r="P128" s="4076"/>
      <c r="Q128" s="4076"/>
      <c r="R128" s="4076"/>
      <c r="S128" s="4076"/>
      <c r="T128" s="4076"/>
      <c r="U128" s="4076"/>
      <c r="V128" s="4076"/>
      <c r="W128" s="4076"/>
      <c r="X128" s="4076"/>
      <c r="Y128" s="4076"/>
      <c r="Z128" s="4076"/>
      <c r="AA128" s="4076"/>
      <c r="AB128" s="4076"/>
      <c r="AC128" s="4076"/>
    </row>
    <row r="129" spans="1:29">
      <c r="A129" s="4076"/>
      <c r="B129" s="4076"/>
      <c r="C129" s="4076"/>
      <c r="D129" s="4076"/>
      <c r="E129" s="4076"/>
      <c r="F129" s="4076"/>
      <c r="G129" s="4076"/>
      <c r="H129" s="4076"/>
      <c r="I129" s="4076"/>
      <c r="J129" s="4076"/>
      <c r="K129" s="4077"/>
      <c r="L129" s="4078"/>
      <c r="M129" s="4076"/>
      <c r="N129" s="4076"/>
      <c r="O129" s="4076"/>
      <c r="P129" s="4076"/>
      <c r="Q129" s="4076"/>
      <c r="R129" s="4076"/>
      <c r="S129" s="4076"/>
      <c r="T129" s="4076"/>
      <c r="U129" s="4076"/>
      <c r="V129" s="4076"/>
      <c r="W129" s="4076"/>
      <c r="X129" s="4076"/>
      <c r="Y129" s="4076"/>
      <c r="Z129" s="4076"/>
      <c r="AA129" s="4076"/>
      <c r="AB129" s="4076"/>
      <c r="AC129" s="4076"/>
    </row>
    <row r="130" spans="1:29">
      <c r="A130" s="4076"/>
      <c r="B130" s="4076"/>
      <c r="C130" s="4076"/>
      <c r="D130" s="4076"/>
      <c r="E130" s="4076"/>
      <c r="F130" s="4076"/>
      <c r="G130" s="4076"/>
      <c r="H130" s="4076"/>
      <c r="I130" s="4076"/>
      <c r="J130" s="4076"/>
      <c r="K130" s="4077"/>
      <c r="L130" s="4078"/>
      <c r="M130" s="4076"/>
      <c r="N130" s="4076"/>
      <c r="O130" s="4076"/>
      <c r="P130" s="4076"/>
      <c r="Q130" s="4076"/>
      <c r="R130" s="4076"/>
      <c r="S130" s="4076"/>
      <c r="T130" s="4076"/>
      <c r="U130" s="4076"/>
      <c r="V130" s="4076"/>
      <c r="W130" s="4076"/>
      <c r="X130" s="4076"/>
      <c r="Y130" s="4076"/>
      <c r="Z130" s="4076"/>
      <c r="AA130" s="4076"/>
      <c r="AB130" s="4076"/>
      <c r="AC130" s="4076"/>
    </row>
    <row r="131" spans="1:29">
      <c r="A131" s="4076"/>
      <c r="B131" s="4076"/>
      <c r="C131" s="4076"/>
      <c r="D131" s="4076"/>
      <c r="E131" s="4076"/>
      <c r="F131" s="4076"/>
      <c r="G131" s="4076"/>
      <c r="H131" s="4076"/>
      <c r="I131" s="4076"/>
      <c r="J131" s="4076"/>
      <c r="K131" s="4077"/>
      <c r="L131" s="4078"/>
      <c r="M131" s="4076"/>
      <c r="N131" s="4076"/>
      <c r="O131" s="4076"/>
      <c r="P131" s="4076"/>
      <c r="Q131" s="4076"/>
      <c r="R131" s="4076"/>
      <c r="S131" s="4076"/>
      <c r="T131" s="4076"/>
      <c r="U131" s="4076"/>
      <c r="V131" s="4076"/>
      <c r="W131" s="4076"/>
      <c r="X131" s="4076"/>
      <c r="Y131" s="4076"/>
      <c r="Z131" s="4076"/>
      <c r="AA131" s="4076"/>
      <c r="AB131" s="4076"/>
      <c r="AC131" s="4076"/>
    </row>
    <row r="132" spans="1:29">
      <c r="A132" s="4076"/>
      <c r="B132" s="4076"/>
      <c r="C132" s="4076"/>
      <c r="D132" s="4076"/>
      <c r="E132" s="4076"/>
      <c r="F132" s="4076"/>
      <c r="G132" s="4076"/>
      <c r="H132" s="4076"/>
      <c r="I132" s="4076"/>
      <c r="J132" s="4076"/>
      <c r="K132" s="4077"/>
      <c r="L132" s="4078"/>
      <c r="M132" s="4076"/>
      <c r="N132" s="4076"/>
      <c r="O132" s="4076"/>
      <c r="P132" s="4076"/>
      <c r="Q132" s="4076"/>
      <c r="R132" s="4076"/>
      <c r="S132" s="4076"/>
      <c r="T132" s="4076"/>
      <c r="U132" s="4076"/>
      <c r="V132" s="4076"/>
      <c r="W132" s="4076"/>
      <c r="X132" s="4076"/>
      <c r="Y132" s="4076"/>
      <c r="Z132" s="4076"/>
      <c r="AA132" s="4076"/>
      <c r="AB132" s="4076"/>
      <c r="AC132" s="4076"/>
    </row>
    <row r="133" spans="1:29">
      <c r="A133" s="4076"/>
      <c r="B133" s="4076"/>
      <c r="C133" s="4076"/>
      <c r="D133" s="4076"/>
      <c r="E133" s="4076"/>
      <c r="F133" s="4076"/>
      <c r="G133" s="4076"/>
      <c r="H133" s="4076"/>
      <c r="I133" s="4076"/>
      <c r="J133" s="4076"/>
      <c r="K133" s="4077"/>
      <c r="L133" s="4078"/>
      <c r="M133" s="4076"/>
      <c r="N133" s="4076"/>
      <c r="O133" s="4076"/>
      <c r="P133" s="4076"/>
      <c r="Q133" s="4076"/>
      <c r="R133" s="4076"/>
      <c r="S133" s="4076"/>
      <c r="T133" s="4076"/>
      <c r="U133" s="4076"/>
      <c r="V133" s="4076"/>
      <c r="W133" s="4076"/>
      <c r="X133" s="4076"/>
      <c r="Y133" s="4076"/>
      <c r="Z133" s="4076"/>
      <c r="AA133" s="4076"/>
      <c r="AB133" s="4076"/>
      <c r="AC133" s="4076"/>
    </row>
    <row r="134" spans="1:29">
      <c r="A134" s="4076"/>
      <c r="B134" s="4076"/>
      <c r="C134" s="4076"/>
      <c r="D134" s="4076"/>
      <c r="E134" s="4076"/>
      <c r="F134" s="4076"/>
      <c r="G134" s="4076"/>
      <c r="H134" s="4076"/>
      <c r="I134" s="4076"/>
      <c r="J134" s="4076"/>
      <c r="K134" s="4077"/>
      <c r="L134" s="4078"/>
      <c r="M134" s="4076"/>
      <c r="N134" s="4076"/>
      <c r="O134" s="4076"/>
      <c r="P134" s="4076"/>
      <c r="Q134" s="4076"/>
      <c r="R134" s="4076"/>
      <c r="S134" s="4076"/>
      <c r="T134" s="4076"/>
      <c r="U134" s="4076"/>
      <c r="V134" s="4076"/>
      <c r="W134" s="4076"/>
      <c r="X134" s="4076"/>
      <c r="Y134" s="4076"/>
      <c r="Z134" s="4076"/>
      <c r="AA134" s="4076"/>
      <c r="AB134" s="4076"/>
      <c r="AC134" s="4076"/>
    </row>
    <row r="135" spans="1:29">
      <c r="A135" s="4076"/>
      <c r="B135" s="4076"/>
      <c r="C135" s="4076"/>
      <c r="D135" s="4076"/>
      <c r="E135" s="4076"/>
      <c r="F135" s="4076"/>
      <c r="G135" s="4076"/>
      <c r="H135" s="4076"/>
      <c r="I135" s="4076"/>
      <c r="J135" s="4076"/>
      <c r="K135" s="4077"/>
      <c r="L135" s="4078"/>
      <c r="M135" s="4076"/>
      <c r="N135" s="4076"/>
      <c r="O135" s="4076"/>
      <c r="P135" s="4076"/>
      <c r="Q135" s="4076"/>
      <c r="R135" s="4076"/>
      <c r="S135" s="4076"/>
      <c r="T135" s="4076"/>
      <c r="U135" s="4076"/>
      <c r="V135" s="4076"/>
      <c r="W135" s="4076"/>
      <c r="X135" s="4076"/>
      <c r="Y135" s="4076"/>
      <c r="Z135" s="4076"/>
      <c r="AA135" s="4076"/>
      <c r="AB135" s="4076"/>
      <c r="AC135" s="4076"/>
    </row>
    <row r="136" spans="1:29">
      <c r="A136" s="4076"/>
      <c r="B136" s="4076"/>
      <c r="C136" s="4076"/>
      <c r="D136" s="4076"/>
      <c r="E136" s="4076"/>
      <c r="F136" s="4076"/>
      <c r="G136" s="4076"/>
      <c r="H136" s="4076"/>
      <c r="I136" s="4076"/>
      <c r="J136" s="4076"/>
      <c r="K136" s="4077"/>
      <c r="L136" s="4078"/>
      <c r="M136" s="4076"/>
      <c r="N136" s="4076"/>
      <c r="O136" s="4076"/>
      <c r="P136" s="4076"/>
      <c r="Q136" s="4076"/>
      <c r="R136" s="4076"/>
      <c r="S136" s="4076"/>
      <c r="T136" s="4076"/>
      <c r="U136" s="4076"/>
      <c r="V136" s="4076"/>
      <c r="W136" s="4076"/>
      <c r="X136" s="4076"/>
      <c r="Y136" s="4076"/>
      <c r="Z136" s="4076"/>
      <c r="AA136" s="4076"/>
      <c r="AB136" s="4076"/>
      <c r="AC136" s="4076"/>
    </row>
    <row r="137" spans="1:29">
      <c r="A137" s="4076"/>
      <c r="B137" s="4076"/>
      <c r="C137" s="4076"/>
      <c r="D137" s="4076"/>
      <c r="E137" s="4076"/>
      <c r="F137" s="4076"/>
      <c r="G137" s="4076"/>
      <c r="H137" s="4076"/>
      <c r="I137" s="4076"/>
      <c r="J137" s="4076"/>
      <c r="K137" s="4077"/>
      <c r="L137" s="4078"/>
      <c r="M137" s="4076"/>
      <c r="N137" s="4076"/>
      <c r="O137" s="4076"/>
      <c r="P137" s="4076"/>
      <c r="Q137" s="4076"/>
      <c r="R137" s="4076"/>
      <c r="S137" s="4076"/>
      <c r="T137" s="4076"/>
      <c r="U137" s="4076"/>
      <c r="V137" s="4076"/>
      <c r="W137" s="4076"/>
      <c r="X137" s="4076"/>
      <c r="Y137" s="4076"/>
      <c r="Z137" s="4076"/>
      <c r="AA137" s="4076"/>
      <c r="AB137" s="4076"/>
      <c r="AC137" s="4076"/>
    </row>
    <row r="138" spans="1:29">
      <c r="A138" s="4076"/>
      <c r="B138" s="4076"/>
      <c r="C138" s="4076"/>
      <c r="D138" s="4076"/>
      <c r="E138" s="4076"/>
      <c r="F138" s="4076"/>
      <c r="G138" s="4076"/>
      <c r="H138" s="4076"/>
      <c r="I138" s="4076"/>
      <c r="J138" s="4076"/>
      <c r="K138" s="4077"/>
      <c r="L138" s="4078"/>
      <c r="M138" s="4076"/>
      <c r="N138" s="4076"/>
      <c r="O138" s="4076"/>
      <c r="P138" s="4076"/>
      <c r="Q138" s="4076"/>
      <c r="R138" s="4076"/>
      <c r="S138" s="4076"/>
      <c r="T138" s="4076"/>
      <c r="U138" s="4076"/>
      <c r="V138" s="4076"/>
      <c r="W138" s="4076"/>
      <c r="X138" s="4076"/>
      <c r="Y138" s="4076"/>
      <c r="Z138" s="4076"/>
      <c r="AA138" s="4076"/>
      <c r="AB138" s="4076"/>
      <c r="AC138" s="4076"/>
    </row>
    <row r="139" spans="1:29">
      <c r="A139" s="4076"/>
      <c r="B139" s="4076"/>
      <c r="C139" s="4076"/>
      <c r="D139" s="4076"/>
      <c r="E139" s="4076"/>
      <c r="F139" s="4076"/>
      <c r="G139" s="4076"/>
      <c r="H139" s="4076"/>
      <c r="I139" s="4076"/>
      <c r="J139" s="4076"/>
      <c r="K139" s="4077"/>
      <c r="L139" s="4078"/>
      <c r="M139" s="4076"/>
      <c r="N139" s="4076"/>
      <c r="O139" s="4076"/>
      <c r="P139" s="4076"/>
      <c r="Q139" s="4076"/>
      <c r="R139" s="4076"/>
      <c r="S139" s="4076"/>
      <c r="T139" s="4076"/>
      <c r="U139" s="4076"/>
      <c r="V139" s="4076"/>
      <c r="W139" s="4076"/>
      <c r="X139" s="4076"/>
      <c r="Y139" s="4076"/>
      <c r="Z139" s="4076"/>
      <c r="AA139" s="4076"/>
      <c r="AB139" s="4076"/>
      <c r="AC139" s="4076"/>
    </row>
    <row r="140" spans="1:29">
      <c r="A140" s="4076"/>
      <c r="B140" s="4076"/>
      <c r="C140" s="4076"/>
      <c r="D140" s="4076"/>
      <c r="E140" s="4076"/>
      <c r="F140" s="4076"/>
      <c r="G140" s="4076"/>
      <c r="H140" s="4076"/>
      <c r="I140" s="4076"/>
      <c r="J140" s="4076"/>
      <c r="K140" s="4077"/>
      <c r="L140" s="4078"/>
      <c r="M140" s="4076"/>
      <c r="N140" s="4076"/>
      <c r="O140" s="4076"/>
      <c r="P140" s="4076"/>
      <c r="Q140" s="4076"/>
      <c r="R140" s="4076"/>
      <c r="S140" s="4076"/>
      <c r="T140" s="4076"/>
      <c r="U140" s="4076"/>
      <c r="V140" s="4076"/>
      <c r="W140" s="4076"/>
      <c r="X140" s="4076"/>
      <c r="Y140" s="4076"/>
      <c r="Z140" s="4076"/>
      <c r="AA140" s="4076"/>
      <c r="AB140" s="4076"/>
      <c r="AC140" s="4076"/>
    </row>
    <row r="141" spans="1:29">
      <c r="A141" s="4076"/>
      <c r="B141" s="4076"/>
      <c r="C141" s="4076"/>
      <c r="D141" s="4076"/>
      <c r="E141" s="4076"/>
      <c r="F141" s="4076"/>
      <c r="G141" s="4076"/>
      <c r="H141" s="4076"/>
      <c r="I141" s="4076"/>
      <c r="J141" s="4076"/>
      <c r="K141" s="4077"/>
      <c r="L141" s="4078"/>
      <c r="M141" s="4076"/>
      <c r="N141" s="4076"/>
      <c r="O141" s="4076"/>
      <c r="P141" s="4076"/>
      <c r="Q141" s="4076"/>
      <c r="R141" s="4076"/>
      <c r="S141" s="4076"/>
      <c r="T141" s="4076"/>
      <c r="U141" s="4076"/>
      <c r="V141" s="4076"/>
      <c r="W141" s="4076"/>
      <c r="X141" s="4076"/>
      <c r="Y141" s="4076"/>
      <c r="Z141" s="4076"/>
      <c r="AA141" s="4076"/>
      <c r="AB141" s="4076"/>
      <c r="AC141" s="4076"/>
    </row>
    <row r="142" spans="1:29">
      <c r="A142" s="4076"/>
      <c r="B142" s="4076"/>
      <c r="C142" s="4076"/>
      <c r="D142" s="4076"/>
      <c r="E142" s="4076"/>
      <c r="F142" s="4076"/>
      <c r="G142" s="4076"/>
      <c r="H142" s="4076"/>
      <c r="I142" s="4076"/>
      <c r="J142" s="4076"/>
      <c r="K142" s="4077"/>
      <c r="L142" s="4078"/>
      <c r="M142" s="4076"/>
      <c r="N142" s="4076"/>
      <c r="O142" s="4076"/>
      <c r="P142" s="4076"/>
      <c r="Q142" s="4076"/>
      <c r="R142" s="4076"/>
      <c r="S142" s="4076"/>
      <c r="T142" s="4076"/>
      <c r="U142" s="4076"/>
      <c r="V142" s="4076"/>
      <c r="W142" s="4076"/>
      <c r="X142" s="4076"/>
      <c r="Y142" s="4076"/>
      <c r="Z142" s="4076"/>
      <c r="AA142" s="4076"/>
      <c r="AB142" s="4076"/>
      <c r="AC142" s="4076"/>
    </row>
    <row r="143" spans="1:29">
      <c r="A143" s="4076"/>
      <c r="B143" s="4076"/>
      <c r="C143" s="4076"/>
      <c r="D143" s="4076"/>
      <c r="E143" s="4076"/>
      <c r="F143" s="4076"/>
      <c r="G143" s="4076"/>
      <c r="H143" s="4076"/>
      <c r="I143" s="4076"/>
      <c r="J143" s="4076"/>
      <c r="K143" s="4077"/>
      <c r="L143" s="4078"/>
      <c r="M143" s="4076"/>
      <c r="N143" s="4076"/>
      <c r="O143" s="4076"/>
      <c r="P143" s="4076"/>
      <c r="Q143" s="4076"/>
      <c r="R143" s="4076"/>
      <c r="S143" s="4076"/>
      <c r="T143" s="4076"/>
      <c r="U143" s="4076"/>
      <c r="V143" s="4076"/>
      <c r="W143" s="4076"/>
      <c r="X143" s="4076"/>
      <c r="Y143" s="4076"/>
      <c r="Z143" s="4076"/>
      <c r="AA143" s="4076"/>
      <c r="AB143" s="4076"/>
      <c r="AC143" s="4076"/>
    </row>
    <row r="144" spans="1:29">
      <c r="A144" s="4076"/>
      <c r="B144" s="4076"/>
      <c r="C144" s="4076"/>
      <c r="D144" s="4076"/>
      <c r="E144" s="4076"/>
      <c r="F144" s="4076"/>
      <c r="G144" s="4076"/>
      <c r="H144" s="4076"/>
      <c r="I144" s="4076"/>
      <c r="J144" s="4076"/>
      <c r="K144" s="4077"/>
      <c r="L144" s="4078"/>
      <c r="M144" s="4076"/>
      <c r="N144" s="4076"/>
      <c r="O144" s="4076"/>
      <c r="P144" s="4076"/>
      <c r="Q144" s="4076"/>
      <c r="R144" s="4076"/>
      <c r="S144" s="4076"/>
      <c r="T144" s="4076"/>
      <c r="U144" s="4076"/>
      <c r="V144" s="4076"/>
      <c r="W144" s="4076"/>
      <c r="X144" s="4076"/>
      <c r="Y144" s="4076"/>
      <c r="Z144" s="4076"/>
      <c r="AA144" s="4076"/>
      <c r="AB144" s="4076"/>
      <c r="AC144" s="4076"/>
    </row>
    <row r="145" spans="1:29">
      <c r="A145" s="4076"/>
      <c r="B145" s="4076"/>
      <c r="C145" s="4076"/>
      <c r="D145" s="4076"/>
      <c r="E145" s="4076"/>
      <c r="F145" s="4076"/>
      <c r="G145" s="4076"/>
      <c r="H145" s="4076"/>
      <c r="I145" s="4076"/>
      <c r="J145" s="4076"/>
      <c r="K145" s="4077"/>
      <c r="L145" s="4078"/>
      <c r="M145" s="4076"/>
      <c r="N145" s="4076"/>
      <c r="O145" s="4076"/>
      <c r="P145" s="4076"/>
      <c r="Q145" s="4076"/>
      <c r="R145" s="4076"/>
      <c r="S145" s="4076"/>
      <c r="T145" s="4076"/>
      <c r="U145" s="4076"/>
      <c r="V145" s="4076"/>
      <c r="W145" s="4076"/>
      <c r="X145" s="4076"/>
      <c r="Y145" s="4076"/>
      <c r="Z145" s="4076"/>
      <c r="AA145" s="4076"/>
      <c r="AB145" s="4076"/>
      <c r="AC145" s="4076"/>
    </row>
    <row r="146" spans="1:29">
      <c r="A146" s="4076"/>
      <c r="B146" s="4076"/>
      <c r="C146" s="4076"/>
      <c r="D146" s="4076"/>
      <c r="E146" s="4076"/>
      <c r="F146" s="4076"/>
      <c r="G146" s="4076"/>
      <c r="H146" s="4076"/>
      <c r="I146" s="4076"/>
      <c r="J146" s="4076"/>
      <c r="K146" s="4077"/>
      <c r="L146" s="4078"/>
      <c r="M146" s="4076"/>
      <c r="N146" s="4076"/>
      <c r="O146" s="4076"/>
      <c r="P146" s="4076"/>
      <c r="Q146" s="4076"/>
      <c r="R146" s="4076"/>
      <c r="S146" s="4076"/>
      <c r="T146" s="4076"/>
      <c r="U146" s="4076"/>
      <c r="V146" s="4076"/>
      <c r="W146" s="4076"/>
      <c r="X146" s="4076"/>
      <c r="Y146" s="4076"/>
      <c r="Z146" s="4076"/>
      <c r="AA146" s="4076"/>
      <c r="AB146" s="4076"/>
      <c r="AC146" s="4076"/>
    </row>
    <row r="147" spans="1:29">
      <c r="A147" s="4076"/>
      <c r="B147" s="4076"/>
      <c r="C147" s="4076"/>
      <c r="D147" s="4076"/>
      <c r="E147" s="4076"/>
      <c r="F147" s="4076"/>
      <c r="G147" s="4076"/>
      <c r="H147" s="4076"/>
      <c r="I147" s="4076"/>
      <c r="J147" s="4076"/>
      <c r="K147" s="4077"/>
      <c r="L147" s="4078"/>
      <c r="M147" s="4076"/>
      <c r="N147" s="4076"/>
      <c r="O147" s="4076"/>
      <c r="P147" s="4076"/>
      <c r="Q147" s="4076"/>
      <c r="R147" s="4076"/>
      <c r="S147" s="4076"/>
      <c r="T147" s="4076"/>
      <c r="U147" s="4076"/>
      <c r="V147" s="4076"/>
      <c r="W147" s="4076"/>
      <c r="X147" s="4076"/>
      <c r="Y147" s="4076"/>
      <c r="Z147" s="4076"/>
      <c r="AA147" s="4076"/>
      <c r="AB147" s="4076"/>
      <c r="AC147" s="4076"/>
    </row>
    <row r="148" spans="1:29">
      <c r="A148" s="4076"/>
      <c r="B148" s="4076"/>
      <c r="C148" s="4076"/>
      <c r="D148" s="4076"/>
      <c r="E148" s="4076"/>
      <c r="F148" s="4076"/>
      <c r="G148" s="4076"/>
      <c r="H148" s="4076"/>
      <c r="I148" s="4076"/>
      <c r="J148" s="4076"/>
      <c r="K148" s="4077"/>
      <c r="L148" s="4078"/>
      <c r="M148" s="4076"/>
      <c r="N148" s="4076"/>
      <c r="O148" s="4076"/>
      <c r="P148" s="4076"/>
      <c r="Q148" s="4076"/>
      <c r="R148" s="4076"/>
      <c r="S148" s="4076"/>
      <c r="T148" s="4076"/>
      <c r="U148" s="4076"/>
      <c r="V148" s="4076"/>
      <c r="W148" s="4076"/>
      <c r="X148" s="4076"/>
      <c r="Y148" s="4076"/>
      <c r="Z148" s="4076"/>
      <c r="AA148" s="4076"/>
      <c r="AB148" s="4076"/>
      <c r="AC148" s="4076"/>
    </row>
    <row r="149" spans="1:29">
      <c r="A149" s="4076"/>
      <c r="B149" s="4076"/>
      <c r="C149" s="4076"/>
      <c r="D149" s="4076"/>
      <c r="E149" s="4076"/>
      <c r="F149" s="4076"/>
      <c r="G149" s="4076"/>
      <c r="H149" s="4076"/>
      <c r="I149" s="4076"/>
      <c r="J149" s="4076"/>
      <c r="K149" s="4077"/>
      <c r="L149" s="4078"/>
      <c r="M149" s="4076"/>
      <c r="N149" s="4076"/>
      <c r="O149" s="4076"/>
      <c r="P149" s="4076"/>
      <c r="Q149" s="4076"/>
      <c r="R149" s="4076"/>
      <c r="S149" s="4076"/>
      <c r="T149" s="4076"/>
      <c r="U149" s="4076"/>
      <c r="V149" s="4076"/>
      <c r="W149" s="4076"/>
      <c r="X149" s="4076"/>
      <c r="Y149" s="4076"/>
      <c r="Z149" s="4076"/>
      <c r="AA149" s="4076"/>
      <c r="AB149" s="4076"/>
      <c r="AC149" s="4076"/>
    </row>
    <row r="150" spans="1:29">
      <c r="A150" s="4076"/>
      <c r="B150" s="4076"/>
      <c r="C150" s="4076"/>
      <c r="D150" s="4076"/>
      <c r="E150" s="4076"/>
      <c r="F150" s="4076"/>
      <c r="G150" s="4076"/>
      <c r="H150" s="4076"/>
      <c r="I150" s="4076"/>
      <c r="J150" s="4076"/>
      <c r="K150" s="4077"/>
      <c r="L150" s="4078"/>
      <c r="M150" s="4076"/>
      <c r="N150" s="4076"/>
      <c r="O150" s="4076"/>
      <c r="P150" s="4076"/>
      <c r="Q150" s="4076"/>
      <c r="R150" s="4076"/>
      <c r="S150" s="4076"/>
      <c r="T150" s="4076"/>
      <c r="U150" s="4076"/>
      <c r="V150" s="4076"/>
      <c r="W150" s="4076"/>
      <c r="X150" s="4076"/>
      <c r="Y150" s="4076"/>
      <c r="Z150" s="4076"/>
      <c r="AA150" s="4076"/>
      <c r="AB150" s="4076"/>
      <c r="AC150" s="4076"/>
    </row>
    <row r="151" spans="1:29">
      <c r="A151" s="4076"/>
      <c r="B151" s="4076"/>
      <c r="C151" s="4076"/>
      <c r="D151" s="4076"/>
      <c r="E151" s="4076"/>
      <c r="F151" s="4076"/>
      <c r="G151" s="4076"/>
      <c r="H151" s="4076"/>
      <c r="I151" s="4076"/>
      <c r="J151" s="4076"/>
      <c r="K151" s="4077"/>
      <c r="L151" s="4078"/>
      <c r="M151" s="4076"/>
      <c r="N151" s="4076"/>
      <c r="O151" s="4076"/>
      <c r="P151" s="4076"/>
      <c r="Q151" s="4076"/>
      <c r="R151" s="4076"/>
      <c r="S151" s="4076"/>
      <c r="T151" s="4076"/>
      <c r="U151" s="4076"/>
      <c r="V151" s="4076"/>
      <c r="W151" s="4076"/>
      <c r="X151" s="4076"/>
      <c r="Y151" s="4076"/>
      <c r="Z151" s="4076"/>
      <c r="AA151" s="4076"/>
      <c r="AB151" s="4076"/>
      <c r="AC151" s="4076"/>
    </row>
    <row r="152" spans="1:29">
      <c r="A152" s="4076"/>
      <c r="B152" s="4076"/>
      <c r="C152" s="4076"/>
      <c r="D152" s="4076"/>
      <c r="E152" s="4076"/>
      <c r="F152" s="4076"/>
      <c r="G152" s="4076"/>
      <c r="H152" s="4076"/>
      <c r="I152" s="4076"/>
      <c r="J152" s="4076"/>
      <c r="K152" s="4077"/>
      <c r="L152" s="4078"/>
      <c r="M152" s="4076"/>
      <c r="N152" s="4076"/>
      <c r="O152" s="4076"/>
      <c r="P152" s="4076"/>
      <c r="Q152" s="4076"/>
      <c r="R152" s="4076"/>
      <c r="S152" s="4076"/>
      <c r="T152" s="4076"/>
      <c r="U152" s="4076"/>
      <c r="V152" s="4076"/>
      <c r="W152" s="4076"/>
      <c r="X152" s="4076"/>
      <c r="Y152" s="4076"/>
      <c r="Z152" s="4076"/>
      <c r="AA152" s="4076"/>
      <c r="AB152" s="4076"/>
      <c r="AC152" s="4076"/>
    </row>
    <row r="153" spans="1:29">
      <c r="A153" s="4076"/>
      <c r="B153" s="4076"/>
      <c r="C153" s="4076"/>
      <c r="D153" s="4076"/>
      <c r="E153" s="4076"/>
      <c r="F153" s="4076"/>
      <c r="G153" s="4076"/>
      <c r="H153" s="4076"/>
      <c r="I153" s="4076"/>
      <c r="J153" s="4076"/>
      <c r="K153" s="4077"/>
      <c r="L153" s="4078"/>
      <c r="M153" s="4076"/>
      <c r="N153" s="4076"/>
      <c r="O153" s="4076"/>
      <c r="P153" s="4076"/>
      <c r="Q153" s="4076"/>
      <c r="R153" s="4076"/>
      <c r="S153" s="4076"/>
      <c r="T153" s="4076"/>
      <c r="U153" s="4076"/>
      <c r="V153" s="4076"/>
      <c r="W153" s="4076"/>
      <c r="X153" s="4076"/>
      <c r="Y153" s="4076"/>
      <c r="Z153" s="4076"/>
      <c r="AA153" s="4076"/>
      <c r="AB153" s="4076"/>
      <c r="AC153" s="4076"/>
    </row>
    <row r="154" spans="1:29">
      <c r="A154" s="4076"/>
      <c r="B154" s="4076"/>
      <c r="C154" s="4076"/>
      <c r="D154" s="4076"/>
      <c r="E154" s="4076"/>
      <c r="F154" s="4076"/>
      <c r="G154" s="4076"/>
      <c r="H154" s="4076"/>
      <c r="I154" s="4076"/>
      <c r="J154" s="4076"/>
      <c r="K154" s="4077"/>
      <c r="L154" s="4078"/>
      <c r="M154" s="4076"/>
      <c r="N154" s="4076"/>
      <c r="O154" s="4076"/>
      <c r="P154" s="4076"/>
      <c r="Q154" s="4076"/>
      <c r="R154" s="4076"/>
      <c r="S154" s="4076"/>
      <c r="T154" s="4076"/>
      <c r="U154" s="4076"/>
      <c r="V154" s="4076"/>
      <c r="W154" s="4076"/>
      <c r="X154" s="4076"/>
      <c r="Y154" s="4076"/>
      <c r="Z154" s="4076"/>
      <c r="AA154" s="4076"/>
      <c r="AB154" s="4076"/>
      <c r="AC154" s="4076"/>
    </row>
    <row r="155" spans="1:29">
      <c r="A155" s="4076"/>
      <c r="B155" s="4076"/>
      <c r="C155" s="4076"/>
      <c r="D155" s="4076"/>
      <c r="E155" s="4076"/>
      <c r="F155" s="4076"/>
      <c r="G155" s="4076"/>
      <c r="H155" s="4076"/>
      <c r="I155" s="4076"/>
      <c r="J155" s="4076"/>
      <c r="K155" s="4077"/>
      <c r="L155" s="4078"/>
      <c r="M155" s="4076"/>
      <c r="N155" s="4076"/>
      <c r="O155" s="4076"/>
      <c r="P155" s="4076"/>
      <c r="Q155" s="4076"/>
      <c r="R155" s="4076"/>
      <c r="S155" s="4076"/>
      <c r="T155" s="4076"/>
      <c r="U155" s="4076"/>
      <c r="V155" s="4076"/>
      <c r="W155" s="4076"/>
      <c r="X155" s="4076"/>
      <c r="Y155" s="4076"/>
      <c r="Z155" s="4076"/>
      <c r="AA155" s="4076"/>
      <c r="AB155" s="4076"/>
      <c r="AC155" s="4076"/>
    </row>
    <row r="156" spans="1:29">
      <c r="A156" s="4076"/>
      <c r="B156" s="4076"/>
      <c r="C156" s="4076"/>
      <c r="D156" s="4076"/>
      <c r="E156" s="4076"/>
      <c r="F156" s="4076"/>
      <c r="G156" s="4076"/>
      <c r="H156" s="4076"/>
      <c r="I156" s="4076"/>
      <c r="J156" s="4076"/>
      <c r="K156" s="4077"/>
      <c r="L156" s="4078"/>
      <c r="M156" s="4076"/>
      <c r="N156" s="4076"/>
      <c r="O156" s="4076"/>
      <c r="P156" s="4076"/>
      <c r="Q156" s="4076"/>
      <c r="R156" s="4076"/>
      <c r="S156" s="4076"/>
      <c r="T156" s="4076"/>
      <c r="U156" s="4076"/>
      <c r="V156" s="4076"/>
      <c r="W156" s="4076"/>
      <c r="X156" s="4076"/>
      <c r="Y156" s="4076"/>
      <c r="Z156" s="4076"/>
      <c r="AA156" s="4076"/>
      <c r="AB156" s="4076"/>
      <c r="AC156" s="4076"/>
    </row>
    <row r="157" spans="1:29">
      <c r="A157" s="4076"/>
      <c r="B157" s="4076"/>
      <c r="C157" s="4076"/>
      <c r="D157" s="4076"/>
      <c r="E157" s="4076"/>
      <c r="F157" s="4076"/>
      <c r="G157" s="4076"/>
      <c r="H157" s="4076"/>
      <c r="I157" s="4076"/>
      <c r="J157" s="4076"/>
      <c r="K157" s="4077"/>
      <c r="L157" s="4078"/>
      <c r="M157" s="4076"/>
      <c r="N157" s="4076"/>
      <c r="O157" s="4076"/>
      <c r="P157" s="4076"/>
      <c r="Q157" s="4076"/>
      <c r="R157" s="4076"/>
      <c r="S157" s="4076"/>
      <c r="T157" s="4076"/>
      <c r="U157" s="4076"/>
      <c r="V157" s="4076"/>
      <c r="W157" s="4076"/>
      <c r="X157" s="4076"/>
      <c r="Y157" s="4076"/>
      <c r="Z157" s="4076"/>
      <c r="AA157" s="4076"/>
      <c r="AB157" s="4076"/>
      <c r="AC157" s="4076"/>
    </row>
    <row r="158" spans="1:29">
      <c r="A158" s="4076"/>
      <c r="B158" s="4076"/>
      <c r="C158" s="4076"/>
      <c r="D158" s="4076"/>
      <c r="E158" s="4076"/>
      <c r="F158" s="4076"/>
      <c r="G158" s="4076"/>
      <c r="H158" s="4076"/>
      <c r="I158" s="4076"/>
      <c r="J158" s="4076"/>
      <c r="K158" s="4077"/>
      <c r="L158" s="4078"/>
      <c r="M158" s="4076"/>
      <c r="N158" s="4076"/>
      <c r="O158" s="4076"/>
      <c r="P158" s="4076"/>
      <c r="Q158" s="4076"/>
      <c r="R158" s="4076"/>
      <c r="S158" s="4076"/>
      <c r="T158" s="4076"/>
      <c r="U158" s="4076"/>
      <c r="V158" s="4076"/>
      <c r="W158" s="4076"/>
      <c r="X158" s="4076"/>
      <c r="Y158" s="4076"/>
      <c r="Z158" s="4076"/>
      <c r="AA158" s="4076"/>
      <c r="AB158" s="4076"/>
      <c r="AC158" s="4076"/>
    </row>
    <row r="159" spans="1:29">
      <c r="A159" s="4076"/>
      <c r="B159" s="4076"/>
      <c r="C159" s="4076"/>
      <c r="D159" s="4076"/>
      <c r="E159" s="4076"/>
      <c r="F159" s="4076"/>
      <c r="G159" s="4076"/>
      <c r="H159" s="4076"/>
      <c r="I159" s="4076"/>
      <c r="J159" s="4076"/>
      <c r="K159" s="4077"/>
      <c r="L159" s="4078"/>
      <c r="M159" s="4076"/>
      <c r="N159" s="4076"/>
      <c r="O159" s="4076"/>
      <c r="P159" s="4076"/>
      <c r="Q159" s="4076"/>
      <c r="R159" s="4076"/>
      <c r="S159" s="4076"/>
      <c r="T159" s="4076"/>
      <c r="U159" s="4076"/>
      <c r="V159" s="4076"/>
      <c r="W159" s="4076"/>
      <c r="X159" s="4076"/>
      <c r="Y159" s="4076"/>
      <c r="Z159" s="4076"/>
      <c r="AA159" s="4076"/>
      <c r="AB159" s="4076"/>
      <c r="AC159" s="4076"/>
    </row>
    <row r="160" spans="1:29">
      <c r="A160" s="4076"/>
      <c r="B160" s="4076"/>
      <c r="C160" s="4076"/>
      <c r="D160" s="4076"/>
      <c r="E160" s="4076"/>
      <c r="F160" s="4076"/>
      <c r="G160" s="4076"/>
      <c r="H160" s="4076"/>
      <c r="I160" s="4076"/>
      <c r="J160" s="4076"/>
      <c r="K160" s="4077"/>
      <c r="L160" s="4078"/>
      <c r="M160" s="4076"/>
      <c r="N160" s="4076"/>
      <c r="O160" s="4076"/>
      <c r="P160" s="4076"/>
      <c r="Q160" s="4076"/>
      <c r="R160" s="4076"/>
      <c r="S160" s="4076"/>
      <c r="T160" s="4076"/>
      <c r="U160" s="4076"/>
      <c r="V160" s="4076"/>
      <c r="W160" s="4076"/>
      <c r="X160" s="4076"/>
      <c r="Y160" s="4076"/>
      <c r="Z160" s="4076"/>
      <c r="AA160" s="4076"/>
      <c r="AB160" s="4076"/>
      <c r="AC160" s="4076"/>
    </row>
    <row r="161" spans="1:29">
      <c r="A161" s="4076"/>
      <c r="B161" s="4076"/>
      <c r="C161" s="4076"/>
      <c r="D161" s="4076"/>
      <c r="E161" s="4076"/>
      <c r="F161" s="4076"/>
      <c r="G161" s="4076"/>
      <c r="H161" s="4076"/>
      <c r="I161" s="4076"/>
      <c r="J161" s="4076"/>
      <c r="K161" s="4077"/>
      <c r="L161" s="4078"/>
      <c r="M161" s="4076"/>
      <c r="N161" s="4076"/>
      <c r="O161" s="4076"/>
      <c r="P161" s="4076"/>
      <c r="Q161" s="4076"/>
      <c r="R161" s="4076"/>
      <c r="S161" s="4076"/>
      <c r="T161" s="4076"/>
      <c r="U161" s="4076"/>
      <c r="V161" s="4076"/>
      <c r="W161" s="4076"/>
      <c r="X161" s="4076"/>
      <c r="Y161" s="4076"/>
      <c r="Z161" s="4076"/>
      <c r="AA161" s="4076"/>
      <c r="AB161" s="4076"/>
      <c r="AC161" s="4076"/>
    </row>
    <row r="162" spans="1:29">
      <c r="A162" s="4076"/>
      <c r="B162" s="4076"/>
      <c r="C162" s="4076"/>
      <c r="D162" s="4076"/>
      <c r="E162" s="4076"/>
      <c r="F162" s="4076"/>
      <c r="G162" s="4076"/>
      <c r="H162" s="4076"/>
      <c r="I162" s="4076"/>
      <c r="J162" s="4076"/>
      <c r="K162" s="4077"/>
      <c r="L162" s="4078"/>
      <c r="M162" s="4076"/>
      <c r="N162" s="4076"/>
      <c r="O162" s="4076"/>
      <c r="P162" s="4076"/>
      <c r="Q162" s="4076"/>
      <c r="R162" s="4076"/>
      <c r="S162" s="4076"/>
      <c r="T162" s="4076"/>
      <c r="U162" s="4076"/>
      <c r="V162" s="4076"/>
      <c r="W162" s="4076"/>
      <c r="X162" s="4076"/>
      <c r="Y162" s="4076"/>
      <c r="Z162" s="4076"/>
      <c r="AA162" s="4076"/>
      <c r="AB162" s="4076"/>
      <c r="AC162" s="4076"/>
    </row>
    <row r="163" spans="1:29">
      <c r="A163" s="4076"/>
      <c r="B163" s="4076"/>
      <c r="C163" s="4076"/>
      <c r="D163" s="4076"/>
      <c r="E163" s="4076"/>
      <c r="F163" s="4076"/>
      <c r="G163" s="4076"/>
      <c r="H163" s="4076"/>
      <c r="I163" s="4076"/>
      <c r="J163" s="4076"/>
      <c r="K163" s="4077"/>
      <c r="L163" s="4078"/>
      <c r="M163" s="4076"/>
      <c r="N163" s="4076"/>
      <c r="O163" s="4076"/>
      <c r="P163" s="4076"/>
      <c r="Q163" s="4076"/>
      <c r="R163" s="4076"/>
      <c r="S163" s="4076"/>
      <c r="T163" s="4076"/>
      <c r="U163" s="4076"/>
      <c r="V163" s="4076"/>
      <c r="W163" s="4076"/>
      <c r="X163" s="4076"/>
      <c r="Y163" s="4076"/>
      <c r="Z163" s="4076"/>
      <c r="AA163" s="4076"/>
      <c r="AB163" s="4076"/>
      <c r="AC163" s="4076"/>
    </row>
    <row r="164" spans="1:29">
      <c r="A164" s="4076"/>
      <c r="B164" s="4076"/>
      <c r="C164" s="4076"/>
      <c r="D164" s="4076"/>
      <c r="E164" s="4076"/>
      <c r="F164" s="4076"/>
      <c r="G164" s="4076"/>
      <c r="H164" s="4076"/>
      <c r="I164" s="4076"/>
      <c r="J164" s="4076"/>
      <c r="K164" s="4077"/>
      <c r="L164" s="4078"/>
      <c r="M164" s="4076"/>
      <c r="N164" s="4076"/>
      <c r="O164" s="4076"/>
      <c r="P164" s="4076"/>
      <c r="Q164" s="4076"/>
      <c r="R164" s="4076"/>
      <c r="S164" s="4076"/>
      <c r="T164" s="4076"/>
      <c r="U164" s="4076"/>
      <c r="V164" s="4076"/>
      <c r="W164" s="4076"/>
      <c r="X164" s="4076"/>
      <c r="Y164" s="4076"/>
      <c r="Z164" s="4076"/>
      <c r="AA164" s="4076"/>
      <c r="AB164" s="4076"/>
      <c r="AC164" s="4076"/>
    </row>
    <row r="165" spans="1:29">
      <c r="A165" s="4076"/>
      <c r="B165" s="4076"/>
      <c r="C165" s="4076"/>
      <c r="D165" s="4076"/>
      <c r="E165" s="4076"/>
      <c r="F165" s="4076"/>
      <c r="G165" s="4076"/>
      <c r="H165" s="4076"/>
      <c r="I165" s="4076"/>
      <c r="J165" s="4076"/>
      <c r="K165" s="4077"/>
      <c r="L165" s="4078"/>
      <c r="M165" s="4076"/>
      <c r="N165" s="4076"/>
      <c r="O165" s="4076"/>
      <c r="P165" s="4076"/>
      <c r="Q165" s="4076"/>
      <c r="R165" s="4076"/>
      <c r="S165" s="4076"/>
      <c r="T165" s="4076"/>
      <c r="U165" s="4076"/>
      <c r="V165" s="4076"/>
      <c r="W165" s="4076"/>
      <c r="X165" s="4076"/>
      <c r="Y165" s="4076"/>
      <c r="Z165" s="4076"/>
      <c r="AA165" s="4076"/>
      <c r="AB165" s="4076"/>
      <c r="AC165" s="4076"/>
    </row>
    <row r="166" spans="1:29">
      <c r="A166" s="4076"/>
      <c r="B166" s="4076"/>
      <c r="C166" s="4076"/>
      <c r="D166" s="4076"/>
      <c r="E166" s="4076"/>
      <c r="F166" s="4076"/>
      <c r="G166" s="4076"/>
      <c r="H166" s="4076"/>
      <c r="I166" s="4076"/>
      <c r="J166" s="4076"/>
      <c r="K166" s="4077"/>
      <c r="L166" s="4078"/>
      <c r="M166" s="4076"/>
      <c r="N166" s="4076"/>
      <c r="O166" s="4076"/>
      <c r="P166" s="4076"/>
      <c r="Q166" s="4076"/>
      <c r="R166" s="4076"/>
      <c r="S166" s="4076"/>
      <c r="T166" s="4076"/>
      <c r="U166" s="4076"/>
      <c r="V166" s="4076"/>
      <c r="W166" s="4076"/>
      <c r="X166" s="4076"/>
      <c r="Y166" s="4076"/>
      <c r="Z166" s="4076"/>
      <c r="AA166" s="4076"/>
      <c r="AB166" s="4076"/>
      <c r="AC166" s="4076"/>
    </row>
    <row r="167" spans="1:29">
      <c r="A167" s="4076"/>
      <c r="B167" s="4076"/>
      <c r="C167" s="4076"/>
      <c r="D167" s="4076"/>
      <c r="E167" s="4076"/>
      <c r="F167" s="4076"/>
      <c r="G167" s="4076"/>
      <c r="H167" s="4076"/>
      <c r="I167" s="4076"/>
      <c r="J167" s="4076"/>
      <c r="K167" s="4077"/>
      <c r="L167" s="4078"/>
      <c r="M167" s="4076"/>
      <c r="N167" s="4076"/>
      <c r="O167" s="4076"/>
      <c r="P167" s="4076"/>
      <c r="Q167" s="4076"/>
      <c r="R167" s="4076"/>
      <c r="S167" s="4076"/>
      <c r="T167" s="4076"/>
      <c r="U167" s="4076"/>
      <c r="V167" s="4076"/>
      <c r="W167" s="4076"/>
      <c r="X167" s="4076"/>
      <c r="Y167" s="4076"/>
      <c r="Z167" s="4076"/>
      <c r="AA167" s="4076"/>
      <c r="AB167" s="4076"/>
      <c r="AC167" s="4076"/>
    </row>
    <row r="168" spans="1:29">
      <c r="A168" s="4076"/>
      <c r="B168" s="4076"/>
      <c r="C168" s="4076"/>
      <c r="D168" s="4076"/>
      <c r="E168" s="4076"/>
      <c r="F168" s="4076"/>
      <c r="G168" s="4076"/>
      <c r="H168" s="4076"/>
      <c r="I168" s="4076"/>
      <c r="J168" s="4076"/>
      <c r="K168" s="4077"/>
      <c r="L168" s="4078"/>
      <c r="M168" s="4076"/>
      <c r="N168" s="4076"/>
      <c r="O168" s="4076"/>
      <c r="P168" s="4076"/>
      <c r="Q168" s="4076"/>
      <c r="R168" s="4076"/>
      <c r="S168" s="4076"/>
      <c r="T168" s="4076"/>
      <c r="U168" s="4076"/>
      <c r="V168" s="4076"/>
      <c r="W168" s="4076"/>
      <c r="X168" s="4076"/>
      <c r="Y168" s="4076"/>
      <c r="Z168" s="4076"/>
      <c r="AA168" s="4076"/>
      <c r="AB168" s="4076"/>
      <c r="AC168" s="4076"/>
    </row>
    <row r="169" spans="1:29">
      <c r="A169" s="4076"/>
      <c r="B169" s="4076"/>
      <c r="C169" s="4076"/>
      <c r="D169" s="4076"/>
      <c r="E169" s="4076"/>
      <c r="F169" s="4076"/>
      <c r="G169" s="4076"/>
      <c r="H169" s="4076"/>
      <c r="I169" s="4076"/>
      <c r="J169" s="4076"/>
      <c r="K169" s="4077"/>
      <c r="L169" s="4078"/>
      <c r="M169" s="4076"/>
      <c r="N169" s="4076"/>
      <c r="O169" s="4076"/>
      <c r="P169" s="4076"/>
      <c r="Q169" s="4076"/>
      <c r="R169" s="4076"/>
      <c r="S169" s="4076"/>
      <c r="T169" s="4076"/>
      <c r="U169" s="4076"/>
      <c r="V169" s="4076"/>
      <c r="W169" s="4076"/>
      <c r="X169" s="4076"/>
      <c r="Y169" s="4076"/>
      <c r="Z169" s="4076"/>
      <c r="AA169" s="4076"/>
      <c r="AB169" s="4076"/>
      <c r="AC169" s="4076"/>
    </row>
    <row r="170" spans="1:29">
      <c r="A170" s="4076"/>
      <c r="B170" s="4076"/>
      <c r="C170" s="4076"/>
      <c r="D170" s="4076"/>
      <c r="E170" s="4076"/>
      <c r="F170" s="4076"/>
      <c r="G170" s="4076"/>
      <c r="H170" s="4076"/>
      <c r="I170" s="4076"/>
      <c r="J170" s="4076"/>
      <c r="K170" s="4077"/>
      <c r="L170" s="4078"/>
      <c r="M170" s="4076"/>
      <c r="N170" s="4076"/>
      <c r="O170" s="4076"/>
      <c r="P170" s="4076"/>
      <c r="Q170" s="4076"/>
      <c r="R170" s="4076"/>
      <c r="S170" s="4076"/>
      <c r="T170" s="4076"/>
      <c r="U170" s="4076"/>
      <c r="V170" s="4076"/>
      <c r="W170" s="4076"/>
      <c r="X170" s="4076"/>
      <c r="Y170" s="4076"/>
      <c r="Z170" s="4076"/>
      <c r="AA170" s="4076"/>
      <c r="AB170" s="4076"/>
      <c r="AC170" s="4076"/>
    </row>
    <row r="171" spans="1:29">
      <c r="A171" s="4076"/>
      <c r="B171" s="4076"/>
      <c r="C171" s="4076"/>
      <c r="D171" s="4076"/>
      <c r="E171" s="4076"/>
      <c r="F171" s="4076"/>
      <c r="G171" s="4076"/>
      <c r="H171" s="4076"/>
      <c r="I171" s="4076"/>
      <c r="J171" s="4076"/>
      <c r="K171" s="4077"/>
      <c r="L171" s="4078"/>
      <c r="M171" s="4076"/>
      <c r="N171" s="4076"/>
      <c r="O171" s="4076"/>
      <c r="P171" s="4076"/>
      <c r="Q171" s="4076"/>
      <c r="R171" s="4076"/>
      <c r="S171" s="4076"/>
      <c r="T171" s="4076"/>
      <c r="U171" s="4076"/>
      <c r="V171" s="4076"/>
      <c r="W171" s="4076"/>
      <c r="X171" s="4076"/>
      <c r="Y171" s="4076"/>
      <c r="Z171" s="4076"/>
      <c r="AA171" s="4076"/>
      <c r="AB171" s="4076"/>
      <c r="AC171" s="4076"/>
    </row>
    <row r="172" spans="1:29">
      <c r="A172" s="4076"/>
      <c r="B172" s="4076"/>
      <c r="C172" s="4076"/>
      <c r="D172" s="4076"/>
      <c r="E172" s="4076"/>
      <c r="F172" s="4076"/>
      <c r="G172" s="4076"/>
      <c r="H172" s="4076"/>
      <c r="I172" s="4076"/>
      <c r="J172" s="4076"/>
      <c r="K172" s="4077"/>
      <c r="L172" s="4078"/>
      <c r="M172" s="4076"/>
      <c r="N172" s="4076"/>
      <c r="O172" s="4076"/>
      <c r="P172" s="4076"/>
      <c r="Q172" s="4076"/>
      <c r="R172" s="4076"/>
      <c r="S172" s="4076"/>
      <c r="T172" s="4076"/>
      <c r="U172" s="4076"/>
      <c r="V172" s="4076"/>
      <c r="W172" s="4076"/>
      <c r="X172" s="4076"/>
      <c r="Y172" s="4076"/>
      <c r="Z172" s="4076"/>
      <c r="AA172" s="4076"/>
      <c r="AB172" s="4076"/>
      <c r="AC172" s="4076"/>
    </row>
    <row r="173" spans="1:29">
      <c r="A173" s="4076"/>
      <c r="B173" s="4076"/>
      <c r="C173" s="4076"/>
      <c r="D173" s="4076"/>
      <c r="E173" s="4076"/>
      <c r="F173" s="4076"/>
      <c r="G173" s="4076"/>
      <c r="H173" s="4076"/>
      <c r="I173" s="4076"/>
      <c r="J173" s="4076"/>
      <c r="K173" s="4077"/>
      <c r="L173" s="4078"/>
      <c r="M173" s="4076"/>
      <c r="N173" s="4076"/>
      <c r="O173" s="4076"/>
      <c r="P173" s="4076"/>
      <c r="Q173" s="4076"/>
      <c r="R173" s="4076"/>
      <c r="S173" s="4076"/>
      <c r="T173" s="4076"/>
      <c r="U173" s="4076"/>
      <c r="V173" s="4076"/>
      <c r="W173" s="4076"/>
      <c r="X173" s="4076"/>
      <c r="Y173" s="4076"/>
      <c r="Z173" s="4076"/>
      <c r="AA173" s="4076"/>
      <c r="AB173" s="4076"/>
      <c r="AC173" s="4076"/>
    </row>
    <row r="174" spans="1:29">
      <c r="A174" s="4076"/>
      <c r="B174" s="4076"/>
      <c r="C174" s="4076"/>
      <c r="D174" s="4076"/>
      <c r="E174" s="4076"/>
      <c r="F174" s="4076"/>
      <c r="G174" s="4076"/>
      <c r="H174" s="4076"/>
      <c r="I174" s="4076"/>
      <c r="J174" s="4076"/>
      <c r="K174" s="4077"/>
      <c r="L174" s="4078"/>
      <c r="M174" s="4076"/>
      <c r="N174" s="4076"/>
      <c r="O174" s="4076"/>
      <c r="P174" s="4076"/>
      <c r="Q174" s="4076"/>
      <c r="R174" s="4076"/>
      <c r="S174" s="4076"/>
      <c r="T174" s="4076"/>
      <c r="U174" s="4076"/>
      <c r="V174" s="4076"/>
      <c r="W174" s="4076"/>
      <c r="X174" s="4076"/>
      <c r="Y174" s="4076"/>
      <c r="Z174" s="4076"/>
      <c r="AA174" s="4076"/>
      <c r="AB174" s="4076"/>
      <c r="AC174" s="4076"/>
    </row>
    <row r="175" spans="1:29">
      <c r="A175" s="4076"/>
      <c r="B175" s="4076"/>
      <c r="C175" s="4076"/>
      <c r="D175" s="4076"/>
      <c r="E175" s="4076"/>
      <c r="F175" s="4076"/>
      <c r="G175" s="4076"/>
      <c r="H175" s="4076"/>
      <c r="I175" s="4076"/>
      <c r="J175" s="4076"/>
      <c r="K175" s="4077"/>
      <c r="L175" s="4078"/>
      <c r="M175" s="4076"/>
      <c r="N175" s="4076"/>
      <c r="O175" s="4076"/>
      <c r="P175" s="4076"/>
      <c r="Q175" s="4076"/>
      <c r="R175" s="4076"/>
      <c r="S175" s="4076"/>
      <c r="T175" s="4076"/>
      <c r="U175" s="4076"/>
      <c r="V175" s="4076"/>
      <c r="W175" s="4076"/>
      <c r="X175" s="4076"/>
      <c r="Y175" s="4076"/>
      <c r="Z175" s="4076"/>
      <c r="AA175" s="4076"/>
      <c r="AB175" s="4076"/>
      <c r="AC175" s="4076"/>
    </row>
    <row r="176" spans="1:29">
      <c r="A176" s="4076"/>
      <c r="B176" s="4076"/>
      <c r="C176" s="4076"/>
      <c r="D176" s="4076"/>
      <c r="E176" s="4076"/>
      <c r="F176" s="4076"/>
      <c r="G176" s="4076"/>
      <c r="H176" s="4076"/>
      <c r="I176" s="4076"/>
      <c r="J176" s="4076"/>
      <c r="K176" s="4077"/>
      <c r="L176" s="4078"/>
      <c r="M176" s="4076"/>
      <c r="N176" s="4076"/>
      <c r="O176" s="4076"/>
      <c r="P176" s="4076"/>
      <c r="Q176" s="4076"/>
      <c r="R176" s="4076"/>
      <c r="S176" s="4076"/>
      <c r="T176" s="4076"/>
      <c r="U176" s="4076"/>
      <c r="V176" s="4076"/>
      <c r="W176" s="4076"/>
      <c r="X176" s="4076"/>
      <c r="Y176" s="4076"/>
      <c r="Z176" s="4076"/>
      <c r="AA176" s="4076"/>
      <c r="AB176" s="4076"/>
      <c r="AC176" s="4076"/>
    </row>
    <row r="177" spans="1:29">
      <c r="A177" s="4076"/>
      <c r="B177" s="4076"/>
      <c r="C177" s="4076"/>
      <c r="D177" s="4076"/>
      <c r="E177" s="4076"/>
      <c r="F177" s="4076"/>
      <c r="G177" s="4076"/>
      <c r="H177" s="4076"/>
      <c r="I177" s="4076"/>
      <c r="J177" s="4076"/>
      <c r="K177" s="4077"/>
      <c r="L177" s="4078"/>
      <c r="M177" s="4076"/>
      <c r="N177" s="4076"/>
      <c r="O177" s="4076"/>
      <c r="P177" s="4076"/>
      <c r="Q177" s="4076"/>
      <c r="R177" s="4076"/>
      <c r="S177" s="4076"/>
      <c r="T177" s="4076"/>
      <c r="U177" s="4076"/>
      <c r="V177" s="4076"/>
      <c r="W177" s="4076"/>
      <c r="X177" s="4076"/>
      <c r="Y177" s="4076"/>
      <c r="Z177" s="4076"/>
      <c r="AA177" s="4076"/>
      <c r="AB177" s="4076"/>
      <c r="AC177" s="4076"/>
    </row>
    <row r="178" spans="1:29">
      <c r="A178" s="4076"/>
      <c r="B178" s="4076"/>
      <c r="C178" s="4076"/>
      <c r="D178" s="4076"/>
      <c r="E178" s="4076"/>
      <c r="F178" s="4076"/>
      <c r="G178" s="4076"/>
      <c r="H178" s="4076"/>
      <c r="I178" s="4076"/>
      <c r="J178" s="4076"/>
      <c r="K178" s="4077"/>
      <c r="L178" s="4078"/>
      <c r="M178" s="4076"/>
      <c r="N178" s="4076"/>
      <c r="O178" s="4076"/>
      <c r="P178" s="4076"/>
      <c r="Q178" s="4076"/>
      <c r="R178" s="4076"/>
      <c r="S178" s="4076"/>
      <c r="T178" s="4076"/>
      <c r="U178" s="4076"/>
      <c r="V178" s="4076"/>
      <c r="W178" s="4076"/>
      <c r="X178" s="4076"/>
      <c r="Y178" s="4076"/>
      <c r="Z178" s="4076"/>
      <c r="AA178" s="4076"/>
      <c r="AB178" s="4076"/>
      <c r="AC178" s="4076"/>
    </row>
    <row r="179" spans="1:29">
      <c r="A179" s="4076"/>
      <c r="B179" s="4076"/>
      <c r="C179" s="4076"/>
      <c r="D179" s="4076"/>
      <c r="E179" s="4076"/>
      <c r="F179" s="4076"/>
      <c r="G179" s="4076"/>
      <c r="H179" s="4076"/>
      <c r="I179" s="4076"/>
      <c r="J179" s="4076"/>
      <c r="K179" s="4077"/>
      <c r="L179" s="4078"/>
      <c r="M179" s="4076"/>
      <c r="N179" s="4076"/>
      <c r="O179" s="4076"/>
      <c r="P179" s="4076"/>
      <c r="Q179" s="4076"/>
      <c r="R179" s="4076"/>
      <c r="S179" s="4076"/>
      <c r="T179" s="4076"/>
      <c r="U179" s="4076"/>
      <c r="V179" s="4076"/>
      <c r="W179" s="4076"/>
      <c r="X179" s="4076"/>
      <c r="Y179" s="4076"/>
      <c r="Z179" s="4076"/>
      <c r="AA179" s="4076"/>
      <c r="AB179" s="4076"/>
      <c r="AC179" s="4076"/>
    </row>
    <row r="180" spans="1:29">
      <c r="A180" s="4076"/>
      <c r="B180" s="4076"/>
      <c r="C180" s="4076"/>
      <c r="D180" s="4076"/>
      <c r="E180" s="4076"/>
      <c r="F180" s="4076"/>
      <c r="G180" s="4076"/>
      <c r="H180" s="4076"/>
      <c r="I180" s="4076"/>
      <c r="J180" s="4076"/>
      <c r="K180" s="4077"/>
      <c r="L180" s="4078"/>
      <c r="M180" s="4076"/>
      <c r="N180" s="4076"/>
      <c r="O180" s="4076"/>
      <c r="P180" s="4076"/>
      <c r="Q180" s="4076"/>
      <c r="R180" s="4076"/>
      <c r="S180" s="4076"/>
      <c r="T180" s="4076"/>
      <c r="U180" s="4076"/>
      <c r="V180" s="4076"/>
      <c r="W180" s="4076"/>
      <c r="X180" s="4076"/>
      <c r="Y180" s="4076"/>
      <c r="Z180" s="4076"/>
      <c r="AA180" s="4076"/>
      <c r="AB180" s="4076"/>
      <c r="AC180" s="4076"/>
    </row>
    <row r="181" spans="1:29">
      <c r="A181" s="4076"/>
      <c r="B181" s="4076"/>
      <c r="C181" s="4076"/>
      <c r="D181" s="4076"/>
      <c r="E181" s="4076"/>
      <c r="F181" s="4076"/>
      <c r="G181" s="4076"/>
      <c r="H181" s="4076"/>
      <c r="I181" s="4076"/>
      <c r="J181" s="4076"/>
      <c r="K181" s="4077"/>
      <c r="L181" s="4078"/>
      <c r="M181" s="4076"/>
      <c r="N181" s="4076"/>
      <c r="O181" s="4076"/>
      <c r="P181" s="4076"/>
      <c r="Q181" s="4076"/>
      <c r="R181" s="4076"/>
      <c r="S181" s="4076"/>
      <c r="T181" s="4076"/>
      <c r="U181" s="4076"/>
      <c r="V181" s="4076"/>
      <c r="W181" s="4076"/>
      <c r="X181" s="4076"/>
      <c r="Y181" s="4076"/>
      <c r="Z181" s="4076"/>
      <c r="AA181" s="4076"/>
      <c r="AB181" s="4076"/>
      <c r="AC181" s="4076"/>
    </row>
    <row r="182" spans="1:29">
      <c r="A182" s="4076"/>
      <c r="B182" s="4076"/>
      <c r="C182" s="4076"/>
      <c r="D182" s="4076"/>
      <c r="E182" s="4076"/>
      <c r="F182" s="4076"/>
      <c r="G182" s="4076"/>
      <c r="H182" s="4076"/>
      <c r="I182" s="4076"/>
      <c r="J182" s="4076"/>
      <c r="K182" s="4077"/>
      <c r="L182" s="4078"/>
      <c r="M182" s="4076"/>
      <c r="N182" s="4076"/>
      <c r="O182" s="4076"/>
      <c r="P182" s="4076"/>
      <c r="Q182" s="4076"/>
      <c r="R182" s="4076"/>
      <c r="S182" s="4076"/>
      <c r="T182" s="4076"/>
      <c r="U182" s="4076"/>
      <c r="V182" s="4076"/>
      <c r="W182" s="4076"/>
      <c r="X182" s="4076"/>
      <c r="Y182" s="4076"/>
      <c r="Z182" s="4076"/>
      <c r="AA182" s="4076"/>
      <c r="AB182" s="4076"/>
      <c r="AC182" s="4076"/>
    </row>
    <row r="183" spans="1:29">
      <c r="A183" s="4076"/>
      <c r="B183" s="4076"/>
      <c r="C183" s="4076"/>
      <c r="D183" s="4076"/>
      <c r="E183" s="4076"/>
      <c r="F183" s="4076"/>
      <c r="G183" s="4076"/>
      <c r="H183" s="4076"/>
      <c r="I183" s="4076"/>
      <c r="J183" s="4076"/>
      <c r="K183" s="4077"/>
      <c r="L183" s="4078"/>
      <c r="M183" s="4076"/>
      <c r="N183" s="4076"/>
      <c r="O183" s="4076"/>
      <c r="P183" s="4076"/>
      <c r="Q183" s="4076"/>
      <c r="R183" s="4076"/>
      <c r="S183" s="4076"/>
      <c r="T183" s="4076"/>
      <c r="U183" s="4076"/>
      <c r="V183" s="4076"/>
      <c r="W183" s="4076"/>
      <c r="X183" s="4076"/>
      <c r="Y183" s="4076"/>
      <c r="Z183" s="4076"/>
      <c r="AA183" s="4076"/>
      <c r="AB183" s="4076"/>
      <c r="AC183" s="4076"/>
    </row>
    <row r="184" spans="1:29">
      <c r="A184" s="4076"/>
      <c r="B184" s="4076"/>
      <c r="C184" s="4076"/>
      <c r="D184" s="4076"/>
      <c r="E184" s="4076"/>
      <c r="F184" s="4076"/>
      <c r="G184" s="4076"/>
      <c r="H184" s="4076"/>
      <c r="I184" s="4076"/>
      <c r="J184" s="4076"/>
      <c r="K184" s="4077"/>
      <c r="L184" s="4078"/>
      <c r="M184" s="4076"/>
      <c r="N184" s="4076"/>
      <c r="O184" s="4076"/>
      <c r="P184" s="4076"/>
      <c r="Q184" s="4076"/>
      <c r="R184" s="4076"/>
      <c r="S184" s="4076"/>
      <c r="T184" s="4076"/>
      <c r="U184" s="4076"/>
      <c r="V184" s="4076"/>
      <c r="W184" s="4076"/>
      <c r="X184" s="4076"/>
      <c r="Y184" s="4076"/>
      <c r="Z184" s="4076"/>
      <c r="AA184" s="4076"/>
      <c r="AB184" s="4076"/>
      <c r="AC184" s="4076"/>
    </row>
    <row r="185" spans="1:29">
      <c r="A185" s="4076"/>
      <c r="B185" s="4076"/>
      <c r="C185" s="4076"/>
      <c r="D185" s="4076"/>
      <c r="E185" s="4076"/>
      <c r="F185" s="4076"/>
      <c r="G185" s="4076"/>
      <c r="H185" s="4076"/>
      <c r="I185" s="4076"/>
      <c r="J185" s="4076"/>
      <c r="K185" s="4077"/>
      <c r="L185" s="4078"/>
      <c r="M185" s="4076"/>
      <c r="N185" s="4076"/>
      <c r="O185" s="4076"/>
      <c r="P185" s="4076"/>
      <c r="Q185" s="4076"/>
      <c r="R185" s="4076"/>
      <c r="S185" s="4076"/>
      <c r="T185" s="4076"/>
      <c r="U185" s="4076"/>
      <c r="V185" s="4076"/>
      <c r="W185" s="4076"/>
      <c r="X185" s="4076"/>
      <c r="Y185" s="4076"/>
      <c r="Z185" s="4076"/>
      <c r="AA185" s="4076"/>
      <c r="AB185" s="4076"/>
      <c r="AC185" s="4076"/>
    </row>
    <row r="186" spans="1:29">
      <c r="A186" s="4076"/>
      <c r="B186" s="4076"/>
      <c r="C186" s="4076"/>
      <c r="D186" s="4076"/>
      <c r="E186" s="4076"/>
      <c r="F186" s="4076"/>
      <c r="G186" s="4076"/>
      <c r="H186" s="4076"/>
      <c r="I186" s="4076"/>
      <c r="J186" s="4076"/>
      <c r="K186" s="4077"/>
      <c r="L186" s="4078"/>
      <c r="M186" s="4076"/>
      <c r="N186" s="4076"/>
      <c r="O186" s="4076"/>
      <c r="P186" s="4076"/>
      <c r="Q186" s="4076"/>
      <c r="R186" s="4076"/>
      <c r="S186" s="4076"/>
      <c r="T186" s="4076"/>
      <c r="U186" s="4076"/>
      <c r="V186" s="4076"/>
      <c r="W186" s="4076"/>
      <c r="X186" s="4076"/>
      <c r="Y186" s="4076"/>
      <c r="Z186" s="4076"/>
      <c r="AA186" s="4076"/>
      <c r="AB186" s="4076"/>
      <c r="AC186" s="4076"/>
    </row>
    <row r="187" spans="1:29">
      <c r="A187" s="4076"/>
      <c r="B187" s="4076"/>
      <c r="C187" s="4076"/>
      <c r="D187" s="4076"/>
      <c r="E187" s="4076"/>
      <c r="F187" s="4076"/>
      <c r="G187" s="4076"/>
      <c r="H187" s="4076"/>
      <c r="I187" s="4076"/>
      <c r="J187" s="4076"/>
      <c r="K187" s="4077"/>
      <c r="L187" s="4078"/>
      <c r="M187" s="4076"/>
      <c r="N187" s="4076"/>
      <c r="O187" s="4076"/>
      <c r="P187" s="4076"/>
      <c r="Q187" s="4076"/>
      <c r="R187" s="4076"/>
      <c r="S187" s="4076"/>
      <c r="T187" s="4076"/>
      <c r="U187" s="4076"/>
      <c r="V187" s="4076"/>
      <c r="W187" s="4076"/>
      <c r="X187" s="4076"/>
      <c r="Y187" s="4076"/>
      <c r="Z187" s="4076"/>
      <c r="AA187" s="4076"/>
      <c r="AB187" s="4076"/>
      <c r="AC187" s="4076"/>
    </row>
    <row r="188" spans="1:29">
      <c r="A188" s="4076"/>
      <c r="B188" s="4076"/>
      <c r="C188" s="4076"/>
      <c r="D188" s="4076"/>
      <c r="E188" s="4076"/>
      <c r="F188" s="4076"/>
      <c r="G188" s="4076"/>
      <c r="H188" s="4076"/>
      <c r="I188" s="4076"/>
      <c r="J188" s="4076"/>
      <c r="K188" s="4077"/>
      <c r="L188" s="4078"/>
      <c r="M188" s="4076"/>
      <c r="N188" s="4076"/>
      <c r="O188" s="4076"/>
      <c r="P188" s="4076"/>
      <c r="Q188" s="4076"/>
      <c r="R188" s="4076"/>
      <c r="S188" s="4076"/>
      <c r="T188" s="4076"/>
      <c r="U188" s="4076"/>
      <c r="V188" s="4076"/>
      <c r="W188" s="4076"/>
      <c r="X188" s="4076"/>
      <c r="Y188" s="4076"/>
      <c r="Z188" s="4076"/>
      <c r="AA188" s="4076"/>
      <c r="AB188" s="4076"/>
      <c r="AC188" s="4076"/>
    </row>
    <row r="189" spans="1:29">
      <c r="A189" s="4076"/>
      <c r="B189" s="4076"/>
      <c r="C189" s="4076"/>
      <c r="D189" s="4076"/>
      <c r="E189" s="4076"/>
      <c r="F189" s="4076"/>
      <c r="G189" s="4076"/>
      <c r="H189" s="4076"/>
      <c r="I189" s="4076"/>
      <c r="J189" s="4076"/>
      <c r="K189" s="4077"/>
      <c r="L189" s="4078"/>
      <c r="M189" s="4076"/>
      <c r="N189" s="4076"/>
      <c r="O189" s="4076"/>
      <c r="P189" s="4076"/>
      <c r="Q189" s="4076"/>
      <c r="R189" s="4076"/>
      <c r="S189" s="4076"/>
      <c r="T189" s="4076"/>
      <c r="U189" s="4076"/>
      <c r="V189" s="4076"/>
      <c r="W189" s="4076"/>
      <c r="X189" s="4076"/>
      <c r="Y189" s="4076"/>
      <c r="Z189" s="4076"/>
      <c r="AA189" s="4076"/>
      <c r="AB189" s="4076"/>
      <c r="AC189" s="4076"/>
    </row>
    <row r="190" spans="1:29">
      <c r="A190" s="4076"/>
      <c r="B190" s="4076"/>
      <c r="C190" s="4076"/>
      <c r="D190" s="4076"/>
      <c r="E190" s="4076"/>
      <c r="F190" s="4076"/>
      <c r="G190" s="4076"/>
      <c r="H190" s="4076"/>
      <c r="I190" s="4076"/>
      <c r="J190" s="4076"/>
      <c r="K190" s="4077"/>
      <c r="L190" s="4078"/>
      <c r="M190" s="4076"/>
      <c r="N190" s="4076"/>
      <c r="O190" s="4076"/>
      <c r="P190" s="4076"/>
      <c r="Q190" s="4076"/>
      <c r="R190" s="4076"/>
      <c r="S190" s="4076"/>
      <c r="T190" s="4076"/>
      <c r="U190" s="4076"/>
      <c r="V190" s="4076"/>
      <c r="W190" s="4076"/>
      <c r="X190" s="4076"/>
      <c r="Y190" s="4076"/>
      <c r="Z190" s="4076"/>
      <c r="AA190" s="4076"/>
      <c r="AB190" s="4076"/>
      <c r="AC190" s="4076"/>
    </row>
    <row r="191" spans="1:29">
      <c r="A191" s="4076"/>
      <c r="B191" s="4076"/>
      <c r="C191" s="4076"/>
      <c r="D191" s="4076"/>
      <c r="E191" s="4076"/>
      <c r="F191" s="4076"/>
      <c r="G191" s="4076"/>
      <c r="H191" s="4076"/>
      <c r="I191" s="4076"/>
      <c r="J191" s="4076"/>
      <c r="K191" s="4077"/>
      <c r="L191" s="4078"/>
      <c r="M191" s="4076"/>
      <c r="N191" s="4076"/>
      <c r="O191" s="4076"/>
      <c r="P191" s="4076"/>
      <c r="Q191" s="4076"/>
      <c r="R191" s="4076"/>
      <c r="S191" s="4076"/>
      <c r="T191" s="4076"/>
      <c r="U191" s="4076"/>
      <c r="V191" s="4076"/>
      <c r="W191" s="4076"/>
      <c r="X191" s="4076"/>
      <c r="Y191" s="4076"/>
      <c r="Z191" s="4076"/>
      <c r="AA191" s="4076"/>
      <c r="AB191" s="4076"/>
      <c r="AC191" s="4076"/>
    </row>
    <row r="192" spans="1:29">
      <c r="A192" s="4076"/>
      <c r="B192" s="4076"/>
      <c r="C192" s="4076"/>
      <c r="D192" s="4076"/>
      <c r="E192" s="4076"/>
      <c r="F192" s="4076"/>
      <c r="G192" s="4076"/>
      <c r="H192" s="4076"/>
      <c r="I192" s="4076"/>
      <c r="J192" s="4076"/>
      <c r="K192" s="4077"/>
      <c r="L192" s="4078"/>
      <c r="M192" s="4076"/>
      <c r="N192" s="4076"/>
      <c r="O192" s="4076"/>
      <c r="P192" s="4076"/>
      <c r="Q192" s="4076"/>
      <c r="R192" s="4076"/>
      <c r="S192" s="4076"/>
      <c r="T192" s="4076"/>
      <c r="U192" s="4076"/>
      <c r="V192" s="4076"/>
      <c r="W192" s="4076"/>
      <c r="X192" s="4076"/>
      <c r="Y192" s="4076"/>
      <c r="Z192" s="4076"/>
      <c r="AA192" s="4076"/>
      <c r="AB192" s="4076"/>
      <c r="AC192" s="4076"/>
    </row>
    <row r="193" spans="1:29">
      <c r="A193" s="4076"/>
      <c r="B193" s="4076"/>
      <c r="C193" s="4076"/>
      <c r="D193" s="4076"/>
      <c r="E193" s="4076"/>
      <c r="F193" s="4076"/>
      <c r="G193" s="4076"/>
      <c r="H193" s="4076"/>
      <c r="I193" s="4076"/>
      <c r="J193" s="4076"/>
      <c r="K193" s="4077"/>
      <c r="L193" s="4078"/>
      <c r="M193" s="4076"/>
      <c r="N193" s="4076"/>
      <c r="O193" s="4076"/>
      <c r="P193" s="4076"/>
      <c r="Q193" s="4076"/>
      <c r="R193" s="4076"/>
      <c r="S193" s="4076"/>
      <c r="T193" s="4076"/>
      <c r="U193" s="4076"/>
      <c r="V193" s="4076"/>
      <c r="W193" s="4076"/>
      <c r="X193" s="4076"/>
      <c r="Y193" s="4076"/>
      <c r="Z193" s="4076"/>
      <c r="AA193" s="4076"/>
      <c r="AB193" s="4076"/>
      <c r="AC193" s="4076"/>
    </row>
    <row r="194" spans="1:29">
      <c r="A194" s="4076"/>
      <c r="B194" s="4076"/>
      <c r="C194" s="4076"/>
      <c r="D194" s="4076"/>
      <c r="E194" s="4076"/>
      <c r="F194" s="4076"/>
      <c r="G194" s="4076"/>
      <c r="H194" s="4076"/>
      <c r="I194" s="4076"/>
      <c r="J194" s="4076"/>
      <c r="K194" s="4077"/>
      <c r="L194" s="4078"/>
      <c r="M194" s="4076"/>
      <c r="N194" s="4076"/>
      <c r="O194" s="4076"/>
      <c r="P194" s="4076"/>
      <c r="Q194" s="4076"/>
      <c r="R194" s="4076"/>
      <c r="S194" s="4076"/>
      <c r="T194" s="4076"/>
      <c r="U194" s="4076"/>
      <c r="V194" s="4076"/>
      <c r="W194" s="4076"/>
      <c r="X194" s="4076"/>
      <c r="Y194" s="4076"/>
      <c r="Z194" s="4076"/>
      <c r="AA194" s="4076"/>
      <c r="AB194" s="4076"/>
      <c r="AC194" s="4076"/>
    </row>
    <row r="195" spans="1:29">
      <c r="A195" s="4076"/>
      <c r="B195" s="4076"/>
      <c r="C195" s="4076"/>
      <c r="D195" s="4076"/>
      <c r="E195" s="4076"/>
      <c r="F195" s="4076"/>
      <c r="G195" s="4076"/>
      <c r="H195" s="4076"/>
      <c r="I195" s="4076"/>
      <c r="J195" s="4076"/>
      <c r="K195" s="4077"/>
      <c r="L195" s="4078"/>
      <c r="M195" s="4076"/>
      <c r="N195" s="4076"/>
      <c r="O195" s="4076"/>
      <c r="P195" s="4076"/>
      <c r="Q195" s="4076"/>
      <c r="R195" s="4076"/>
      <c r="S195" s="4076"/>
      <c r="T195" s="4076"/>
      <c r="U195" s="4076"/>
      <c r="V195" s="4076"/>
      <c r="W195" s="4076"/>
      <c r="X195" s="4076"/>
      <c r="Y195" s="4076"/>
      <c r="Z195" s="4076"/>
      <c r="AA195" s="4076"/>
      <c r="AB195" s="4076"/>
      <c r="AC195" s="4076"/>
    </row>
    <row r="196" spans="1:29">
      <c r="A196" s="4076"/>
      <c r="B196" s="4076"/>
      <c r="C196" s="4076"/>
      <c r="D196" s="4076"/>
      <c r="E196" s="4076"/>
      <c r="F196" s="4076"/>
      <c r="G196" s="4076"/>
      <c r="H196" s="4076"/>
      <c r="I196" s="4076"/>
      <c r="J196" s="4076"/>
      <c r="K196" s="4077"/>
      <c r="L196" s="4078"/>
      <c r="M196" s="4076"/>
      <c r="N196" s="4076"/>
      <c r="O196" s="4076"/>
      <c r="P196" s="4076"/>
      <c r="Q196" s="4076"/>
      <c r="R196" s="4076"/>
      <c r="S196" s="4076"/>
      <c r="T196" s="4076"/>
      <c r="U196" s="4076"/>
      <c r="V196" s="4076"/>
      <c r="W196" s="4076"/>
      <c r="X196" s="4076"/>
      <c r="Y196" s="4076"/>
      <c r="Z196" s="4076"/>
      <c r="AA196" s="4076"/>
      <c r="AB196" s="4076"/>
      <c r="AC196" s="4076"/>
    </row>
    <row r="197" spans="1:29">
      <c r="A197" s="4076"/>
      <c r="B197" s="4076"/>
      <c r="C197" s="4076"/>
      <c r="D197" s="4076"/>
      <c r="E197" s="4076"/>
      <c r="F197" s="4076"/>
      <c r="G197" s="4076"/>
      <c r="H197" s="4076"/>
      <c r="I197" s="4076"/>
      <c r="J197" s="4076"/>
      <c r="K197" s="4077"/>
      <c r="L197" s="4078"/>
      <c r="M197" s="4076"/>
      <c r="N197" s="4076"/>
      <c r="O197" s="4076"/>
      <c r="P197" s="4076"/>
      <c r="Q197" s="4076"/>
      <c r="R197" s="4076"/>
      <c r="S197" s="4076"/>
      <c r="T197" s="4076"/>
      <c r="U197" s="4076"/>
      <c r="V197" s="4076"/>
      <c r="W197" s="4076"/>
      <c r="X197" s="4076"/>
      <c r="Y197" s="4076"/>
      <c r="Z197" s="4076"/>
      <c r="AA197" s="4076"/>
      <c r="AB197" s="4076"/>
      <c r="AC197" s="4076"/>
    </row>
    <row r="198" spans="1:29">
      <c r="A198" s="4076"/>
      <c r="B198" s="4076"/>
      <c r="C198" s="4076"/>
      <c r="D198" s="4076"/>
      <c r="E198" s="4076"/>
      <c r="F198" s="4076"/>
      <c r="G198" s="4076"/>
      <c r="H198" s="4076"/>
      <c r="I198" s="4076"/>
      <c r="J198" s="4076"/>
      <c r="K198" s="4077"/>
      <c r="L198" s="4078"/>
      <c r="M198" s="4076"/>
      <c r="N198" s="4076"/>
      <c r="O198" s="4076"/>
      <c r="P198" s="4076"/>
      <c r="Q198" s="4076"/>
      <c r="R198" s="4076"/>
      <c r="S198" s="4076"/>
      <c r="T198" s="4076"/>
      <c r="U198" s="4076"/>
      <c r="V198" s="4076"/>
      <c r="W198" s="4076"/>
      <c r="X198" s="4076"/>
      <c r="Y198" s="4076"/>
      <c r="Z198" s="4076"/>
      <c r="AA198" s="4076"/>
      <c r="AB198" s="4076"/>
      <c r="AC198" s="4076"/>
    </row>
    <row r="199" spans="1:29">
      <c r="A199" s="4076"/>
      <c r="B199" s="4076"/>
      <c r="C199" s="4076"/>
      <c r="D199" s="4076"/>
      <c r="E199" s="4076"/>
      <c r="F199" s="4076"/>
      <c r="G199" s="4076"/>
      <c r="H199" s="4076"/>
      <c r="I199" s="4076"/>
      <c r="J199" s="4076"/>
      <c r="K199" s="4077"/>
      <c r="L199" s="4078"/>
      <c r="M199" s="4076"/>
      <c r="N199" s="4076"/>
      <c r="O199" s="4076"/>
      <c r="P199" s="4076"/>
      <c r="Q199" s="4076"/>
      <c r="R199" s="4076"/>
      <c r="S199" s="4076"/>
      <c r="T199" s="4076"/>
      <c r="U199" s="4076"/>
      <c r="V199" s="4076"/>
      <c r="W199" s="4076"/>
      <c r="X199" s="4076"/>
      <c r="Y199" s="4076"/>
      <c r="Z199" s="4076"/>
      <c r="AA199" s="4076"/>
      <c r="AB199" s="4076"/>
      <c r="AC199" s="4076"/>
    </row>
    <row r="200" spans="1:29">
      <c r="A200" s="4076"/>
      <c r="B200" s="4076"/>
      <c r="C200" s="4076"/>
      <c r="D200" s="4076"/>
      <c r="E200" s="4076"/>
      <c r="F200" s="4076"/>
      <c r="G200" s="4076"/>
      <c r="H200" s="4076"/>
      <c r="I200" s="4076"/>
      <c r="J200" s="4076"/>
      <c r="K200" s="4077"/>
      <c r="L200" s="4078"/>
      <c r="M200" s="4076"/>
      <c r="N200" s="4076"/>
      <c r="O200" s="4076"/>
      <c r="P200" s="4076"/>
      <c r="Q200" s="4076"/>
      <c r="R200" s="4076"/>
      <c r="S200" s="4076"/>
      <c r="T200" s="4076"/>
      <c r="U200" s="4076"/>
      <c r="V200" s="4076"/>
      <c r="W200" s="4076"/>
      <c r="X200" s="4076"/>
      <c r="Y200" s="4076"/>
      <c r="Z200" s="4076"/>
      <c r="AA200" s="4076"/>
      <c r="AB200" s="4076"/>
      <c r="AC200" s="4076"/>
    </row>
    <row r="201" spans="1:29">
      <c r="A201" s="4076"/>
      <c r="B201" s="4076"/>
      <c r="C201" s="4076"/>
      <c r="D201" s="4076"/>
      <c r="E201" s="4076"/>
      <c r="F201" s="4076"/>
      <c r="G201" s="4076"/>
      <c r="H201" s="4076"/>
      <c r="I201" s="4076"/>
      <c r="J201" s="4076"/>
      <c r="K201" s="4077"/>
      <c r="L201" s="4078"/>
      <c r="M201" s="4076"/>
      <c r="N201" s="4076"/>
      <c r="O201" s="4076"/>
      <c r="P201" s="4076"/>
      <c r="Q201" s="4076"/>
      <c r="R201" s="4076"/>
      <c r="S201" s="4076"/>
      <c r="T201" s="4076"/>
      <c r="U201" s="4076"/>
      <c r="V201" s="4076"/>
      <c r="W201" s="4076"/>
      <c r="X201" s="4076"/>
      <c r="Y201" s="4076"/>
      <c r="Z201" s="4076"/>
      <c r="AA201" s="4076"/>
      <c r="AB201" s="4076"/>
      <c r="AC201" s="4076"/>
    </row>
    <row r="202" spans="1:29">
      <c r="A202" s="4076"/>
      <c r="B202" s="4076"/>
      <c r="C202" s="4076"/>
      <c r="D202" s="4076"/>
      <c r="E202" s="4076"/>
      <c r="F202" s="4076"/>
      <c r="G202" s="4076"/>
      <c r="H202" s="4076"/>
      <c r="I202" s="4076"/>
      <c r="J202" s="4076"/>
      <c r="K202" s="4077"/>
      <c r="L202" s="4078"/>
      <c r="M202" s="4076"/>
      <c r="N202" s="4076"/>
      <c r="O202" s="4076"/>
      <c r="P202" s="4076"/>
      <c r="Q202" s="4076"/>
      <c r="R202" s="4076"/>
      <c r="S202" s="4076"/>
      <c r="T202" s="4076"/>
      <c r="U202" s="4076"/>
      <c r="V202" s="4076"/>
      <c r="W202" s="4076"/>
      <c r="X202" s="4076"/>
      <c r="Y202" s="4076"/>
      <c r="Z202" s="4076"/>
      <c r="AA202" s="4076"/>
      <c r="AB202" s="4076"/>
      <c r="AC202" s="4076"/>
    </row>
    <row r="203" spans="1:29">
      <c r="A203" s="4076"/>
      <c r="B203" s="4076"/>
      <c r="C203" s="4076"/>
      <c r="D203" s="4076"/>
      <c r="E203" s="4076"/>
      <c r="F203" s="4076"/>
      <c r="G203" s="4076"/>
      <c r="H203" s="4076"/>
      <c r="I203" s="4076"/>
      <c r="J203" s="4076"/>
      <c r="K203" s="4077"/>
      <c r="L203" s="4078"/>
      <c r="M203" s="4076"/>
      <c r="N203" s="4076"/>
      <c r="O203" s="4076"/>
      <c r="P203" s="4076"/>
      <c r="Q203" s="4076"/>
      <c r="R203" s="4076"/>
      <c r="S203" s="4076"/>
      <c r="T203" s="4076"/>
      <c r="U203" s="4076"/>
      <c r="V203" s="4076"/>
      <c r="W203" s="4076"/>
      <c r="X203" s="4076"/>
      <c r="Y203" s="4076"/>
      <c r="Z203" s="4076"/>
      <c r="AA203" s="4076"/>
      <c r="AB203" s="4076"/>
      <c r="AC203" s="4076"/>
    </row>
    <row r="204" spans="1:29">
      <c r="A204" s="4076"/>
      <c r="B204" s="4076"/>
      <c r="C204" s="4076"/>
      <c r="D204" s="4076"/>
      <c r="E204" s="4076"/>
      <c r="F204" s="4076"/>
      <c r="G204" s="4076"/>
      <c r="H204" s="4076"/>
      <c r="I204" s="4076"/>
      <c r="J204" s="4076"/>
      <c r="K204" s="4077"/>
      <c r="L204" s="4078"/>
      <c r="M204" s="4076"/>
      <c r="N204" s="4076"/>
      <c r="O204" s="4076"/>
      <c r="P204" s="4076"/>
      <c r="Q204" s="4076"/>
      <c r="R204" s="4076"/>
      <c r="S204" s="4076"/>
      <c r="T204" s="4076"/>
      <c r="U204" s="4076"/>
      <c r="V204" s="4076"/>
      <c r="W204" s="4076"/>
      <c r="X204" s="4076"/>
      <c r="Y204" s="4076"/>
      <c r="Z204" s="4076"/>
      <c r="AA204" s="4076"/>
      <c r="AB204" s="4076"/>
      <c r="AC204" s="4076"/>
    </row>
    <row r="205" spans="1:29">
      <c r="A205" s="4076"/>
      <c r="B205" s="4076"/>
      <c r="C205" s="4076"/>
      <c r="D205" s="4076"/>
      <c r="E205" s="4076"/>
      <c r="F205" s="4076"/>
      <c r="G205" s="4076"/>
      <c r="H205" s="4076"/>
      <c r="I205" s="4076"/>
      <c r="J205" s="4076"/>
      <c r="K205" s="4077"/>
      <c r="L205" s="4078"/>
      <c r="M205" s="4076"/>
      <c r="N205" s="4076"/>
      <c r="O205" s="4076"/>
      <c r="P205" s="4076"/>
      <c r="Q205" s="4076"/>
      <c r="R205" s="4076"/>
      <c r="S205" s="4076"/>
      <c r="T205" s="4076"/>
      <c r="U205" s="4076"/>
      <c r="V205" s="4076"/>
      <c r="W205" s="4076"/>
      <c r="X205" s="4076"/>
      <c r="Y205" s="4076"/>
      <c r="Z205" s="4076"/>
      <c r="AA205" s="4076"/>
      <c r="AB205" s="4076"/>
      <c r="AC205" s="4076"/>
    </row>
    <row r="206" spans="1:29">
      <c r="A206" s="4076"/>
      <c r="B206" s="4076"/>
      <c r="C206" s="4076"/>
      <c r="D206" s="4076"/>
      <c r="E206" s="4076"/>
      <c r="F206" s="4076"/>
      <c r="G206" s="4076"/>
      <c r="H206" s="4076"/>
      <c r="I206" s="4076"/>
      <c r="J206" s="4076"/>
      <c r="K206" s="4077"/>
      <c r="L206" s="4078"/>
      <c r="M206" s="4076"/>
      <c r="N206" s="4076"/>
      <c r="O206" s="4076"/>
      <c r="P206" s="4076"/>
      <c r="Q206" s="4076"/>
      <c r="R206" s="4076"/>
      <c r="S206" s="4076"/>
      <c r="T206" s="4076"/>
      <c r="U206" s="4076"/>
      <c r="V206" s="4076"/>
      <c r="W206" s="4076"/>
      <c r="X206" s="4076"/>
      <c r="Y206" s="4076"/>
      <c r="Z206" s="4076"/>
      <c r="AA206" s="4076"/>
      <c r="AB206" s="4076"/>
      <c r="AC206" s="4076"/>
    </row>
    <row r="207" spans="1:29">
      <c r="A207" s="4076"/>
      <c r="B207" s="4076"/>
      <c r="C207" s="4076"/>
      <c r="D207" s="4076"/>
      <c r="E207" s="4076"/>
      <c r="F207" s="4076"/>
      <c r="G207" s="4076"/>
      <c r="H207" s="4076"/>
      <c r="I207" s="4076"/>
      <c r="J207" s="4076"/>
      <c r="K207" s="4077"/>
      <c r="L207" s="4078"/>
      <c r="M207" s="4076"/>
      <c r="N207" s="4076"/>
      <c r="O207" s="4076"/>
      <c r="P207" s="4076"/>
      <c r="Q207" s="4076"/>
      <c r="R207" s="4076"/>
      <c r="S207" s="4076"/>
      <c r="T207" s="4076"/>
      <c r="U207" s="4076"/>
      <c r="V207" s="4076"/>
      <c r="W207" s="4076"/>
      <c r="X207" s="4076"/>
      <c r="Y207" s="4076"/>
      <c r="Z207" s="4076"/>
      <c r="AA207" s="4076"/>
      <c r="AB207" s="4076"/>
      <c r="AC207" s="4076"/>
    </row>
    <row r="208" spans="1:29">
      <c r="A208" s="4076"/>
      <c r="B208" s="4076"/>
      <c r="C208" s="4076"/>
      <c r="D208" s="4076"/>
      <c r="E208" s="4076"/>
      <c r="F208" s="4076"/>
      <c r="G208" s="4076"/>
      <c r="H208" s="4076"/>
      <c r="I208" s="4076"/>
      <c r="J208" s="4076"/>
      <c r="K208" s="4077"/>
      <c r="L208" s="4078"/>
      <c r="M208" s="4076"/>
      <c r="N208" s="4076"/>
      <c r="O208" s="4076"/>
      <c r="P208" s="4076"/>
      <c r="Q208" s="4076"/>
      <c r="R208" s="4076"/>
      <c r="S208" s="4076"/>
      <c r="T208" s="4076"/>
      <c r="U208" s="4076"/>
      <c r="V208" s="4076"/>
      <c r="W208" s="4076"/>
      <c r="X208" s="4076"/>
      <c r="Y208" s="4076"/>
      <c r="Z208" s="4076"/>
      <c r="AA208" s="4076"/>
      <c r="AB208" s="4076"/>
      <c r="AC208" s="4076"/>
    </row>
    <row r="209" spans="1:29">
      <c r="A209" s="4076"/>
      <c r="B209" s="4076"/>
      <c r="C209" s="4076"/>
      <c r="D209" s="4076"/>
      <c r="E209" s="4076"/>
      <c r="F209" s="4076"/>
      <c r="G209" s="4076"/>
      <c r="H209" s="4076"/>
      <c r="I209" s="4076"/>
      <c r="J209" s="4076"/>
      <c r="K209" s="4077"/>
      <c r="L209" s="4078"/>
      <c r="M209" s="4076"/>
      <c r="N209" s="4076"/>
      <c r="O209" s="4076"/>
      <c r="P209" s="4076"/>
      <c r="Q209" s="4076"/>
      <c r="R209" s="4076"/>
      <c r="S209" s="4076"/>
      <c r="T209" s="4076"/>
      <c r="U209" s="4076"/>
      <c r="V209" s="4076"/>
      <c r="W209" s="4076"/>
      <c r="X209" s="4076"/>
      <c r="Y209" s="4076"/>
      <c r="Z209" s="4076"/>
      <c r="AA209" s="4076"/>
      <c r="AB209" s="4076"/>
      <c r="AC209" s="4076"/>
    </row>
    <row r="210" spans="1:29">
      <c r="A210" s="4076"/>
      <c r="B210" s="4076"/>
      <c r="C210" s="4076"/>
      <c r="D210" s="4076"/>
      <c r="E210" s="4076"/>
      <c r="F210" s="4076"/>
      <c r="G210" s="4076"/>
      <c r="H210" s="4076"/>
      <c r="I210" s="4076"/>
      <c r="J210" s="4076"/>
      <c r="K210" s="4077"/>
      <c r="L210" s="4078"/>
      <c r="M210" s="4076"/>
      <c r="N210" s="4076"/>
      <c r="O210" s="4076"/>
      <c r="P210" s="4076"/>
      <c r="Q210" s="4076"/>
      <c r="R210" s="4076"/>
      <c r="S210" s="4076"/>
      <c r="T210" s="4076"/>
      <c r="U210" s="4076"/>
      <c r="V210" s="4076"/>
      <c r="W210" s="4076"/>
      <c r="X210" s="4076"/>
      <c r="Y210" s="4076"/>
      <c r="Z210" s="4076"/>
      <c r="AA210" s="4076"/>
      <c r="AB210" s="4076"/>
      <c r="AC210" s="4076"/>
    </row>
    <row r="211" spans="1:29">
      <c r="A211" s="4076"/>
      <c r="B211" s="4076"/>
      <c r="C211" s="4076"/>
      <c r="D211" s="4076"/>
      <c r="E211" s="4076"/>
      <c r="F211" s="4076"/>
      <c r="G211" s="4076"/>
      <c r="H211" s="4076"/>
      <c r="I211" s="4076"/>
      <c r="J211" s="4076"/>
      <c r="K211" s="4077"/>
      <c r="L211" s="4078"/>
      <c r="M211" s="4076"/>
      <c r="N211" s="4076"/>
      <c r="O211" s="4076"/>
      <c r="P211" s="4076"/>
      <c r="Q211" s="4076"/>
      <c r="R211" s="4076"/>
      <c r="S211" s="4076"/>
      <c r="T211" s="4076"/>
      <c r="U211" s="4076"/>
      <c r="V211" s="4076"/>
      <c r="W211" s="4076"/>
      <c r="X211" s="4076"/>
      <c r="Y211" s="4076"/>
      <c r="Z211" s="4076"/>
      <c r="AA211" s="4076"/>
      <c r="AB211" s="4076"/>
      <c r="AC211" s="4076"/>
    </row>
    <row r="212" spans="1:29">
      <c r="A212" s="4076"/>
      <c r="B212" s="4076"/>
      <c r="C212" s="4076"/>
      <c r="D212" s="4076"/>
      <c r="E212" s="4076"/>
      <c r="F212" s="4076"/>
      <c r="G212" s="4076"/>
      <c r="H212" s="4076"/>
      <c r="I212" s="4076"/>
      <c r="J212" s="4076"/>
      <c r="K212" s="4077"/>
      <c r="L212" s="4078"/>
      <c r="M212" s="4076"/>
      <c r="N212" s="4076"/>
      <c r="O212" s="4076"/>
      <c r="P212" s="4076"/>
      <c r="Q212" s="4076"/>
      <c r="R212" s="4076"/>
      <c r="S212" s="4076"/>
      <c r="T212" s="4076"/>
      <c r="U212" s="4076"/>
      <c r="V212" s="4076"/>
      <c r="W212" s="4076"/>
      <c r="X212" s="4076"/>
      <c r="Y212" s="4076"/>
      <c r="Z212" s="4076"/>
      <c r="AA212" s="4076"/>
      <c r="AB212" s="4076"/>
      <c r="AC212" s="4076"/>
    </row>
    <row r="213" spans="1:29">
      <c r="A213" s="4076"/>
      <c r="B213" s="4076"/>
      <c r="C213" s="4076"/>
      <c r="D213" s="4076"/>
      <c r="E213" s="4076"/>
      <c r="F213" s="4076"/>
      <c r="G213" s="4076"/>
      <c r="H213" s="4076"/>
      <c r="I213" s="4076"/>
      <c r="J213" s="4076"/>
      <c r="K213" s="4077"/>
      <c r="L213" s="4078"/>
      <c r="M213" s="4076"/>
      <c r="N213" s="4076"/>
      <c r="O213" s="4076"/>
      <c r="P213" s="4076"/>
      <c r="Q213" s="4076"/>
      <c r="R213" s="4076"/>
      <c r="S213" s="4076"/>
      <c r="T213" s="4076"/>
      <c r="U213" s="4076"/>
      <c r="V213" s="4076"/>
      <c r="W213" s="4076"/>
      <c r="X213" s="4076"/>
      <c r="Y213" s="4076"/>
      <c r="Z213" s="4076"/>
      <c r="AA213" s="4076"/>
      <c r="AB213" s="4076"/>
      <c r="AC213" s="4076"/>
    </row>
    <row r="214" spans="1:29">
      <c r="A214" s="4076"/>
      <c r="B214" s="4076"/>
      <c r="C214" s="4076"/>
      <c r="D214" s="4076"/>
      <c r="E214" s="4076"/>
      <c r="F214" s="4076"/>
      <c r="G214" s="4076"/>
      <c r="H214" s="4076"/>
      <c r="I214" s="4076"/>
      <c r="J214" s="4076"/>
      <c r="K214" s="4077"/>
      <c r="L214" s="4078"/>
      <c r="M214" s="4076"/>
      <c r="N214" s="4076"/>
      <c r="O214" s="4076"/>
      <c r="P214" s="4076"/>
      <c r="Q214" s="4076"/>
      <c r="R214" s="4076"/>
      <c r="S214" s="4076"/>
      <c r="T214" s="4076"/>
      <c r="U214" s="4076"/>
      <c r="V214" s="4076"/>
      <c r="W214" s="4076"/>
      <c r="X214" s="4076"/>
      <c r="Y214" s="4076"/>
      <c r="Z214" s="4076"/>
      <c r="AA214" s="4076"/>
      <c r="AB214" s="4076"/>
      <c r="AC214" s="4076"/>
    </row>
    <row r="215" spans="1:29">
      <c r="A215" s="4076"/>
      <c r="B215" s="4076"/>
      <c r="C215" s="4076"/>
      <c r="D215" s="4076"/>
      <c r="E215" s="4076"/>
      <c r="F215" s="4076"/>
      <c r="G215" s="4076"/>
      <c r="H215" s="4076"/>
      <c r="I215" s="4076"/>
      <c r="J215" s="4076"/>
      <c r="K215" s="4077"/>
      <c r="L215" s="4078"/>
      <c r="M215" s="4076"/>
      <c r="N215" s="4076"/>
      <c r="O215" s="4076"/>
      <c r="P215" s="4076"/>
      <c r="Q215" s="4076"/>
      <c r="R215" s="4076"/>
      <c r="S215" s="4076"/>
      <c r="T215" s="4076"/>
      <c r="U215" s="4076"/>
      <c r="V215" s="4076"/>
      <c r="W215" s="4076"/>
      <c r="X215" s="4076"/>
      <c r="Y215" s="4076"/>
      <c r="Z215" s="4076"/>
      <c r="AA215" s="4076"/>
      <c r="AB215" s="4076"/>
      <c r="AC215" s="4076"/>
    </row>
    <row r="216" spans="1:29">
      <c r="A216" s="4076"/>
      <c r="B216" s="4076"/>
      <c r="C216" s="4076"/>
      <c r="D216" s="4076"/>
      <c r="E216" s="4076"/>
      <c r="F216" s="4076"/>
      <c r="G216" s="4076"/>
      <c r="H216" s="4076"/>
      <c r="I216" s="4076"/>
      <c r="J216" s="4076"/>
      <c r="K216" s="4077"/>
      <c r="L216" s="4078"/>
      <c r="M216" s="4076"/>
      <c r="N216" s="4076"/>
      <c r="O216" s="4076"/>
      <c r="P216" s="4076"/>
      <c r="Q216" s="4076"/>
      <c r="R216" s="4076"/>
      <c r="S216" s="4076"/>
      <c r="T216" s="4076"/>
      <c r="U216" s="4076"/>
      <c r="V216" s="4076"/>
      <c r="W216" s="4076"/>
      <c r="X216" s="4076"/>
      <c r="Y216" s="4076"/>
      <c r="Z216" s="4076"/>
      <c r="AA216" s="4076"/>
      <c r="AB216" s="4076"/>
      <c r="AC216" s="4076"/>
    </row>
    <row r="217" spans="1:29">
      <c r="A217" s="4076"/>
      <c r="B217" s="4076"/>
      <c r="C217" s="4076"/>
      <c r="D217" s="4076"/>
      <c r="E217" s="4076"/>
      <c r="F217" s="4076"/>
      <c r="G217" s="4076"/>
      <c r="H217" s="4076"/>
      <c r="I217" s="4076"/>
      <c r="J217" s="4076"/>
      <c r="K217" s="4077"/>
      <c r="L217" s="4078"/>
      <c r="M217" s="4076"/>
      <c r="N217" s="4076"/>
      <c r="O217" s="4076"/>
      <c r="P217" s="4076"/>
      <c r="Q217" s="4076"/>
      <c r="R217" s="4076"/>
      <c r="S217" s="4076"/>
      <c r="T217" s="4076"/>
      <c r="U217" s="4076"/>
      <c r="V217" s="4076"/>
      <c r="W217" s="4076"/>
      <c r="X217" s="4076"/>
      <c r="Y217" s="4076"/>
      <c r="Z217" s="4076"/>
      <c r="AA217" s="4076"/>
      <c r="AB217" s="4076"/>
      <c r="AC217" s="4076"/>
    </row>
    <row r="218" spans="1:29">
      <c r="A218" s="4076"/>
      <c r="B218" s="4076"/>
      <c r="C218" s="4076"/>
      <c r="D218" s="4076"/>
      <c r="E218" s="4076"/>
      <c r="F218" s="4076"/>
      <c r="G218" s="4076"/>
      <c r="H218" s="4076"/>
      <c r="I218" s="4076"/>
      <c r="J218" s="4076"/>
      <c r="K218" s="4077"/>
      <c r="L218" s="4078"/>
      <c r="M218" s="4076"/>
      <c r="N218" s="4076"/>
      <c r="O218" s="4076"/>
      <c r="P218" s="4076"/>
      <c r="Q218" s="4076"/>
      <c r="R218" s="4076"/>
      <c r="S218" s="4076"/>
      <c r="T218" s="4076"/>
      <c r="U218" s="4076"/>
      <c r="V218" s="4076"/>
      <c r="W218" s="4076"/>
      <c r="X218" s="4076"/>
      <c r="Y218" s="4076"/>
      <c r="Z218" s="4076"/>
      <c r="AA218" s="4076"/>
      <c r="AB218" s="4076"/>
      <c r="AC218" s="4076"/>
    </row>
    <row r="219" spans="1:29">
      <c r="A219" s="4076"/>
      <c r="B219" s="4076"/>
      <c r="C219" s="4076"/>
      <c r="D219" s="4076"/>
      <c r="E219" s="4076"/>
      <c r="F219" s="4076"/>
      <c r="G219" s="4076"/>
      <c r="H219" s="4076"/>
      <c r="I219" s="4076"/>
      <c r="J219" s="4076"/>
      <c r="K219" s="4077"/>
      <c r="L219" s="4078"/>
      <c r="M219" s="4076"/>
      <c r="N219" s="4076"/>
      <c r="O219" s="4076"/>
      <c r="P219" s="4076"/>
      <c r="Q219" s="4076"/>
      <c r="R219" s="4076"/>
      <c r="S219" s="4076"/>
      <c r="T219" s="4076"/>
      <c r="U219" s="4076"/>
      <c r="V219" s="4076"/>
      <c r="W219" s="4076"/>
      <c r="X219" s="4076"/>
      <c r="Y219" s="4076"/>
      <c r="Z219" s="4076"/>
      <c r="AA219" s="4076"/>
      <c r="AB219" s="4076"/>
      <c r="AC219" s="4076"/>
    </row>
    <row r="220" spans="1:29">
      <c r="A220" s="4076"/>
      <c r="B220" s="4076"/>
      <c r="C220" s="4076"/>
      <c r="D220" s="4076"/>
      <c r="E220" s="4076"/>
      <c r="F220" s="4076"/>
      <c r="G220" s="4076"/>
      <c r="H220" s="4076"/>
      <c r="I220" s="4076"/>
      <c r="J220" s="4076"/>
      <c r="K220" s="4077"/>
      <c r="L220" s="4078"/>
      <c r="M220" s="4076"/>
      <c r="N220" s="4076"/>
      <c r="O220" s="4076"/>
      <c r="P220" s="4076"/>
      <c r="Q220" s="4076"/>
      <c r="R220" s="4076"/>
      <c r="S220" s="4076"/>
      <c r="T220" s="4076"/>
      <c r="U220" s="4076"/>
      <c r="V220" s="4076"/>
      <c r="W220" s="4076"/>
      <c r="X220" s="4076"/>
      <c r="Y220" s="4076"/>
      <c r="Z220" s="4076"/>
      <c r="AA220" s="4076"/>
      <c r="AB220" s="4076"/>
      <c r="AC220" s="4076"/>
    </row>
    <row r="221" spans="1:29">
      <c r="A221" s="4076"/>
      <c r="B221" s="4076"/>
      <c r="C221" s="4076"/>
      <c r="D221" s="4076"/>
      <c r="E221" s="4076"/>
      <c r="F221" s="4076"/>
      <c r="G221" s="4076"/>
      <c r="H221" s="4076"/>
      <c r="I221" s="4076"/>
      <c r="J221" s="4076"/>
      <c r="K221" s="4077"/>
      <c r="L221" s="4078"/>
      <c r="M221" s="4076"/>
      <c r="N221" s="4076"/>
      <c r="O221" s="4076"/>
      <c r="P221" s="4076"/>
      <c r="Q221" s="4076"/>
      <c r="R221" s="4076"/>
      <c r="S221" s="4076"/>
      <c r="T221" s="4076"/>
      <c r="U221" s="4076"/>
      <c r="V221" s="4076"/>
      <c r="W221" s="4076"/>
      <c r="X221" s="4076"/>
      <c r="Y221" s="4076"/>
      <c r="Z221" s="4076"/>
      <c r="AA221" s="4076"/>
      <c r="AB221" s="4076"/>
      <c r="AC221" s="4076"/>
    </row>
    <row r="222" spans="1:29">
      <c r="A222" s="4076"/>
      <c r="B222" s="4076"/>
      <c r="C222" s="4076"/>
      <c r="D222" s="4076"/>
      <c r="E222" s="4076"/>
      <c r="F222" s="4076"/>
      <c r="G222" s="4076"/>
      <c r="H222" s="4076"/>
      <c r="I222" s="4076"/>
      <c r="J222" s="4076"/>
      <c r="K222" s="4077"/>
      <c r="L222" s="4078"/>
      <c r="M222" s="4076"/>
      <c r="N222" s="4076"/>
      <c r="O222" s="4076"/>
      <c r="P222" s="4076"/>
      <c r="Q222" s="4076"/>
      <c r="R222" s="4076"/>
      <c r="S222" s="4076"/>
      <c r="T222" s="4076"/>
      <c r="U222" s="4076"/>
      <c r="V222" s="4076"/>
      <c r="W222" s="4076"/>
      <c r="X222" s="4076"/>
      <c r="Y222" s="4076"/>
      <c r="Z222" s="4076"/>
      <c r="AA222" s="4076"/>
      <c r="AB222" s="4076"/>
      <c r="AC222" s="4076"/>
    </row>
    <row r="223" spans="1:29">
      <c r="A223" s="4076"/>
      <c r="B223" s="4076"/>
      <c r="C223" s="4076"/>
      <c r="D223" s="4076"/>
      <c r="E223" s="4076"/>
      <c r="F223" s="4076"/>
      <c r="G223" s="4076"/>
      <c r="H223" s="4076"/>
      <c r="I223" s="4076"/>
      <c r="J223" s="4076"/>
      <c r="K223" s="4077"/>
      <c r="L223" s="4078"/>
      <c r="M223" s="4076"/>
      <c r="N223" s="4076"/>
      <c r="O223" s="4076"/>
      <c r="P223" s="4076"/>
      <c r="Q223" s="4076"/>
      <c r="R223" s="4076"/>
      <c r="S223" s="4076"/>
      <c r="T223" s="4076"/>
      <c r="U223" s="4076"/>
      <c r="V223" s="4076"/>
      <c r="W223" s="4076"/>
      <c r="X223" s="4076"/>
      <c r="Y223" s="4076"/>
      <c r="Z223" s="4076"/>
      <c r="AA223" s="4076"/>
      <c r="AB223" s="4076"/>
      <c r="AC223" s="4076"/>
    </row>
    <row r="224" spans="1:29">
      <c r="A224" s="4076"/>
      <c r="B224" s="4076"/>
      <c r="C224" s="4076"/>
      <c r="D224" s="4076"/>
      <c r="E224" s="4076"/>
      <c r="F224" s="4076"/>
      <c r="G224" s="4076"/>
      <c r="H224" s="4076"/>
      <c r="I224" s="4076"/>
      <c r="J224" s="4076"/>
      <c r="K224" s="4077"/>
      <c r="L224" s="4078"/>
      <c r="M224" s="4076"/>
      <c r="N224" s="4076"/>
      <c r="O224" s="4076"/>
      <c r="P224" s="4076"/>
      <c r="Q224" s="4076"/>
      <c r="R224" s="4076"/>
      <c r="S224" s="4076"/>
      <c r="T224" s="4076"/>
      <c r="U224" s="4076"/>
      <c r="V224" s="4076"/>
      <c r="W224" s="4076"/>
      <c r="X224" s="4076"/>
      <c r="Y224" s="4076"/>
      <c r="Z224" s="4076"/>
      <c r="AA224" s="4076"/>
      <c r="AB224" s="4076"/>
      <c r="AC224" s="4076"/>
    </row>
    <row r="225" spans="1:29">
      <c r="A225" s="4076"/>
      <c r="B225" s="4076"/>
      <c r="C225" s="4076"/>
      <c r="D225" s="4076"/>
      <c r="E225" s="4076"/>
      <c r="F225" s="4076"/>
      <c r="G225" s="4076"/>
      <c r="H225" s="4076"/>
      <c r="I225" s="4076"/>
      <c r="J225" s="4076"/>
      <c r="K225" s="4077"/>
      <c r="L225" s="4078"/>
      <c r="M225" s="4076"/>
      <c r="N225" s="4076"/>
      <c r="O225" s="4076"/>
      <c r="P225" s="4076"/>
      <c r="Q225" s="4076"/>
      <c r="R225" s="4076"/>
      <c r="S225" s="4076"/>
      <c r="T225" s="4076"/>
      <c r="U225" s="4076"/>
      <c r="V225" s="4076"/>
      <c r="W225" s="4076"/>
      <c r="X225" s="4076"/>
      <c r="Y225" s="4076"/>
      <c r="Z225" s="4076"/>
      <c r="AA225" s="4076"/>
      <c r="AB225" s="4076"/>
      <c r="AC225" s="4076"/>
    </row>
    <row r="226" spans="1:29">
      <c r="A226" s="4076"/>
      <c r="B226" s="4076"/>
      <c r="C226" s="4076"/>
      <c r="D226" s="4076"/>
      <c r="E226" s="4076"/>
      <c r="F226" s="4076"/>
      <c r="G226" s="4076"/>
      <c r="H226" s="4076"/>
      <c r="I226" s="4076"/>
      <c r="J226" s="4076"/>
      <c r="K226" s="4077"/>
      <c r="L226" s="4078"/>
      <c r="M226" s="4076"/>
      <c r="N226" s="4076"/>
      <c r="O226" s="4076"/>
      <c r="P226" s="4076"/>
      <c r="Q226" s="4076"/>
      <c r="R226" s="4076"/>
      <c r="S226" s="4076"/>
      <c r="T226" s="4076"/>
      <c r="U226" s="4076"/>
      <c r="V226" s="4076"/>
      <c r="W226" s="4076"/>
      <c r="X226" s="4076"/>
      <c r="Y226" s="4076"/>
      <c r="Z226" s="4076"/>
      <c r="AA226" s="4076"/>
      <c r="AB226" s="4076"/>
      <c r="AC226" s="4076"/>
    </row>
    <row r="227" spans="1:29">
      <c r="A227" s="4076"/>
      <c r="B227" s="4076"/>
      <c r="C227" s="4076"/>
      <c r="D227" s="4076"/>
      <c r="E227" s="4076"/>
      <c r="F227" s="4076"/>
      <c r="G227" s="4076"/>
      <c r="H227" s="4076"/>
      <c r="I227" s="4076"/>
      <c r="J227" s="4076"/>
      <c r="K227" s="4077"/>
      <c r="L227" s="4078"/>
      <c r="M227" s="4076"/>
      <c r="N227" s="4076"/>
      <c r="O227" s="4076"/>
      <c r="P227" s="4076"/>
      <c r="Q227" s="4076"/>
      <c r="R227" s="4076"/>
      <c r="S227" s="4076"/>
      <c r="T227" s="4076"/>
      <c r="U227" s="4076"/>
      <c r="V227" s="4076"/>
      <c r="W227" s="4076"/>
      <c r="X227" s="4076"/>
      <c r="Y227" s="4076"/>
      <c r="Z227" s="4076"/>
      <c r="AA227" s="4076"/>
      <c r="AB227" s="4076"/>
      <c r="AC227" s="4076"/>
    </row>
    <row r="228" spans="1:29">
      <c r="A228" s="4076"/>
      <c r="B228" s="4076"/>
      <c r="C228" s="4076"/>
      <c r="D228" s="4076"/>
      <c r="E228" s="4076"/>
      <c r="F228" s="4076"/>
      <c r="G228" s="4076"/>
      <c r="H228" s="4076"/>
      <c r="I228" s="4076"/>
      <c r="J228" s="4076"/>
      <c r="K228" s="4077"/>
      <c r="L228" s="4078"/>
      <c r="M228" s="4076"/>
      <c r="N228" s="4076"/>
      <c r="O228" s="4076"/>
      <c r="P228" s="4076"/>
      <c r="Q228" s="4076"/>
      <c r="R228" s="4076"/>
      <c r="S228" s="4076"/>
      <c r="T228" s="4076"/>
      <c r="U228" s="4076"/>
      <c r="V228" s="4076"/>
      <c r="W228" s="4076"/>
      <c r="X228" s="4076"/>
      <c r="Y228" s="4076"/>
      <c r="Z228" s="4076"/>
      <c r="AA228" s="4076"/>
      <c r="AB228" s="4076"/>
      <c r="AC228" s="4076"/>
    </row>
    <row r="229" spans="1:29">
      <c r="A229" s="4076"/>
      <c r="B229" s="4076"/>
      <c r="C229" s="4076"/>
      <c r="D229" s="4076"/>
      <c r="E229" s="4076"/>
      <c r="F229" s="4076"/>
      <c r="G229" s="4076"/>
      <c r="H229" s="4076"/>
      <c r="I229" s="4076"/>
      <c r="J229" s="4076"/>
      <c r="K229" s="4077"/>
      <c r="L229" s="4078"/>
      <c r="M229" s="4076"/>
      <c r="N229" s="4076"/>
      <c r="O229" s="4076"/>
      <c r="P229" s="4076"/>
      <c r="Q229" s="4076"/>
      <c r="R229" s="4076"/>
      <c r="S229" s="4076"/>
      <c r="T229" s="4076"/>
      <c r="U229" s="4076"/>
      <c r="V229" s="4076"/>
      <c r="W229" s="4076"/>
      <c r="X229" s="4076"/>
      <c r="Y229" s="4076"/>
      <c r="Z229" s="4076"/>
      <c r="AA229" s="4076"/>
      <c r="AB229" s="4076"/>
      <c r="AC229" s="4076"/>
    </row>
    <row r="230" spans="1:29">
      <c r="A230" s="4076"/>
      <c r="B230" s="4076"/>
      <c r="C230" s="4076"/>
      <c r="D230" s="4076"/>
      <c r="E230" s="4076"/>
      <c r="F230" s="4076"/>
      <c r="G230" s="4076"/>
      <c r="H230" s="4076"/>
      <c r="I230" s="4076"/>
      <c r="J230" s="4076"/>
      <c r="K230" s="4077"/>
      <c r="L230" s="4078"/>
      <c r="M230" s="4076"/>
      <c r="N230" s="4076"/>
      <c r="O230" s="4076"/>
      <c r="P230" s="4076"/>
      <c r="Q230" s="4076"/>
      <c r="R230" s="4076"/>
      <c r="S230" s="4076"/>
      <c r="T230" s="4076"/>
      <c r="U230" s="4076"/>
      <c r="V230" s="4076"/>
      <c r="W230" s="4076"/>
      <c r="X230" s="4076"/>
      <c r="Y230" s="4076"/>
      <c r="Z230" s="4076"/>
      <c r="AA230" s="4076"/>
      <c r="AB230" s="4076"/>
      <c r="AC230" s="4076"/>
    </row>
    <row r="231" spans="1:29">
      <c r="A231" s="4076"/>
      <c r="B231" s="4076"/>
      <c r="C231" s="4076"/>
      <c r="D231" s="4076"/>
      <c r="E231" s="4076"/>
      <c r="F231" s="4076"/>
      <c r="G231" s="4076"/>
      <c r="H231" s="4076"/>
      <c r="I231" s="4076"/>
      <c r="J231" s="4076"/>
      <c r="K231" s="4077"/>
      <c r="L231" s="4078"/>
      <c r="M231" s="4076"/>
      <c r="N231" s="4076"/>
      <c r="O231" s="4076"/>
      <c r="P231" s="4076"/>
      <c r="Q231" s="4076"/>
      <c r="R231" s="4076"/>
      <c r="S231" s="4076"/>
      <c r="T231" s="4076"/>
      <c r="U231" s="4076"/>
      <c r="V231" s="4076"/>
      <c r="W231" s="4076"/>
      <c r="X231" s="4076"/>
      <c r="Y231" s="4076"/>
      <c r="Z231" s="4076"/>
      <c r="AA231" s="4076"/>
      <c r="AB231" s="4076"/>
      <c r="AC231" s="4076"/>
    </row>
    <row r="232" spans="1:29">
      <c r="A232" s="4076"/>
      <c r="B232" s="4076"/>
      <c r="C232" s="4076"/>
      <c r="D232" s="4076"/>
      <c r="E232" s="4076"/>
      <c r="F232" s="4076"/>
      <c r="G232" s="4076"/>
      <c r="H232" s="4076"/>
      <c r="I232" s="4076"/>
      <c r="J232" s="4076"/>
      <c r="K232" s="4077"/>
      <c r="L232" s="4078"/>
      <c r="M232" s="4076"/>
      <c r="N232" s="4076"/>
      <c r="O232" s="4076"/>
      <c r="P232" s="4076"/>
      <c r="Q232" s="4076"/>
      <c r="R232" s="4076"/>
      <c r="S232" s="4076"/>
      <c r="T232" s="4076"/>
      <c r="U232" s="4076"/>
      <c r="V232" s="4076"/>
      <c r="W232" s="4076"/>
      <c r="X232" s="4076"/>
      <c r="Y232" s="4076"/>
      <c r="Z232" s="4076"/>
      <c r="AA232" s="4076"/>
      <c r="AB232" s="4076"/>
      <c r="AC232" s="4076"/>
    </row>
    <row r="233" spans="1:29">
      <c r="A233" s="4076"/>
      <c r="B233" s="4076"/>
      <c r="C233" s="4076"/>
      <c r="D233" s="4076"/>
      <c r="E233" s="4076"/>
      <c r="F233" s="4076"/>
      <c r="G233" s="4076"/>
      <c r="H233" s="4076"/>
      <c r="I233" s="4076"/>
      <c r="J233" s="4076"/>
      <c r="K233" s="4077"/>
      <c r="L233" s="4078"/>
      <c r="M233" s="4076"/>
      <c r="N233" s="4076"/>
      <c r="O233" s="4076"/>
      <c r="P233" s="4076"/>
      <c r="Q233" s="4076"/>
      <c r="R233" s="4076"/>
      <c r="S233" s="4076"/>
      <c r="T233" s="4076"/>
      <c r="U233" s="4076"/>
      <c r="V233" s="4076"/>
      <c r="W233" s="4076"/>
      <c r="X233" s="4076"/>
      <c r="Y233" s="4076"/>
      <c r="Z233" s="4076"/>
      <c r="AA233" s="4076"/>
      <c r="AB233" s="4076"/>
      <c r="AC233" s="4076"/>
    </row>
    <row r="234" spans="1:29">
      <c r="A234" s="4076"/>
      <c r="B234" s="4076"/>
      <c r="C234" s="4076"/>
      <c r="D234" s="4076"/>
      <c r="E234" s="4076"/>
      <c r="F234" s="4076"/>
      <c r="G234" s="4076"/>
      <c r="H234" s="4076"/>
      <c r="I234" s="4076"/>
      <c r="J234" s="4076"/>
      <c r="K234" s="4077"/>
      <c r="L234" s="4078"/>
      <c r="M234" s="4076"/>
      <c r="N234" s="4076"/>
      <c r="O234" s="4076"/>
      <c r="P234" s="4076"/>
      <c r="Q234" s="4076"/>
      <c r="R234" s="4076"/>
      <c r="S234" s="4076"/>
      <c r="T234" s="4076"/>
      <c r="U234" s="4076"/>
      <c r="V234" s="4076"/>
      <c r="W234" s="4076"/>
      <c r="X234" s="4076"/>
      <c r="Y234" s="4076"/>
      <c r="Z234" s="4076"/>
      <c r="AA234" s="4076"/>
      <c r="AB234" s="4076"/>
      <c r="AC234" s="4076"/>
    </row>
    <row r="235" spans="1:29">
      <c r="A235" s="4076"/>
      <c r="B235" s="4076"/>
      <c r="C235" s="4076"/>
      <c r="D235" s="4076"/>
      <c r="E235" s="4076"/>
      <c r="F235" s="4076"/>
      <c r="G235" s="4076"/>
      <c r="H235" s="4076"/>
      <c r="I235" s="4076"/>
      <c r="J235" s="4076"/>
      <c r="K235" s="4077"/>
      <c r="L235" s="4078"/>
      <c r="M235" s="4076"/>
      <c r="N235" s="4076"/>
      <c r="O235" s="4076"/>
      <c r="P235" s="4076"/>
      <c r="Q235" s="4076"/>
      <c r="R235" s="4076"/>
      <c r="S235" s="4076"/>
      <c r="T235" s="4076"/>
      <c r="U235" s="4076"/>
      <c r="V235" s="4076"/>
      <c r="W235" s="4076"/>
      <c r="X235" s="4076"/>
      <c r="Y235" s="4076"/>
      <c r="Z235" s="4076"/>
      <c r="AA235" s="4076"/>
      <c r="AB235" s="4076"/>
      <c r="AC235" s="4076"/>
    </row>
    <row r="236" spans="1:29">
      <c r="A236" s="4076"/>
      <c r="B236" s="4076"/>
      <c r="C236" s="4076"/>
      <c r="D236" s="4076"/>
      <c r="E236" s="4076"/>
      <c r="F236" s="4076"/>
      <c r="G236" s="4076"/>
      <c r="H236" s="4076"/>
      <c r="I236" s="4076"/>
      <c r="J236" s="4076"/>
      <c r="K236" s="4077"/>
      <c r="L236" s="4078"/>
      <c r="M236" s="4076"/>
      <c r="N236" s="4076"/>
      <c r="O236" s="4076"/>
      <c r="P236" s="4076"/>
      <c r="Q236" s="4076"/>
      <c r="R236" s="4076"/>
      <c r="S236" s="4076"/>
      <c r="T236" s="4076"/>
      <c r="U236" s="4076"/>
      <c r="V236" s="4076"/>
      <c r="W236" s="4076"/>
      <c r="X236" s="4076"/>
      <c r="Y236" s="4076"/>
      <c r="Z236" s="4076"/>
      <c r="AA236" s="4076"/>
      <c r="AB236" s="4076"/>
      <c r="AC236" s="4076"/>
    </row>
    <row r="237" spans="1:29">
      <c r="A237" s="4076"/>
      <c r="B237" s="4076"/>
      <c r="C237" s="4076"/>
      <c r="D237" s="4076"/>
      <c r="E237" s="4076"/>
      <c r="F237" s="4076"/>
      <c r="G237" s="4076"/>
      <c r="H237" s="4076"/>
      <c r="I237" s="4076"/>
      <c r="J237" s="4076"/>
      <c r="K237" s="4077"/>
      <c r="L237" s="4078"/>
      <c r="M237" s="4076"/>
      <c r="N237" s="4076"/>
      <c r="O237" s="4076"/>
      <c r="P237" s="4076"/>
      <c r="Q237" s="4076"/>
      <c r="R237" s="4076"/>
      <c r="S237" s="4076"/>
      <c r="T237" s="4076"/>
      <c r="U237" s="4076"/>
      <c r="V237" s="4076"/>
      <c r="W237" s="4076"/>
      <c r="X237" s="4076"/>
      <c r="Y237" s="4076"/>
      <c r="Z237" s="4076"/>
      <c r="AA237" s="4076"/>
      <c r="AB237" s="4076"/>
      <c r="AC237" s="4076"/>
    </row>
    <row r="238" spans="1:29">
      <c r="A238" s="4076"/>
      <c r="B238" s="4076"/>
      <c r="C238" s="4076"/>
      <c r="D238" s="4076"/>
      <c r="E238" s="4076"/>
      <c r="F238" s="4076"/>
      <c r="G238" s="4076"/>
      <c r="H238" s="4076"/>
      <c r="I238" s="4076"/>
      <c r="J238" s="4076"/>
      <c r="K238" s="4077"/>
      <c r="L238" s="4078"/>
      <c r="M238" s="4076"/>
      <c r="N238" s="4076"/>
      <c r="O238" s="4076"/>
      <c r="P238" s="4076"/>
      <c r="Q238" s="4076"/>
      <c r="R238" s="4076"/>
      <c r="S238" s="4076"/>
      <c r="T238" s="4076"/>
      <c r="U238" s="4076"/>
      <c r="V238" s="4076"/>
      <c r="W238" s="4076"/>
      <c r="X238" s="4076"/>
      <c r="Y238" s="4076"/>
      <c r="Z238" s="4076"/>
      <c r="AA238" s="4076"/>
      <c r="AB238" s="4076"/>
      <c r="AC238" s="4076"/>
    </row>
    <row r="239" spans="1:29">
      <c r="A239" s="4076"/>
      <c r="B239" s="4076"/>
      <c r="C239" s="4076"/>
      <c r="D239" s="4076"/>
      <c r="E239" s="4076"/>
      <c r="F239" s="4076"/>
      <c r="G239" s="4076"/>
      <c r="H239" s="4076"/>
      <c r="I239" s="4076"/>
      <c r="J239" s="4076"/>
      <c r="K239" s="4077"/>
      <c r="L239" s="4078"/>
      <c r="M239" s="4076"/>
      <c r="N239" s="4076"/>
      <c r="O239" s="4076"/>
      <c r="P239" s="4076"/>
      <c r="Q239" s="4076"/>
      <c r="R239" s="4076"/>
      <c r="S239" s="4076"/>
      <c r="T239" s="4076"/>
      <c r="U239" s="4076"/>
      <c r="V239" s="4076"/>
      <c r="W239" s="4076"/>
      <c r="X239" s="4076"/>
      <c r="Y239" s="4076"/>
      <c r="Z239" s="4076"/>
      <c r="AA239" s="4076"/>
      <c r="AB239" s="4076"/>
      <c r="AC239" s="4076"/>
    </row>
    <row r="240" spans="1:29">
      <c r="A240" s="4076"/>
      <c r="B240" s="4076"/>
      <c r="C240" s="4076"/>
      <c r="D240" s="4076"/>
      <c r="E240" s="4076"/>
      <c r="F240" s="4076"/>
      <c r="G240" s="4076"/>
      <c r="H240" s="4076"/>
      <c r="I240" s="4076"/>
      <c r="J240" s="4076"/>
      <c r="K240" s="4077"/>
      <c r="L240" s="4078"/>
      <c r="M240" s="4076"/>
      <c r="N240" s="4076"/>
      <c r="O240" s="4076"/>
      <c r="P240" s="4076"/>
      <c r="Q240" s="4076"/>
      <c r="R240" s="4076"/>
      <c r="S240" s="4076"/>
      <c r="T240" s="4076"/>
      <c r="U240" s="4076"/>
      <c r="V240" s="4076"/>
      <c r="W240" s="4076"/>
      <c r="X240" s="4076"/>
      <c r="Y240" s="4076"/>
      <c r="Z240" s="4076"/>
      <c r="AA240" s="4076"/>
      <c r="AB240" s="4076"/>
      <c r="AC240" s="4076"/>
    </row>
    <row r="241" spans="1:29">
      <c r="A241" s="4076"/>
      <c r="B241" s="4076"/>
      <c r="C241" s="4076"/>
      <c r="D241" s="4076"/>
      <c r="E241" s="4076"/>
      <c r="F241" s="4076"/>
      <c r="G241" s="4076"/>
      <c r="H241" s="4076"/>
      <c r="I241" s="4076"/>
      <c r="J241" s="4076"/>
      <c r="K241" s="4077"/>
      <c r="L241" s="4078"/>
      <c r="M241" s="4076"/>
      <c r="N241" s="4076"/>
      <c r="O241" s="4076"/>
      <c r="P241" s="4076"/>
      <c r="Q241" s="4076"/>
      <c r="R241" s="4076"/>
      <c r="S241" s="4076"/>
      <c r="T241" s="4076"/>
      <c r="U241" s="4076"/>
      <c r="V241" s="4076"/>
      <c r="W241" s="4076"/>
      <c r="X241" s="4076"/>
      <c r="Y241" s="4076"/>
      <c r="Z241" s="4076"/>
      <c r="AA241" s="4076"/>
      <c r="AB241" s="4076"/>
      <c r="AC241" s="4076"/>
    </row>
    <row r="242" spans="1:29">
      <c r="A242" s="4076"/>
      <c r="B242" s="4076"/>
      <c r="C242" s="4076"/>
      <c r="D242" s="4076"/>
      <c r="E242" s="4076"/>
      <c r="F242" s="4076"/>
      <c r="G242" s="4076"/>
      <c r="H242" s="4076"/>
      <c r="I242" s="4076"/>
      <c r="J242" s="4076"/>
      <c r="K242" s="4077"/>
      <c r="L242" s="4078"/>
      <c r="M242" s="4076"/>
      <c r="N242" s="4076"/>
      <c r="O242" s="4076"/>
      <c r="P242" s="4076"/>
      <c r="Q242" s="4076"/>
      <c r="R242" s="4076"/>
      <c r="S242" s="4076"/>
      <c r="T242" s="4076"/>
      <c r="U242" s="4076"/>
      <c r="V242" s="4076"/>
      <c r="W242" s="4076"/>
      <c r="X242" s="4076"/>
      <c r="Y242" s="4076"/>
      <c r="Z242" s="4076"/>
      <c r="AA242" s="4076"/>
      <c r="AB242" s="4076"/>
      <c r="AC242" s="4076"/>
    </row>
    <row r="243" spans="1:29">
      <c r="A243" s="4076"/>
      <c r="B243" s="4076"/>
      <c r="C243" s="4076"/>
      <c r="D243" s="4076"/>
      <c r="E243" s="4076"/>
      <c r="F243" s="4076"/>
      <c r="G243" s="4076"/>
      <c r="H243" s="4076"/>
      <c r="I243" s="4076"/>
      <c r="J243" s="4076"/>
      <c r="K243" s="4077"/>
      <c r="L243" s="4078"/>
      <c r="M243" s="4076"/>
      <c r="N243" s="4076"/>
      <c r="O243" s="4076"/>
      <c r="P243" s="4076"/>
      <c r="Q243" s="4076"/>
      <c r="R243" s="4076"/>
      <c r="S243" s="4076"/>
      <c r="T243" s="4076"/>
      <c r="U243" s="4076"/>
      <c r="V243" s="4076"/>
      <c r="W243" s="4076"/>
      <c r="X243" s="4076"/>
      <c r="Y243" s="4076"/>
      <c r="Z243" s="4076"/>
      <c r="AA243" s="4076"/>
      <c r="AB243" s="4076"/>
      <c r="AC243" s="4076"/>
    </row>
    <row r="244" spans="1:29">
      <c r="A244" s="4076"/>
      <c r="B244" s="4076"/>
      <c r="C244" s="4076"/>
      <c r="D244" s="4076"/>
      <c r="E244" s="4076"/>
      <c r="F244" s="4076"/>
      <c r="G244" s="4076"/>
      <c r="H244" s="4076"/>
      <c r="I244" s="4076"/>
      <c r="J244" s="4076"/>
      <c r="K244" s="4077"/>
      <c r="L244" s="4078"/>
      <c r="M244" s="4076"/>
      <c r="N244" s="4076"/>
      <c r="O244" s="4076"/>
      <c r="P244" s="4076"/>
      <c r="Q244" s="4076"/>
      <c r="R244" s="4076"/>
      <c r="S244" s="4076"/>
      <c r="T244" s="4076"/>
      <c r="U244" s="4076"/>
      <c r="V244" s="4076"/>
      <c r="W244" s="4076"/>
      <c r="X244" s="4076"/>
      <c r="Y244" s="4076"/>
      <c r="Z244" s="4076"/>
      <c r="AA244" s="4076"/>
      <c r="AB244" s="4076"/>
      <c r="AC244" s="4076"/>
    </row>
    <row r="245" spans="1:29">
      <c r="A245" s="4076"/>
      <c r="B245" s="4076"/>
      <c r="C245" s="4076"/>
      <c r="D245" s="4076"/>
      <c r="E245" s="4076"/>
      <c r="F245" s="4076"/>
      <c r="G245" s="4076"/>
      <c r="H245" s="4076"/>
      <c r="I245" s="4076"/>
      <c r="J245" s="4076"/>
      <c r="K245" s="4077"/>
      <c r="L245" s="4078"/>
      <c r="M245" s="4076"/>
      <c r="N245" s="4076"/>
      <c r="O245" s="4076"/>
      <c r="P245" s="4076"/>
      <c r="Q245" s="4076"/>
      <c r="R245" s="4076"/>
      <c r="S245" s="4076"/>
      <c r="T245" s="4076"/>
      <c r="U245" s="4076"/>
      <c r="V245" s="4076"/>
      <c r="W245" s="4076"/>
      <c r="X245" s="4076"/>
      <c r="Y245" s="4076"/>
      <c r="Z245" s="4076"/>
      <c r="AA245" s="4076"/>
      <c r="AB245" s="4076"/>
      <c r="AC245" s="4076"/>
    </row>
    <row r="246" spans="1:29">
      <c r="A246" s="4076"/>
      <c r="B246" s="4076"/>
      <c r="C246" s="4076"/>
      <c r="D246" s="4076"/>
      <c r="E246" s="4076"/>
      <c r="F246" s="4076"/>
      <c r="G246" s="4076"/>
      <c r="H246" s="4076"/>
      <c r="I246" s="4076"/>
      <c r="J246" s="4076"/>
      <c r="K246" s="4077"/>
      <c r="L246" s="4078"/>
      <c r="M246" s="4076"/>
      <c r="N246" s="4076"/>
      <c r="O246" s="4076"/>
      <c r="P246" s="4076"/>
      <c r="Q246" s="4076"/>
      <c r="R246" s="4076"/>
      <c r="S246" s="4076"/>
      <c r="T246" s="4076"/>
      <c r="U246" s="4076"/>
      <c r="V246" s="4076"/>
      <c r="W246" s="4076"/>
      <c r="X246" s="4076"/>
      <c r="Y246" s="4076"/>
      <c r="Z246" s="4076"/>
      <c r="AA246" s="4076"/>
      <c r="AB246" s="4076"/>
      <c r="AC246" s="4076"/>
    </row>
    <row r="247" spans="1:29">
      <c r="A247" s="4076"/>
      <c r="B247" s="4076"/>
      <c r="C247" s="4076"/>
      <c r="D247" s="4076"/>
      <c r="E247" s="4076"/>
      <c r="F247" s="4076"/>
      <c r="G247" s="4076"/>
      <c r="H247" s="4076"/>
      <c r="I247" s="4076"/>
      <c r="J247" s="4076"/>
      <c r="K247" s="4077"/>
      <c r="L247" s="4078"/>
      <c r="M247" s="4076"/>
      <c r="N247" s="4076"/>
      <c r="O247" s="4076"/>
      <c r="P247" s="4076"/>
      <c r="Q247" s="4076"/>
      <c r="R247" s="4076"/>
      <c r="S247" s="4076"/>
      <c r="T247" s="4076"/>
      <c r="U247" s="4076"/>
      <c r="V247" s="4076"/>
      <c r="W247" s="4076"/>
      <c r="X247" s="4076"/>
      <c r="Y247" s="4076"/>
      <c r="Z247" s="4076"/>
      <c r="AA247" s="4076"/>
      <c r="AB247" s="4076"/>
      <c r="AC247" s="4076"/>
    </row>
    <row r="248" spans="1:29">
      <c r="A248" s="4076"/>
      <c r="B248" s="4076"/>
      <c r="C248" s="4076"/>
      <c r="D248" s="4076"/>
      <c r="E248" s="4076"/>
      <c r="F248" s="4076"/>
      <c r="G248" s="4076"/>
      <c r="H248" s="4076"/>
      <c r="I248" s="4076"/>
      <c r="J248" s="4076"/>
      <c r="K248" s="4077"/>
      <c r="L248" s="4078"/>
      <c r="M248" s="4076"/>
      <c r="N248" s="4076"/>
      <c r="O248" s="4076"/>
      <c r="P248" s="4076"/>
      <c r="Q248" s="4076"/>
      <c r="R248" s="4076"/>
      <c r="S248" s="4076"/>
      <c r="T248" s="4076"/>
      <c r="U248" s="4076"/>
      <c r="V248" s="4076"/>
      <c r="W248" s="4076"/>
      <c r="X248" s="4076"/>
      <c r="Y248" s="4076"/>
      <c r="Z248" s="4076"/>
      <c r="AA248" s="4076"/>
      <c r="AB248" s="4076"/>
      <c r="AC248" s="4076"/>
    </row>
    <row r="249" spans="1:29">
      <c r="A249" s="4076"/>
      <c r="B249" s="4076"/>
      <c r="C249" s="4076"/>
      <c r="D249" s="4076"/>
      <c r="E249" s="4076"/>
      <c r="F249" s="4076"/>
      <c r="G249" s="4076"/>
      <c r="H249" s="4076"/>
      <c r="I249" s="4076"/>
      <c r="J249" s="4076"/>
      <c r="K249" s="4077"/>
      <c r="L249" s="4078"/>
      <c r="M249" s="4076"/>
      <c r="N249" s="4076"/>
      <c r="O249" s="4076"/>
      <c r="P249" s="4076"/>
      <c r="Q249" s="4076"/>
      <c r="R249" s="4076"/>
      <c r="S249" s="4076"/>
      <c r="T249" s="4076"/>
      <c r="U249" s="4076"/>
      <c r="V249" s="4076"/>
      <c r="W249" s="4076"/>
      <c r="X249" s="4076"/>
      <c r="Y249" s="4076"/>
      <c r="Z249" s="4076"/>
      <c r="AA249" s="4076"/>
      <c r="AB249" s="4076"/>
      <c r="AC249" s="4076"/>
    </row>
    <row r="250" spans="1:29">
      <c r="A250" s="4076"/>
      <c r="B250" s="4076"/>
      <c r="C250" s="4076"/>
      <c r="D250" s="4076"/>
      <c r="E250" s="4076"/>
      <c r="F250" s="4076"/>
      <c r="G250" s="4076"/>
      <c r="H250" s="4076"/>
      <c r="I250" s="4076"/>
      <c r="J250" s="4076"/>
      <c r="K250" s="4077"/>
      <c r="L250" s="4078"/>
      <c r="M250" s="4076"/>
      <c r="N250" s="4076"/>
      <c r="O250" s="4076"/>
      <c r="P250" s="4076"/>
      <c r="Q250" s="4076"/>
      <c r="R250" s="4076"/>
      <c r="S250" s="4076"/>
      <c r="T250" s="4076"/>
      <c r="U250" s="4076"/>
      <c r="V250" s="4076"/>
      <c r="W250" s="4076"/>
      <c r="X250" s="4076"/>
      <c r="Y250" s="4076"/>
      <c r="Z250" s="4076"/>
      <c r="AA250" s="4076"/>
      <c r="AB250" s="4076"/>
      <c r="AC250" s="4076"/>
    </row>
    <row r="251" spans="1:29">
      <c r="A251" s="4076"/>
      <c r="B251" s="4076"/>
      <c r="C251" s="4076"/>
      <c r="D251" s="4076"/>
      <c r="E251" s="4076"/>
      <c r="F251" s="4076"/>
      <c r="G251" s="4076"/>
      <c r="H251" s="4076"/>
      <c r="I251" s="4076"/>
      <c r="J251" s="4076"/>
      <c r="K251" s="4077"/>
      <c r="L251" s="4078"/>
      <c r="M251" s="4076"/>
      <c r="N251" s="4076"/>
      <c r="O251" s="4076"/>
      <c r="P251" s="4076"/>
      <c r="Q251" s="4076"/>
      <c r="R251" s="4076"/>
      <c r="S251" s="4076"/>
      <c r="T251" s="4076"/>
      <c r="U251" s="4076"/>
      <c r="V251" s="4076"/>
      <c r="W251" s="4076"/>
      <c r="X251" s="4076"/>
      <c r="Y251" s="4076"/>
      <c r="Z251" s="4076"/>
      <c r="AA251" s="4076"/>
      <c r="AB251" s="4076"/>
      <c r="AC251" s="4076"/>
    </row>
    <row r="252" spans="1:29">
      <c r="A252" s="4076"/>
      <c r="B252" s="4076"/>
      <c r="C252" s="4076"/>
      <c r="D252" s="4076"/>
      <c r="E252" s="4076"/>
      <c r="F252" s="4076"/>
      <c r="G252" s="4076"/>
      <c r="H252" s="4076"/>
      <c r="I252" s="4076"/>
      <c r="J252" s="4076"/>
      <c r="K252" s="4077"/>
      <c r="L252" s="4078"/>
      <c r="M252" s="4076"/>
      <c r="N252" s="4076"/>
      <c r="O252" s="4076"/>
      <c r="P252" s="4076"/>
      <c r="Q252" s="4076"/>
      <c r="R252" s="4076"/>
      <c r="S252" s="4076"/>
      <c r="T252" s="4076"/>
      <c r="U252" s="4076"/>
      <c r="V252" s="4076"/>
      <c r="W252" s="4076"/>
      <c r="X252" s="4076"/>
      <c r="Y252" s="4076"/>
      <c r="Z252" s="4076"/>
      <c r="AA252" s="4076"/>
      <c r="AB252" s="4076"/>
      <c r="AC252" s="4076"/>
    </row>
    <row r="253" spans="1:29">
      <c r="A253" s="4076"/>
      <c r="B253" s="4076"/>
      <c r="C253" s="4076"/>
      <c r="D253" s="4076"/>
      <c r="E253" s="4076"/>
      <c r="F253" s="4076"/>
      <c r="G253" s="4076"/>
      <c r="H253" s="4076"/>
      <c r="I253" s="4076"/>
      <c r="J253" s="4076"/>
      <c r="K253" s="4077"/>
      <c r="L253" s="4078"/>
      <c r="M253" s="4076"/>
      <c r="N253" s="4076"/>
      <c r="O253" s="4076"/>
      <c r="P253" s="4076"/>
      <c r="Q253" s="4076"/>
      <c r="R253" s="4076"/>
      <c r="S253" s="4076"/>
      <c r="T253" s="4076"/>
      <c r="U253" s="4076"/>
      <c r="V253" s="4076"/>
      <c r="W253" s="4076"/>
      <c r="X253" s="4076"/>
      <c r="Y253" s="4076"/>
      <c r="Z253" s="4076"/>
      <c r="AA253" s="4076"/>
      <c r="AB253" s="4076"/>
      <c r="AC253" s="4076"/>
    </row>
    <row r="254" spans="1:29">
      <c r="A254" s="4076"/>
      <c r="B254" s="4076"/>
      <c r="C254" s="4076"/>
      <c r="D254" s="4076"/>
      <c r="E254" s="4076"/>
      <c r="F254" s="4076"/>
      <c r="G254" s="4076"/>
      <c r="H254" s="4076"/>
      <c r="I254" s="4076"/>
      <c r="J254" s="4076"/>
      <c r="K254" s="4077"/>
      <c r="L254" s="4078"/>
      <c r="M254" s="4076"/>
      <c r="N254" s="4076"/>
      <c r="O254" s="4076"/>
      <c r="P254" s="4076"/>
      <c r="Q254" s="4076"/>
      <c r="R254" s="4076"/>
      <c r="S254" s="4076"/>
      <c r="T254" s="4076"/>
      <c r="U254" s="4076"/>
      <c r="V254" s="4076"/>
      <c r="W254" s="4076"/>
      <c r="X254" s="4076"/>
      <c r="Y254" s="4076"/>
      <c r="Z254" s="4076"/>
      <c r="AA254" s="4076"/>
      <c r="AB254" s="4076"/>
      <c r="AC254" s="4076"/>
    </row>
    <row r="255" spans="1:29">
      <c r="A255" s="4076"/>
      <c r="B255" s="4076"/>
      <c r="C255" s="4076"/>
      <c r="D255" s="4076"/>
      <c r="E255" s="4076"/>
      <c r="F255" s="4076"/>
      <c r="G255" s="4076"/>
      <c r="H255" s="4076"/>
      <c r="I255" s="4076"/>
      <c r="J255" s="4076"/>
      <c r="K255" s="4077"/>
      <c r="L255" s="4078"/>
      <c r="M255" s="4076"/>
      <c r="N255" s="4076"/>
      <c r="O255" s="4076"/>
      <c r="P255" s="4076"/>
      <c r="Q255" s="4076"/>
      <c r="R255" s="4076"/>
      <c r="S255" s="4076"/>
      <c r="T255" s="4076"/>
      <c r="U255" s="4076"/>
      <c r="V255" s="4076"/>
      <c r="W255" s="4076"/>
      <c r="X255" s="4076"/>
      <c r="Y255" s="4076"/>
      <c r="Z255" s="4076"/>
      <c r="AA255" s="4076"/>
      <c r="AB255" s="4076"/>
      <c r="AC255" s="4076"/>
    </row>
    <row r="256" spans="1:29">
      <c r="A256" s="4076"/>
      <c r="B256" s="4076"/>
      <c r="C256" s="4076"/>
      <c r="D256" s="4076"/>
      <c r="E256" s="4076"/>
      <c r="F256" s="4076"/>
      <c r="G256" s="4076"/>
      <c r="H256" s="4076"/>
      <c r="I256" s="4076"/>
      <c r="J256" s="4076"/>
      <c r="K256" s="4077"/>
      <c r="L256" s="4078"/>
      <c r="M256" s="4076"/>
      <c r="N256" s="4076"/>
      <c r="O256" s="4076"/>
      <c r="P256" s="4076"/>
      <c r="Q256" s="4076"/>
      <c r="R256" s="4076"/>
      <c r="S256" s="4076"/>
      <c r="T256" s="4076"/>
      <c r="U256" s="4076"/>
      <c r="V256" s="4076"/>
      <c r="W256" s="4076"/>
      <c r="X256" s="4076"/>
      <c r="Y256" s="4076"/>
      <c r="Z256" s="4076"/>
      <c r="AA256" s="4076"/>
      <c r="AB256" s="4076"/>
      <c r="AC256" s="4076"/>
    </row>
    <row r="257" spans="1:29">
      <c r="A257" s="4076"/>
      <c r="B257" s="4076"/>
      <c r="C257" s="4076"/>
      <c r="D257" s="4076"/>
      <c r="E257" s="4076"/>
      <c r="F257" s="4076"/>
      <c r="G257" s="4076"/>
      <c r="H257" s="4076"/>
      <c r="I257" s="4076"/>
      <c r="J257" s="4076"/>
      <c r="K257" s="4077"/>
      <c r="L257" s="4078"/>
      <c r="M257" s="4076"/>
      <c r="N257" s="4076"/>
      <c r="O257" s="4076"/>
      <c r="P257" s="4076"/>
      <c r="Q257" s="4076"/>
      <c r="R257" s="4076"/>
      <c r="S257" s="4076"/>
      <c r="T257" s="4076"/>
      <c r="U257" s="4076"/>
      <c r="V257" s="4076"/>
      <c r="W257" s="4076"/>
      <c r="X257" s="4076"/>
      <c r="Y257" s="4076"/>
      <c r="Z257" s="4076"/>
      <c r="AA257" s="4076"/>
      <c r="AB257" s="4076"/>
      <c r="AC257" s="4076"/>
    </row>
    <row r="258" spans="1:29">
      <c r="A258" s="4076"/>
      <c r="B258" s="4076"/>
      <c r="C258" s="4076"/>
      <c r="D258" s="4076"/>
      <c r="E258" s="4076"/>
      <c r="F258" s="4076"/>
      <c r="G258" s="4076"/>
      <c r="H258" s="4076"/>
      <c r="I258" s="4076"/>
      <c r="J258" s="4076"/>
      <c r="K258" s="4077"/>
      <c r="L258" s="4078"/>
      <c r="M258" s="4076"/>
      <c r="N258" s="4076"/>
      <c r="O258" s="4076"/>
      <c r="P258" s="4076"/>
      <c r="Q258" s="4076"/>
      <c r="R258" s="4076"/>
      <c r="S258" s="4076"/>
      <c r="T258" s="4076"/>
      <c r="U258" s="4076"/>
      <c r="V258" s="4076"/>
      <c r="W258" s="4076"/>
      <c r="X258" s="4076"/>
      <c r="Y258" s="4076"/>
      <c r="Z258" s="4076"/>
      <c r="AA258" s="4076"/>
      <c r="AB258" s="4076"/>
      <c r="AC258" s="4076"/>
    </row>
    <row r="259" spans="1:29">
      <c r="A259" s="4076"/>
      <c r="B259" s="4076"/>
      <c r="C259" s="4076"/>
      <c r="D259" s="4076"/>
      <c r="E259" s="4076"/>
      <c r="F259" s="4076"/>
      <c r="G259" s="4076"/>
      <c r="H259" s="4076"/>
      <c r="I259" s="4076"/>
      <c r="J259" s="4076"/>
      <c r="K259" s="4077"/>
      <c r="L259" s="4078"/>
      <c r="M259" s="4076"/>
      <c r="N259" s="4076"/>
      <c r="O259" s="4076"/>
      <c r="P259" s="4076"/>
      <c r="Q259" s="4076"/>
      <c r="R259" s="4076"/>
      <c r="S259" s="4076"/>
      <c r="T259" s="4076"/>
      <c r="U259" s="4076"/>
      <c r="V259" s="4076"/>
      <c r="W259" s="4076"/>
      <c r="X259" s="4076"/>
      <c r="Y259" s="4076"/>
      <c r="Z259" s="4076"/>
      <c r="AA259" s="4076"/>
      <c r="AB259" s="4076"/>
      <c r="AC259" s="4076"/>
    </row>
    <row r="260" spans="1:29">
      <c r="A260" s="4076"/>
      <c r="B260" s="4076"/>
      <c r="C260" s="4076"/>
      <c r="D260" s="4076"/>
      <c r="E260" s="4076"/>
      <c r="F260" s="4076"/>
      <c r="G260" s="4076"/>
      <c r="H260" s="4076"/>
      <c r="I260" s="4076"/>
      <c r="J260" s="4076"/>
      <c r="K260" s="4077"/>
      <c r="L260" s="4078"/>
      <c r="M260" s="4076"/>
      <c r="N260" s="4076"/>
      <c r="O260" s="4076"/>
      <c r="P260" s="4076"/>
      <c r="Q260" s="4076"/>
      <c r="R260" s="4076"/>
      <c r="S260" s="4076"/>
      <c r="T260" s="4076"/>
      <c r="U260" s="4076"/>
      <c r="V260" s="4076"/>
      <c r="W260" s="4076"/>
      <c r="X260" s="4076"/>
      <c r="Y260" s="4076"/>
      <c r="Z260" s="4076"/>
      <c r="AA260" s="4076"/>
      <c r="AB260" s="4076"/>
      <c r="AC260" s="4076"/>
    </row>
    <row r="261" spans="1:29">
      <c r="A261" s="4076"/>
      <c r="B261" s="4076"/>
      <c r="C261" s="4076"/>
      <c r="D261" s="4076"/>
      <c r="E261" s="4076"/>
      <c r="F261" s="4076"/>
      <c r="G261" s="4076"/>
      <c r="H261" s="4076"/>
      <c r="I261" s="4076"/>
      <c r="J261" s="4076"/>
      <c r="K261" s="4077"/>
      <c r="L261" s="4078"/>
      <c r="M261" s="4076"/>
      <c r="N261" s="4076"/>
      <c r="O261" s="4076"/>
      <c r="P261" s="4076"/>
      <c r="Q261" s="4076"/>
      <c r="R261" s="4076"/>
      <c r="S261" s="4076"/>
      <c r="T261" s="4076"/>
      <c r="U261" s="4076"/>
      <c r="V261" s="4076"/>
      <c r="W261" s="4076"/>
      <c r="X261" s="4076"/>
      <c r="Y261" s="4076"/>
      <c r="Z261" s="4076"/>
      <c r="AA261" s="4076"/>
      <c r="AB261" s="4076"/>
      <c r="AC261" s="4076"/>
    </row>
  </sheetData>
  <sheetProtection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9:Q9"/>
    <mergeCell ref="P10:Q10"/>
    <mergeCell ref="Y10:Z10"/>
    <mergeCell ref="P11:P16"/>
    <mergeCell ref="Y11:Y16"/>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s>
  <phoneticPr fontId="224" type="noConversion"/>
  <conditionalFormatting sqref="F48 H48 J48">
    <cfRule type="containsText" dxfId="132" priority="17" stopIfTrue="1" operator="containsText" text="超过">
      <formula>NOT(ISERROR(SEARCH("超过",F48)))</formula>
    </cfRule>
  </conditionalFormatting>
  <conditionalFormatting sqref="J50">
    <cfRule type="containsText" dxfId="131" priority="16" stopIfTrue="1" operator="containsText" text="超过">
      <formula>NOT(ISERROR(SEARCH("超过",J50)))</formula>
    </cfRule>
  </conditionalFormatting>
  <conditionalFormatting sqref="H50">
    <cfRule type="containsText" dxfId="130" priority="15" stopIfTrue="1" operator="containsText" text="超过">
      <formula>NOT(ISERROR(SEARCH("超过",H50)))</formula>
    </cfRule>
  </conditionalFormatting>
  <conditionalFormatting sqref="F50">
    <cfRule type="containsText" dxfId="129" priority="14" stopIfTrue="1" operator="containsText" text="超过">
      <formula>NOT(ISERROR(SEARCH("超过",F50)))</formula>
    </cfRule>
  </conditionalFormatting>
  <conditionalFormatting sqref="F49 H49 J49">
    <cfRule type="containsText" dxfId="128" priority="13" stopIfTrue="1" operator="containsText" text="超过">
      <formula>NOT(ISERROR(SEARCH("超过",F49)))</formula>
    </cfRule>
  </conditionalFormatting>
  <conditionalFormatting sqref="E48">
    <cfRule type="expression" dxfId="127" priority="12" stopIfTrue="1">
      <formula>$F$48="超过30%"</formula>
    </cfRule>
  </conditionalFormatting>
  <conditionalFormatting sqref="G50">
    <cfRule type="expression" dxfId="126" priority="11" stopIfTrue="1">
      <formula>$H$50="超过30%"</formula>
    </cfRule>
  </conditionalFormatting>
  <conditionalFormatting sqref="E50">
    <cfRule type="expression" dxfId="125" priority="10" stopIfTrue="1">
      <formula>$F$50="超过30%"</formula>
    </cfRule>
  </conditionalFormatting>
  <conditionalFormatting sqref="G48">
    <cfRule type="expression" dxfId="124" priority="9" stopIfTrue="1">
      <formula>$H$48="超过30%"</formula>
    </cfRule>
  </conditionalFormatting>
  <conditionalFormatting sqref="G49">
    <cfRule type="expression" dxfId="123" priority="8" stopIfTrue="1">
      <formula>$H$49="超过20%"</formula>
    </cfRule>
  </conditionalFormatting>
  <conditionalFormatting sqref="I48">
    <cfRule type="expression" dxfId="122" priority="7" stopIfTrue="1">
      <formula>$J$48="超过30%"</formula>
    </cfRule>
  </conditionalFormatting>
  <conditionalFormatting sqref="I49">
    <cfRule type="expression" dxfId="121" priority="6" stopIfTrue="1">
      <formula>$J$49="超过20%"</formula>
    </cfRule>
  </conditionalFormatting>
  <conditionalFormatting sqref="I50">
    <cfRule type="expression" dxfId="120" priority="5" stopIfTrue="1">
      <formula>$J$50="超过30%"</formula>
    </cfRule>
  </conditionalFormatting>
  <conditionalFormatting sqref="E49">
    <cfRule type="expression" dxfId="119" priority="18" stopIfTrue="1">
      <formula>#REF!+$F$49="超过20%"</formula>
    </cfRule>
  </conditionalFormatting>
  <conditionalFormatting sqref="F44">
    <cfRule type="expression" dxfId="118" priority="4">
      <formula>$D$44="简单平均"</formula>
    </cfRule>
  </conditionalFormatting>
  <conditionalFormatting sqref="H44">
    <cfRule type="expression" dxfId="117" priority="3">
      <formula>$D$44="简单平均"</formula>
    </cfRule>
  </conditionalFormatting>
  <conditionalFormatting sqref="J44">
    <cfRule type="expression" dxfId="116" priority="2">
      <formula>$D$44="简单平均"</formula>
    </cfRule>
  </conditionalFormatting>
  <conditionalFormatting sqref="F9:F42 H9:H42 J9:J42">
    <cfRule type="cellIs" dxfId="115"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4275" t="s">
        <v>471</v>
      </c>
      <c r="D4" s="4276"/>
      <c r="E4" s="4310" t="s">
        <v>472</v>
      </c>
      <c r="F4" s="4311"/>
      <c r="G4" s="4275" t="s">
        <v>473</v>
      </c>
      <c r="H4" s="4276"/>
      <c r="I4" s="4275" t="s">
        <v>474</v>
      </c>
      <c r="J4" s="4276"/>
      <c r="K4" s="818" t="s">
        <v>475</v>
      </c>
      <c r="L4" s="1856"/>
      <c r="M4" s="1857"/>
      <c r="N4" s="1857"/>
      <c r="O4" s="1857"/>
      <c r="P4" s="4277" t="s">
        <v>476</v>
      </c>
      <c r="Q4" s="4278"/>
      <c r="R4" s="4283" t="s">
        <v>472</v>
      </c>
      <c r="S4" s="4284"/>
      <c r="T4" s="4283" t="s">
        <v>473</v>
      </c>
      <c r="U4" s="4284"/>
      <c r="V4" s="4270" t="s">
        <v>474</v>
      </c>
      <c r="W4" s="4270"/>
      <c r="X4" s="1380"/>
      <c r="Y4" s="4283" t="s">
        <v>476</v>
      </c>
      <c r="Z4" s="4284"/>
      <c r="AA4" s="4272" t="s">
        <v>472</v>
      </c>
      <c r="AB4" s="4272" t="s">
        <v>473</v>
      </c>
      <c r="AC4" s="4272" t="s">
        <v>474</v>
      </c>
    </row>
    <row r="5" spans="1:29" ht="15">
      <c r="A5" s="485"/>
      <c r="B5" s="486"/>
      <c r="C5" s="4291" t="s">
        <v>2192</v>
      </c>
      <c r="D5" s="4292"/>
      <c r="E5" s="4312" t="s">
        <v>2193</v>
      </c>
      <c r="F5" s="4313"/>
      <c r="G5" s="4291" t="s">
        <v>2194</v>
      </c>
      <c r="H5" s="4292"/>
      <c r="I5" s="4291" t="s">
        <v>2195</v>
      </c>
      <c r="J5" s="4292"/>
      <c r="K5" s="819"/>
      <c r="L5" s="1856"/>
      <c r="M5" s="1857"/>
      <c r="N5" s="1857"/>
      <c r="O5" s="1857"/>
      <c r="P5" s="4279"/>
      <c r="Q5" s="4280"/>
      <c r="R5" s="4285"/>
      <c r="S5" s="4286"/>
      <c r="T5" s="4285"/>
      <c r="U5" s="4286"/>
      <c r="V5" s="4270"/>
      <c r="W5" s="4270"/>
      <c r="X5" s="1380"/>
      <c r="Y5" s="4285"/>
      <c r="Z5" s="4286"/>
      <c r="AA5" s="4273"/>
      <c r="AB5" s="4273"/>
      <c r="AC5" s="4273"/>
    </row>
    <row r="6" spans="1:29" ht="15.75" thickBot="1">
      <c r="A6" s="487"/>
      <c r="B6" s="488"/>
      <c r="C6" s="4289" t="s">
        <v>2196</v>
      </c>
      <c r="D6" s="4290"/>
      <c r="E6" s="4308" t="s">
        <v>2196</v>
      </c>
      <c r="F6" s="4309"/>
      <c r="G6" s="4289" t="s">
        <v>2196</v>
      </c>
      <c r="H6" s="4290"/>
      <c r="I6" s="4289" t="s">
        <v>2196</v>
      </c>
      <c r="J6" s="4290"/>
      <c r="K6" s="819" t="s">
        <v>477</v>
      </c>
      <c r="L6" s="1856"/>
      <c r="M6" s="1857"/>
      <c r="N6" s="1857"/>
      <c r="O6" s="1857"/>
      <c r="P6" s="4281"/>
      <c r="Q6" s="4282"/>
      <c r="R6" s="4285"/>
      <c r="S6" s="4286"/>
      <c r="T6" s="4287"/>
      <c r="U6" s="4288"/>
      <c r="V6" s="4270"/>
      <c r="W6" s="4270"/>
      <c r="X6" s="1380"/>
      <c r="Y6" s="4287"/>
      <c r="Z6" s="4288"/>
      <c r="AA6" s="4274"/>
      <c r="AB6" s="4274"/>
      <c r="AC6" s="4274"/>
    </row>
    <row r="7" spans="1:29" s="1118" customFormat="1" ht="15.75" thickBot="1">
      <c r="A7" s="2392"/>
      <c r="B7" s="2399" t="s">
        <v>478</v>
      </c>
      <c r="C7" s="489">
        <f>'数据-取费表'!B2</f>
        <v>45382</v>
      </c>
      <c r="D7" s="490">
        <v>100</v>
      </c>
      <c r="E7" s="491"/>
      <c r="F7" s="492">
        <f>SUMIF(58:58,YEAR(E7)&amp;"-"&amp;MONTH(E7),59:59)</f>
        <v>0</v>
      </c>
      <c r="G7" s="493"/>
      <c r="H7" s="490">
        <f>SUMIF(58:58,YEAR(G7)&amp;"-"&amp;MONTH(G7),59:59)</f>
        <v>0</v>
      </c>
      <c r="I7" s="493"/>
      <c r="J7" s="490">
        <f>SUMIF(58:58,YEAR(I7)&amp;"-"&amp;MONTH(I7),59:59)</f>
        <v>0</v>
      </c>
      <c r="K7" s="820"/>
      <c r="L7" s="1858"/>
      <c r="M7" s="1859"/>
      <c r="N7" s="1859"/>
      <c r="O7" s="1859"/>
      <c r="P7" s="4299" t="s">
        <v>479</v>
      </c>
      <c r="Q7" s="4301"/>
      <c r="R7" s="1381" t="s">
        <v>10</v>
      </c>
      <c r="S7" s="1382">
        <f t="shared" ref="S7:S15" si="0">F7</f>
        <v>0</v>
      </c>
      <c r="T7" s="1381" t="s">
        <v>10</v>
      </c>
      <c r="U7" s="1382">
        <f t="shared" ref="U7:U15" si="1">H7</f>
        <v>0</v>
      </c>
      <c r="V7" s="1381" t="s">
        <v>10</v>
      </c>
      <c r="W7" s="1382">
        <f t="shared" ref="W7:W15" si="2">J7</f>
        <v>0</v>
      </c>
      <c r="X7" s="1383"/>
      <c r="Y7" s="4299" t="s">
        <v>479</v>
      </c>
      <c r="Z7" s="4300"/>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4299" t="s">
        <v>482</v>
      </c>
      <c r="Q8" s="4300"/>
      <c r="R8" s="1381" t="s">
        <v>10</v>
      </c>
      <c r="S8" s="1382">
        <f t="shared" si="0"/>
        <v>0</v>
      </c>
      <c r="T8" s="1381" t="s">
        <v>10</v>
      </c>
      <c r="U8" s="1382">
        <f t="shared" si="1"/>
        <v>0</v>
      </c>
      <c r="V8" s="1381" t="s">
        <v>10</v>
      </c>
      <c r="W8" s="1382">
        <f t="shared" si="2"/>
        <v>0</v>
      </c>
      <c r="X8" s="1383"/>
      <c r="Y8" s="4299" t="s">
        <v>482</v>
      </c>
      <c r="Z8" s="4300"/>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4269" t="s">
        <v>484</v>
      </c>
      <c r="Q9" s="1050" t="str">
        <f t="shared" ref="Q9:Q15" si="6">B9</f>
        <v>用途</v>
      </c>
      <c r="R9" s="1381" t="s">
        <v>5</v>
      </c>
      <c r="S9" s="1382">
        <f t="shared" si="0"/>
        <v>100</v>
      </c>
      <c r="T9" s="1381" t="s">
        <v>5</v>
      </c>
      <c r="U9" s="1382">
        <f t="shared" si="1"/>
        <v>100</v>
      </c>
      <c r="V9" s="1381" t="s">
        <v>5</v>
      </c>
      <c r="W9" s="1382">
        <f t="shared" si="2"/>
        <v>100</v>
      </c>
      <c r="X9" s="1383"/>
      <c r="Y9" s="421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4269"/>
      <c r="Q10" s="1050" t="str">
        <f t="shared" si="6"/>
        <v>土地使用年限（年）</v>
      </c>
      <c r="R10" s="1381" t="s">
        <v>5</v>
      </c>
      <c r="S10" s="1382">
        <f t="shared" si="0"/>
        <v>100</v>
      </c>
      <c r="T10" s="1381" t="s">
        <v>5</v>
      </c>
      <c r="U10" s="1382">
        <f t="shared" si="1"/>
        <v>100</v>
      </c>
      <c r="V10" s="1381" t="s">
        <v>5</v>
      </c>
      <c r="W10" s="1382">
        <f t="shared" si="2"/>
        <v>100</v>
      </c>
      <c r="X10" s="1383"/>
      <c r="Y10" s="4213"/>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4269"/>
      <c r="Q11" s="1050" t="str">
        <f t="shared" si="6"/>
        <v>容积率</v>
      </c>
      <c r="R11" s="1381" t="s">
        <v>8</v>
      </c>
      <c r="S11" s="1382" t="e">
        <f t="shared" si="0"/>
        <v>#N/A</v>
      </c>
      <c r="T11" s="1381" t="s">
        <v>8</v>
      </c>
      <c r="U11" s="1382" t="e">
        <f t="shared" si="1"/>
        <v>#N/A</v>
      </c>
      <c r="V11" s="1381" t="s">
        <v>8</v>
      </c>
      <c r="W11" s="1382" t="e">
        <f t="shared" si="2"/>
        <v>#N/A</v>
      </c>
      <c r="X11" s="1383"/>
      <c r="Y11" s="421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4269"/>
      <c r="Q12" s="1050">
        <f t="shared" si="6"/>
        <v>111</v>
      </c>
      <c r="R12" s="1381" t="s">
        <v>8</v>
      </c>
      <c r="S12" s="1382">
        <f t="shared" si="0"/>
        <v>100</v>
      </c>
      <c r="T12" s="1381" t="s">
        <v>8</v>
      </c>
      <c r="U12" s="1382">
        <f t="shared" si="1"/>
        <v>100</v>
      </c>
      <c r="V12" s="1381" t="s">
        <v>8</v>
      </c>
      <c r="W12" s="1382">
        <f t="shared" si="2"/>
        <v>100</v>
      </c>
      <c r="X12" s="1383"/>
      <c r="Y12" s="4213"/>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4269"/>
      <c r="Q13" s="1050">
        <f t="shared" si="6"/>
        <v>111</v>
      </c>
      <c r="R13" s="1381" t="s">
        <v>8</v>
      </c>
      <c r="S13" s="1382">
        <f t="shared" si="0"/>
        <v>100</v>
      </c>
      <c r="T13" s="1381" t="s">
        <v>8</v>
      </c>
      <c r="U13" s="1382">
        <f t="shared" si="1"/>
        <v>100</v>
      </c>
      <c r="V13" s="1381" t="s">
        <v>8</v>
      </c>
      <c r="W13" s="1382">
        <f t="shared" si="2"/>
        <v>100</v>
      </c>
      <c r="X13" s="1383"/>
      <c r="Y13" s="4213"/>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4269"/>
      <c r="Q14" s="1050">
        <f t="shared" si="6"/>
        <v>111</v>
      </c>
      <c r="R14" s="1381" t="s">
        <v>8</v>
      </c>
      <c r="S14" s="1382">
        <f t="shared" si="0"/>
        <v>100</v>
      </c>
      <c r="T14" s="1381" t="s">
        <v>8</v>
      </c>
      <c r="U14" s="1382">
        <f t="shared" si="1"/>
        <v>100</v>
      </c>
      <c r="V14" s="1381" t="s">
        <v>8</v>
      </c>
      <c r="W14" s="1382">
        <f t="shared" si="2"/>
        <v>100</v>
      </c>
      <c r="X14" s="1383"/>
      <c r="Y14" s="4213"/>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4302" t="s">
        <v>489</v>
      </c>
      <c r="Q15" s="1385" t="str">
        <f t="shared" si="6"/>
        <v>居住社区成熟度</v>
      </c>
      <c r="R15" s="1386" t="s">
        <v>8</v>
      </c>
      <c r="S15" s="1387">
        <f t="shared" si="0"/>
        <v>100</v>
      </c>
      <c r="T15" s="1386" t="s">
        <v>8</v>
      </c>
      <c r="U15" s="1387">
        <f t="shared" si="1"/>
        <v>100</v>
      </c>
      <c r="V15" s="1386" t="s">
        <v>8</v>
      </c>
      <c r="W15" s="1387">
        <f t="shared" si="2"/>
        <v>100</v>
      </c>
      <c r="X15" s="1380"/>
      <c r="Y15" s="4302"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4303"/>
      <c r="Q16" s="1385"/>
      <c r="R16" s="1386"/>
      <c r="S16" s="1387"/>
      <c r="T16" s="1386"/>
      <c r="U16" s="1387"/>
      <c r="V16" s="1386"/>
      <c r="W16" s="1387"/>
      <c r="X16" s="1380"/>
      <c r="Y16" s="4303"/>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4303"/>
      <c r="Q17" s="1385" t="str">
        <f>B17</f>
        <v>交通便捷度</v>
      </c>
      <c r="R17" s="1386" t="s">
        <v>8</v>
      </c>
      <c r="S17" s="1387">
        <f>F17</f>
        <v>100</v>
      </c>
      <c r="T17" s="1386" t="s">
        <v>8</v>
      </c>
      <c r="U17" s="1387">
        <f>H17</f>
        <v>100</v>
      </c>
      <c r="V17" s="1386" t="s">
        <v>8</v>
      </c>
      <c r="W17" s="1387">
        <f>J17</f>
        <v>100</v>
      </c>
      <c r="X17" s="1380"/>
      <c r="Y17" s="430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4303"/>
      <c r="Q18" s="1385"/>
      <c r="R18" s="1386"/>
      <c r="S18" s="1387"/>
      <c r="T18" s="1386"/>
      <c r="U18" s="1387"/>
      <c r="V18" s="1386"/>
      <c r="W18" s="1387"/>
      <c r="X18" s="1380"/>
      <c r="Y18" s="4303"/>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4303"/>
      <c r="Q19" s="1385" t="str">
        <f>B19</f>
        <v>公共配套设施</v>
      </c>
      <c r="R19" s="1386" t="s">
        <v>8</v>
      </c>
      <c r="S19" s="1387">
        <f>F19</f>
        <v>100</v>
      </c>
      <c r="T19" s="1386" t="s">
        <v>8</v>
      </c>
      <c r="U19" s="1387">
        <f>H19</f>
        <v>100</v>
      </c>
      <c r="V19" s="1386" t="s">
        <v>8</v>
      </c>
      <c r="W19" s="1387">
        <f>J19</f>
        <v>100</v>
      </c>
      <c r="X19" s="1380"/>
      <c r="Y19" s="430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4303"/>
      <c r="Q20" s="1385"/>
      <c r="R20" s="1386"/>
      <c r="S20" s="1387"/>
      <c r="T20" s="1386"/>
      <c r="U20" s="1387"/>
      <c r="V20" s="1386"/>
      <c r="W20" s="1387"/>
      <c r="X20" s="1380"/>
      <c r="Y20" s="4303"/>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4303"/>
      <c r="Q21" s="2193" t="str">
        <f>B21</f>
        <v>基础设施水平</v>
      </c>
      <c r="R21" s="1386" t="s">
        <v>8</v>
      </c>
      <c r="S21" s="1387">
        <f>F21</f>
        <v>100</v>
      </c>
      <c r="T21" s="1386" t="s">
        <v>8</v>
      </c>
      <c r="U21" s="1387">
        <f>H21</f>
        <v>100</v>
      </c>
      <c r="V21" s="1386" t="s">
        <v>8</v>
      </c>
      <c r="W21" s="1387">
        <f>J21</f>
        <v>100</v>
      </c>
      <c r="X21" s="2195"/>
      <c r="Y21" s="430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4303"/>
      <c r="Q22" s="2193"/>
      <c r="R22" s="1386"/>
      <c r="S22" s="1387"/>
      <c r="T22" s="1386"/>
      <c r="U22" s="1387"/>
      <c r="V22" s="1386"/>
      <c r="W22" s="1387"/>
      <c r="X22" s="2195"/>
      <c r="Y22" s="4303"/>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4303"/>
      <c r="Q23" s="1385" t="str">
        <f>B23</f>
        <v>自然及人文环境</v>
      </c>
      <c r="R23" s="1386" t="s">
        <v>8</v>
      </c>
      <c r="S23" s="1387">
        <f>F23</f>
        <v>100</v>
      </c>
      <c r="T23" s="1386" t="s">
        <v>8</v>
      </c>
      <c r="U23" s="1387">
        <f>H23</f>
        <v>100</v>
      </c>
      <c r="V23" s="1386" t="s">
        <v>8</v>
      </c>
      <c r="W23" s="1387">
        <f>J23</f>
        <v>100</v>
      </c>
      <c r="X23" s="1380"/>
      <c r="Y23" s="430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4303"/>
      <c r="Q24" s="1385"/>
      <c r="R24" s="1386"/>
      <c r="S24" s="1387"/>
      <c r="T24" s="1386"/>
      <c r="U24" s="1387"/>
      <c r="V24" s="1386"/>
      <c r="W24" s="1387"/>
      <c r="X24" s="1380"/>
      <c r="Y24" s="4303"/>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4303"/>
      <c r="Q25" s="1385" t="str">
        <f t="shared" ref="Q25:Q46" si="8">B25</f>
        <v>楼层-1</v>
      </c>
      <c r="R25" s="1386" t="s">
        <v>8</v>
      </c>
      <c r="S25" s="1387">
        <f>F25</f>
        <v>100</v>
      </c>
      <c r="T25" s="1386" t="s">
        <v>8</v>
      </c>
      <c r="U25" s="1387">
        <f>H25</f>
        <v>100</v>
      </c>
      <c r="V25" s="1386" t="s">
        <v>8</v>
      </c>
      <c r="W25" s="1387">
        <f>J25</f>
        <v>100</v>
      </c>
      <c r="X25" s="1380"/>
      <c r="Y25" s="4303"/>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4303"/>
      <c r="Q26" s="1385" t="str">
        <f t="shared" si="8"/>
        <v>朝向</v>
      </c>
      <c r="R26" s="1386" t="s">
        <v>8</v>
      </c>
      <c r="S26" s="1387">
        <f>F26</f>
        <v>100</v>
      </c>
      <c r="T26" s="1386" t="s">
        <v>8</v>
      </c>
      <c r="U26" s="1387">
        <f>H26</f>
        <v>100</v>
      </c>
      <c r="V26" s="1386" t="s">
        <v>8</v>
      </c>
      <c r="W26" s="1387">
        <f>J26</f>
        <v>100</v>
      </c>
      <c r="X26" s="1380"/>
      <c r="Y26" s="4303"/>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4303"/>
      <c r="Q27" s="1050" t="str">
        <f t="shared" si="8"/>
        <v>道路级别</v>
      </c>
      <c r="R27" s="1381" t="s">
        <v>8</v>
      </c>
      <c r="S27" s="1382">
        <f>F27</f>
        <v>100</v>
      </c>
      <c r="T27" s="1381" t="s">
        <v>8</v>
      </c>
      <c r="U27" s="1382">
        <f>H27</f>
        <v>100</v>
      </c>
      <c r="V27" s="1381" t="s">
        <v>8</v>
      </c>
      <c r="W27" s="1382">
        <f>J27</f>
        <v>100</v>
      </c>
      <c r="X27" s="1383"/>
      <c r="Y27" s="4303"/>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4303"/>
      <c r="Q28" s="1385">
        <f t="shared" si="8"/>
        <v>111</v>
      </c>
      <c r="R28" s="1386" t="s">
        <v>8</v>
      </c>
      <c r="S28" s="1387">
        <f t="shared" ref="S28:S46" si="9">F28</f>
        <v>100</v>
      </c>
      <c r="T28" s="1386" t="s">
        <v>8</v>
      </c>
      <c r="U28" s="1387">
        <f t="shared" ref="U28:U46" si="10">H28</f>
        <v>100</v>
      </c>
      <c r="V28" s="1386" t="s">
        <v>8</v>
      </c>
      <c r="W28" s="1387">
        <f t="shared" ref="W28:W46" si="11">J28</f>
        <v>100</v>
      </c>
      <c r="X28" s="1380"/>
      <c r="Y28" s="4303"/>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4303"/>
      <c r="Q29" s="1385">
        <f t="shared" si="8"/>
        <v>111</v>
      </c>
      <c r="R29" s="1386" t="s">
        <v>8</v>
      </c>
      <c r="S29" s="1387">
        <f t="shared" si="9"/>
        <v>100</v>
      </c>
      <c r="T29" s="1386" t="s">
        <v>8</v>
      </c>
      <c r="U29" s="1387">
        <f t="shared" si="10"/>
        <v>100</v>
      </c>
      <c r="V29" s="1386" t="s">
        <v>8</v>
      </c>
      <c r="W29" s="1387">
        <f t="shared" si="11"/>
        <v>100</v>
      </c>
      <c r="X29" s="1380"/>
      <c r="Y29" s="430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4303"/>
      <c r="Q30" s="1385">
        <f t="shared" si="8"/>
        <v>111</v>
      </c>
      <c r="R30" s="1386" t="s">
        <v>8</v>
      </c>
      <c r="S30" s="1387">
        <f t="shared" si="9"/>
        <v>100</v>
      </c>
      <c r="T30" s="1386" t="s">
        <v>8</v>
      </c>
      <c r="U30" s="1387">
        <f t="shared" si="10"/>
        <v>100</v>
      </c>
      <c r="V30" s="1386" t="s">
        <v>8</v>
      </c>
      <c r="W30" s="1387">
        <f t="shared" si="11"/>
        <v>100</v>
      </c>
      <c r="X30" s="1380"/>
      <c r="Y30" s="4303"/>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4303"/>
      <c r="Q31" s="1385">
        <f t="shared" si="8"/>
        <v>111</v>
      </c>
      <c r="R31" s="1386" t="s">
        <v>8</v>
      </c>
      <c r="S31" s="1387">
        <f t="shared" si="9"/>
        <v>100</v>
      </c>
      <c r="T31" s="1386" t="s">
        <v>8</v>
      </c>
      <c r="U31" s="1387">
        <f t="shared" si="10"/>
        <v>100</v>
      </c>
      <c r="V31" s="1386" t="s">
        <v>8</v>
      </c>
      <c r="W31" s="1387">
        <f t="shared" si="11"/>
        <v>100</v>
      </c>
      <c r="X31" s="1380"/>
      <c r="Y31" s="4303"/>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4304" t="s">
        <v>499</v>
      </c>
      <c r="Q32" s="1385" t="str">
        <f t="shared" si="8"/>
        <v>建筑类型</v>
      </c>
      <c r="R32" s="1386" t="s">
        <v>8</v>
      </c>
      <c r="S32" s="1387">
        <f t="shared" si="9"/>
        <v>100</v>
      </c>
      <c r="T32" s="1386" t="s">
        <v>8</v>
      </c>
      <c r="U32" s="1387">
        <f t="shared" si="10"/>
        <v>100</v>
      </c>
      <c r="V32" s="1386" t="s">
        <v>8</v>
      </c>
      <c r="W32" s="1387">
        <f t="shared" si="11"/>
        <v>100</v>
      </c>
      <c r="X32" s="1380"/>
      <c r="Y32" s="4305"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4305"/>
      <c r="Q33" s="1414" t="str">
        <f t="shared" si="8"/>
        <v>项目建筑规模</v>
      </c>
      <c r="R33" s="1390" t="s">
        <v>8</v>
      </c>
      <c r="S33" s="1391" t="e">
        <f t="shared" si="9"/>
        <v>#N/A</v>
      </c>
      <c r="T33" s="1390" t="s">
        <v>8</v>
      </c>
      <c r="U33" s="1391" t="e">
        <f t="shared" si="10"/>
        <v>#N/A</v>
      </c>
      <c r="V33" s="1390" t="s">
        <v>8</v>
      </c>
      <c r="W33" s="1391" t="e">
        <f t="shared" si="11"/>
        <v>#N/A</v>
      </c>
      <c r="X33" s="1392"/>
      <c r="Y33" s="430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4305"/>
      <c r="Q34" s="1385" t="str">
        <f t="shared" si="8"/>
        <v>建筑结构</v>
      </c>
      <c r="R34" s="1386" t="s">
        <v>8</v>
      </c>
      <c r="S34" s="1387">
        <f t="shared" si="9"/>
        <v>100</v>
      </c>
      <c r="T34" s="1386" t="s">
        <v>8</v>
      </c>
      <c r="U34" s="1387">
        <f t="shared" si="10"/>
        <v>100</v>
      </c>
      <c r="V34" s="1386" t="s">
        <v>8</v>
      </c>
      <c r="W34" s="1387">
        <f t="shared" si="11"/>
        <v>100</v>
      </c>
      <c r="X34" s="1380"/>
      <c r="Y34" s="4305"/>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4305"/>
      <c r="Q35" s="1385" t="str">
        <f t="shared" si="8"/>
        <v>建筑品质</v>
      </c>
      <c r="R35" s="1386" t="s">
        <v>8</v>
      </c>
      <c r="S35" s="1387">
        <f t="shared" si="9"/>
        <v>100</v>
      </c>
      <c r="T35" s="1386" t="s">
        <v>8</v>
      </c>
      <c r="U35" s="1387">
        <f t="shared" si="10"/>
        <v>100</v>
      </c>
      <c r="V35" s="1386" t="s">
        <v>8</v>
      </c>
      <c r="W35" s="1387">
        <f t="shared" si="11"/>
        <v>100</v>
      </c>
      <c r="X35" s="1380"/>
      <c r="Y35" s="4305"/>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4305"/>
      <c r="Q36" s="1385" t="str">
        <f t="shared" si="8"/>
        <v>公共部分装修</v>
      </c>
      <c r="R36" s="1386" t="s">
        <v>8</v>
      </c>
      <c r="S36" s="1387">
        <f t="shared" si="9"/>
        <v>100</v>
      </c>
      <c r="T36" s="1386" t="s">
        <v>8</v>
      </c>
      <c r="U36" s="1387">
        <f t="shared" si="10"/>
        <v>100</v>
      </c>
      <c r="V36" s="1386" t="s">
        <v>8</v>
      </c>
      <c r="W36" s="1387">
        <f t="shared" si="11"/>
        <v>100</v>
      </c>
      <c r="X36" s="1380"/>
      <c r="Y36" s="4305"/>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4305"/>
      <c r="Q37" s="1050" t="str">
        <f t="shared" si="8"/>
        <v>成新度</v>
      </c>
      <c r="R37" s="1381" t="s">
        <v>8</v>
      </c>
      <c r="S37" s="1382" t="e">
        <f t="shared" si="9"/>
        <v>#N/A</v>
      </c>
      <c r="T37" s="1381" t="s">
        <v>8</v>
      </c>
      <c r="U37" s="1382" t="e">
        <f t="shared" si="10"/>
        <v>#N/A</v>
      </c>
      <c r="V37" s="1381" t="s">
        <v>8</v>
      </c>
      <c r="W37" s="1382" t="e">
        <f t="shared" si="11"/>
        <v>#N/A</v>
      </c>
      <c r="X37" s="1383"/>
      <c r="Y37" s="4305"/>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4305" t="s">
        <v>499</v>
      </c>
      <c r="Q38" s="1385" t="str">
        <f t="shared" si="8"/>
        <v>物业管理</v>
      </c>
      <c r="R38" s="1386" t="s">
        <v>8</v>
      </c>
      <c r="S38" s="1387">
        <f t="shared" si="9"/>
        <v>100</v>
      </c>
      <c r="T38" s="1386" t="s">
        <v>8</v>
      </c>
      <c r="U38" s="1387">
        <f t="shared" si="10"/>
        <v>100</v>
      </c>
      <c r="V38" s="1386" t="s">
        <v>8</v>
      </c>
      <c r="W38" s="1387">
        <f t="shared" si="11"/>
        <v>100</v>
      </c>
      <c r="X38" s="1380"/>
      <c r="Y38" s="4305"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4305"/>
      <c r="Q39" s="1385" t="str">
        <f t="shared" si="8"/>
        <v>市政基础设施</v>
      </c>
      <c r="R39" s="1386" t="s">
        <v>8</v>
      </c>
      <c r="S39" s="1387">
        <f t="shared" si="9"/>
        <v>100</v>
      </c>
      <c r="T39" s="1386" t="s">
        <v>8</v>
      </c>
      <c r="U39" s="1387">
        <f t="shared" si="10"/>
        <v>100</v>
      </c>
      <c r="V39" s="1386" t="s">
        <v>8</v>
      </c>
      <c r="W39" s="1387">
        <f t="shared" si="11"/>
        <v>100</v>
      </c>
      <c r="X39" s="1380"/>
      <c r="Y39" s="4305"/>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4305"/>
      <c r="Q40" s="1385" t="str">
        <f t="shared" si="8"/>
        <v>房型</v>
      </c>
      <c r="R40" s="1386" t="s">
        <v>8</v>
      </c>
      <c r="S40" s="1387">
        <f t="shared" si="9"/>
        <v>100</v>
      </c>
      <c r="T40" s="1386" t="s">
        <v>8</v>
      </c>
      <c r="U40" s="1387">
        <f t="shared" si="10"/>
        <v>100</v>
      </c>
      <c r="V40" s="1386" t="s">
        <v>8</v>
      </c>
      <c r="W40" s="1387">
        <f t="shared" si="11"/>
        <v>100</v>
      </c>
      <c r="X40" s="1380"/>
      <c r="Y40" s="4305"/>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4305"/>
      <c r="Q41" s="1414" t="str">
        <f t="shared" si="8"/>
        <v>单套/主力户型建筑面积</v>
      </c>
      <c r="R41" s="1390" t="s">
        <v>8</v>
      </c>
      <c r="S41" s="1391">
        <f t="shared" si="9"/>
        <v>100</v>
      </c>
      <c r="T41" s="1390" t="s">
        <v>8</v>
      </c>
      <c r="U41" s="1391">
        <f t="shared" si="10"/>
        <v>100</v>
      </c>
      <c r="V41" s="1390" t="s">
        <v>8</v>
      </c>
      <c r="W41" s="1391">
        <f t="shared" si="11"/>
        <v>100</v>
      </c>
      <c r="X41" s="1392"/>
      <c r="Y41" s="4305"/>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4305"/>
      <c r="Q42" s="1385" t="str">
        <f t="shared" si="8"/>
        <v>内部装修</v>
      </c>
      <c r="R42" s="1386" t="s">
        <v>8</v>
      </c>
      <c r="S42" s="1387">
        <f t="shared" si="9"/>
        <v>100</v>
      </c>
      <c r="T42" s="1386" t="s">
        <v>8</v>
      </c>
      <c r="U42" s="1387">
        <f t="shared" si="10"/>
        <v>100</v>
      </c>
      <c r="V42" s="1386" t="s">
        <v>8</v>
      </c>
      <c r="W42" s="1387">
        <f t="shared" si="11"/>
        <v>100</v>
      </c>
      <c r="X42" s="1380"/>
      <c r="Y42" s="4305"/>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4305"/>
      <c r="Q43" s="1385" t="str">
        <f t="shared" si="8"/>
        <v>内部装修维护情况</v>
      </c>
      <c r="R43" s="1386" t="s">
        <v>8</v>
      </c>
      <c r="S43" s="1387">
        <f t="shared" si="9"/>
        <v>100</v>
      </c>
      <c r="T43" s="1386" t="s">
        <v>8</v>
      </c>
      <c r="U43" s="1387">
        <f t="shared" si="10"/>
        <v>100</v>
      </c>
      <c r="V43" s="1386" t="s">
        <v>8</v>
      </c>
      <c r="W43" s="1387">
        <f t="shared" si="11"/>
        <v>100</v>
      </c>
      <c r="X43" s="1380"/>
      <c r="Y43" s="430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4305"/>
      <c r="Q44" s="1050">
        <f t="shared" si="8"/>
        <v>111</v>
      </c>
      <c r="R44" s="1381" t="s">
        <v>8</v>
      </c>
      <c r="S44" s="1382">
        <f t="shared" si="9"/>
        <v>100</v>
      </c>
      <c r="T44" s="1381" t="s">
        <v>8</v>
      </c>
      <c r="U44" s="1382">
        <f t="shared" si="10"/>
        <v>100</v>
      </c>
      <c r="V44" s="1381" t="s">
        <v>8</v>
      </c>
      <c r="W44" s="1382">
        <f t="shared" si="11"/>
        <v>100</v>
      </c>
      <c r="X44" s="1383"/>
      <c r="Y44" s="430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4305"/>
      <c r="Q45" s="1385">
        <f t="shared" si="8"/>
        <v>111</v>
      </c>
      <c r="R45" s="1386" t="s">
        <v>8</v>
      </c>
      <c r="S45" s="1387">
        <f t="shared" si="9"/>
        <v>100</v>
      </c>
      <c r="T45" s="1386" t="s">
        <v>8</v>
      </c>
      <c r="U45" s="1387">
        <f t="shared" si="10"/>
        <v>100</v>
      </c>
      <c r="V45" s="1386" t="s">
        <v>8</v>
      </c>
      <c r="W45" s="1387">
        <f t="shared" si="11"/>
        <v>100</v>
      </c>
      <c r="X45" s="1380"/>
      <c r="Y45" s="4305"/>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443"/>
      <c r="Q46" s="1385">
        <f t="shared" si="8"/>
        <v>111</v>
      </c>
      <c r="R46" s="1386" t="s">
        <v>7</v>
      </c>
      <c r="S46" s="1387">
        <f t="shared" si="9"/>
        <v>100</v>
      </c>
      <c r="T46" s="1386" t="s">
        <v>7</v>
      </c>
      <c r="U46" s="1387">
        <f t="shared" si="10"/>
        <v>100</v>
      </c>
      <c r="V46" s="1386" t="s">
        <v>7</v>
      </c>
      <c r="W46" s="1387">
        <f t="shared" si="11"/>
        <v>100</v>
      </c>
      <c r="X46" s="1380"/>
      <c r="Y46" s="4443"/>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4269" t="str">
        <f>A47</f>
        <v>成交单价（元/平方米）</v>
      </c>
      <c r="Q47" s="4269"/>
      <c r="R47" s="4442">
        <f>E47</f>
        <v>0</v>
      </c>
      <c r="S47" s="4442"/>
      <c r="T47" s="4442">
        <f>G47</f>
        <v>0</v>
      </c>
      <c r="U47" s="4442"/>
      <c r="V47" s="4442">
        <f>I47</f>
        <v>0</v>
      </c>
      <c r="W47" s="4442"/>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4269" t="str">
        <f>A48</f>
        <v>比较价格（元/平方米）</v>
      </c>
      <c r="Q48" s="4269"/>
      <c r="R48" s="4442" t="e">
        <f>IF(F1="售价",ROUND(PRODUCT(R47,AA7:AA46),0),ROUND(PRODUCT(R47,AA7:AA46),1))</f>
        <v>#DIV/0!</v>
      </c>
      <c r="S48" s="4442"/>
      <c r="T48" s="4442" t="e">
        <f>IF(F1="售价",ROUND(PRODUCT(T47,AB7:AB46),0),ROUND(PRODUCT(T47,AB7:AB46),1))</f>
        <v>#DIV/0!</v>
      </c>
      <c r="U48" s="4442"/>
      <c r="V48" s="4442" t="e">
        <f>IF(F1="售价",ROUND(PRODUCT(V47,AC7:AC46),0),ROUND(PRODUCT(V47,AC7:AC46),1))</f>
        <v>#DIV/0!</v>
      </c>
      <c r="W48" s="4442"/>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4306" t="str">
        <f>A49</f>
        <v>估价对象XX用房的比较价格（楼面单价，元/平方米）</v>
      </c>
      <c r="Q49" s="4307"/>
      <c r="R49" s="4441" t="e">
        <f>IF(F1="售价",ROUND(IF(D48="简单平均",AVERAGE(R48:V48),R48*F48+T48*H48+V48*J48),0),ROUND(IF(D48="简单平均",AVERAGE(R48:V48),R48*F48+T48*H48+V48*J48),1))</f>
        <v>#DIV/0!</v>
      </c>
      <c r="S49" s="4441"/>
      <c r="T49" s="4441"/>
      <c r="U49" s="4441"/>
      <c r="V49" s="4441"/>
      <c r="W49" s="4441"/>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2024-3</v>
      </c>
      <c r="D58" s="2284">
        <f>EDATE(C58,-1)</f>
        <v>45323</v>
      </c>
      <c r="E58" s="2284">
        <f t="shared" ref="E58:O58" si="13">EDATE(D58,-1)</f>
        <v>45292</v>
      </c>
      <c r="F58" s="2284">
        <f t="shared" si="13"/>
        <v>45261</v>
      </c>
      <c r="G58" s="2284">
        <f t="shared" si="13"/>
        <v>45231</v>
      </c>
      <c r="H58" s="2284">
        <f t="shared" si="13"/>
        <v>45200</v>
      </c>
      <c r="I58" s="2284">
        <f t="shared" si="13"/>
        <v>45170</v>
      </c>
      <c r="J58" s="2284">
        <f t="shared" si="13"/>
        <v>45139</v>
      </c>
      <c r="K58" s="2284">
        <f t="shared" si="13"/>
        <v>45108</v>
      </c>
      <c r="L58" s="2284">
        <f t="shared" si="13"/>
        <v>45078</v>
      </c>
      <c r="M58" s="2284">
        <f t="shared" si="13"/>
        <v>45047</v>
      </c>
      <c r="N58" s="2284">
        <f t="shared" si="13"/>
        <v>45017</v>
      </c>
      <c r="O58" s="2284">
        <f t="shared" si="13"/>
        <v>44986</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4275" t="s">
        <v>471</v>
      </c>
      <c r="D4" s="4276"/>
      <c r="E4" s="4310" t="s">
        <v>472</v>
      </c>
      <c r="F4" s="4311"/>
      <c r="G4" s="4275" t="s">
        <v>473</v>
      </c>
      <c r="H4" s="4276"/>
      <c r="I4" s="4275" t="s">
        <v>474</v>
      </c>
      <c r="J4" s="4276"/>
      <c r="K4" s="484" t="s">
        <v>475</v>
      </c>
      <c r="L4" s="1856"/>
      <c r="M4" s="1857"/>
      <c r="N4" s="1857"/>
      <c r="O4" s="1857"/>
      <c r="P4" s="4277" t="s">
        <v>476</v>
      </c>
      <c r="Q4" s="4278"/>
      <c r="R4" s="4283" t="s">
        <v>472</v>
      </c>
      <c r="S4" s="4284"/>
      <c r="T4" s="4283" t="s">
        <v>473</v>
      </c>
      <c r="U4" s="4284"/>
      <c r="V4" s="4270" t="s">
        <v>474</v>
      </c>
      <c r="W4" s="4270"/>
      <c r="X4" s="1380"/>
      <c r="Y4" s="4283" t="s">
        <v>476</v>
      </c>
      <c r="Z4" s="4284"/>
      <c r="AA4" s="4272" t="s">
        <v>472</v>
      </c>
      <c r="AB4" s="4270" t="s">
        <v>473</v>
      </c>
      <c r="AC4" s="4272" t="s">
        <v>474</v>
      </c>
    </row>
    <row r="5" spans="1:29" ht="15">
      <c r="A5" s="485"/>
      <c r="B5" s="486"/>
      <c r="C5" s="4291" t="s">
        <v>2192</v>
      </c>
      <c r="D5" s="4292"/>
      <c r="E5" s="4312" t="s">
        <v>2193</v>
      </c>
      <c r="F5" s="4313"/>
      <c r="G5" s="4291" t="s">
        <v>2194</v>
      </c>
      <c r="H5" s="4292"/>
      <c r="I5" s="4291" t="s">
        <v>2195</v>
      </c>
      <c r="J5" s="4292"/>
      <c r="K5" s="484"/>
      <c r="L5" s="1856"/>
      <c r="M5" s="1857"/>
      <c r="N5" s="1857"/>
      <c r="O5" s="1857"/>
      <c r="P5" s="4279"/>
      <c r="Q5" s="4280"/>
      <c r="R5" s="4285"/>
      <c r="S5" s="4286"/>
      <c r="T5" s="4285"/>
      <c r="U5" s="4286"/>
      <c r="V5" s="4270"/>
      <c r="W5" s="4270"/>
      <c r="X5" s="1380"/>
      <c r="Y5" s="4285"/>
      <c r="Z5" s="4286"/>
      <c r="AA5" s="4273"/>
      <c r="AB5" s="4270"/>
      <c r="AC5" s="4273"/>
    </row>
    <row r="6" spans="1:29" ht="15.75" thickBot="1">
      <c r="A6" s="487"/>
      <c r="B6" s="488"/>
      <c r="C6" s="4289" t="s">
        <v>2196</v>
      </c>
      <c r="D6" s="4290"/>
      <c r="E6" s="4308" t="s">
        <v>2196</v>
      </c>
      <c r="F6" s="4309"/>
      <c r="G6" s="4289" t="s">
        <v>2196</v>
      </c>
      <c r="H6" s="4290"/>
      <c r="I6" s="4289" t="s">
        <v>2196</v>
      </c>
      <c r="J6" s="4290"/>
      <c r="K6" s="484" t="s">
        <v>477</v>
      </c>
      <c r="L6" s="1856"/>
      <c r="M6" s="1857"/>
      <c r="N6" s="1857"/>
      <c r="O6" s="1857"/>
      <c r="P6" s="4281"/>
      <c r="Q6" s="4282"/>
      <c r="R6" s="4285"/>
      <c r="S6" s="4286"/>
      <c r="T6" s="4287"/>
      <c r="U6" s="4288"/>
      <c r="V6" s="4270"/>
      <c r="W6" s="4270"/>
      <c r="X6" s="1380"/>
      <c r="Y6" s="4287"/>
      <c r="Z6" s="4288"/>
      <c r="AA6" s="4274"/>
      <c r="AB6" s="4270"/>
      <c r="AC6" s="4274"/>
    </row>
    <row r="7" spans="1:29" s="1118" customFormat="1" ht="15.75" thickBot="1">
      <c r="A7" s="2392"/>
      <c r="B7" s="2399" t="s">
        <v>478</v>
      </c>
      <c r="C7" s="489">
        <f>'数据-取费表'!B2</f>
        <v>45382</v>
      </c>
      <c r="D7" s="490">
        <v>100</v>
      </c>
      <c r="E7" s="491"/>
      <c r="F7" s="492">
        <f>SUMIF(58:58,YEAR(E7)&amp;"-"&amp;MONTH(E7),59:59)</f>
        <v>0</v>
      </c>
      <c r="G7" s="491"/>
      <c r="H7" s="490">
        <f>SUMIF(58:58,YEAR(G7)&amp;"-"&amp;MONTH(G7),59:59)</f>
        <v>0</v>
      </c>
      <c r="I7" s="491"/>
      <c r="J7" s="490">
        <f>SUMIF(58:58,YEAR(I7)&amp;"-"&amp;MONTH(I7),59:59)</f>
        <v>0</v>
      </c>
      <c r="K7" s="494"/>
      <c r="L7" s="1858"/>
      <c r="M7" s="1859"/>
      <c r="N7" s="1859"/>
      <c r="O7" s="1859"/>
      <c r="P7" s="4299" t="s">
        <v>479</v>
      </c>
      <c r="Q7" s="4301"/>
      <c r="R7" s="1381" t="s">
        <v>5</v>
      </c>
      <c r="S7" s="1382">
        <f t="shared" ref="S7:S15" si="0">F7</f>
        <v>0</v>
      </c>
      <c r="T7" s="1381" t="s">
        <v>5</v>
      </c>
      <c r="U7" s="1382">
        <f t="shared" ref="U7:U15" si="1">H7</f>
        <v>0</v>
      </c>
      <c r="V7" s="1381" t="s">
        <v>5</v>
      </c>
      <c r="W7" s="1382">
        <f t="shared" ref="W7:W15" si="2">J7</f>
        <v>0</v>
      </c>
      <c r="X7" s="1383"/>
      <c r="Y7" s="4299" t="s">
        <v>479</v>
      </c>
      <c r="Z7" s="4300"/>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4299" t="s">
        <v>482</v>
      </c>
      <c r="Q8" s="4300"/>
      <c r="R8" s="1381" t="s">
        <v>5</v>
      </c>
      <c r="S8" s="1382">
        <f t="shared" si="0"/>
        <v>0</v>
      </c>
      <c r="T8" s="1381" t="s">
        <v>5</v>
      </c>
      <c r="U8" s="1382">
        <f t="shared" si="1"/>
        <v>0</v>
      </c>
      <c r="V8" s="1381" t="s">
        <v>5</v>
      </c>
      <c r="W8" s="1382">
        <f t="shared" si="2"/>
        <v>0</v>
      </c>
      <c r="X8" s="1383"/>
      <c r="Y8" s="4299" t="s">
        <v>482</v>
      </c>
      <c r="Z8" s="4300"/>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4269" t="s">
        <v>484</v>
      </c>
      <c r="Q9" s="1050" t="str">
        <f t="shared" ref="Q9:Q15" si="6">B9</f>
        <v>用途</v>
      </c>
      <c r="R9" s="1381" t="s">
        <v>5</v>
      </c>
      <c r="S9" s="1382">
        <f t="shared" si="0"/>
        <v>100</v>
      </c>
      <c r="T9" s="1381" t="s">
        <v>5</v>
      </c>
      <c r="U9" s="1382">
        <f t="shared" si="1"/>
        <v>100</v>
      </c>
      <c r="V9" s="1381" t="s">
        <v>5</v>
      </c>
      <c r="W9" s="1382">
        <f t="shared" si="2"/>
        <v>100</v>
      </c>
      <c r="X9" s="1383"/>
      <c r="Y9" s="421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4269"/>
      <c r="Q10" s="1050" t="str">
        <f t="shared" si="6"/>
        <v>土地使用年限（年）</v>
      </c>
      <c r="R10" s="1381" t="s">
        <v>5</v>
      </c>
      <c r="S10" s="1382">
        <f t="shared" si="0"/>
        <v>100</v>
      </c>
      <c r="T10" s="1381" t="s">
        <v>5</v>
      </c>
      <c r="U10" s="1382">
        <f t="shared" si="1"/>
        <v>100</v>
      </c>
      <c r="V10" s="1381" t="s">
        <v>5</v>
      </c>
      <c r="W10" s="1382">
        <f t="shared" si="2"/>
        <v>100</v>
      </c>
      <c r="X10" s="1383"/>
      <c r="Y10" s="421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4269"/>
      <c r="Q11" s="1050" t="str">
        <f t="shared" si="6"/>
        <v>容积率</v>
      </c>
      <c r="R11" s="1381" t="s">
        <v>5</v>
      </c>
      <c r="S11" s="1382" t="e">
        <f t="shared" si="0"/>
        <v>#N/A</v>
      </c>
      <c r="T11" s="1381" t="s">
        <v>5</v>
      </c>
      <c r="U11" s="1382" t="e">
        <f t="shared" si="1"/>
        <v>#N/A</v>
      </c>
      <c r="V11" s="1381" t="s">
        <v>5</v>
      </c>
      <c r="W11" s="1382" t="e">
        <f t="shared" si="2"/>
        <v>#N/A</v>
      </c>
      <c r="X11" s="1383"/>
      <c r="Y11" s="421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4269"/>
      <c r="Q12" s="1050">
        <f t="shared" si="6"/>
        <v>111</v>
      </c>
      <c r="R12" s="1381" t="s">
        <v>5</v>
      </c>
      <c r="S12" s="1382">
        <f t="shared" si="0"/>
        <v>100</v>
      </c>
      <c r="T12" s="1381" t="s">
        <v>5</v>
      </c>
      <c r="U12" s="1382">
        <f t="shared" si="1"/>
        <v>100</v>
      </c>
      <c r="V12" s="1381" t="s">
        <v>5</v>
      </c>
      <c r="W12" s="1382">
        <f t="shared" si="2"/>
        <v>100</v>
      </c>
      <c r="X12" s="1383"/>
      <c r="Y12" s="4213"/>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4269"/>
      <c r="Q13" s="1050">
        <f t="shared" si="6"/>
        <v>111</v>
      </c>
      <c r="R13" s="1381" t="s">
        <v>5</v>
      </c>
      <c r="S13" s="1382">
        <f t="shared" si="0"/>
        <v>100</v>
      </c>
      <c r="T13" s="1381" t="s">
        <v>5</v>
      </c>
      <c r="U13" s="1382">
        <f t="shared" si="1"/>
        <v>100</v>
      </c>
      <c r="V13" s="1381" t="s">
        <v>5</v>
      </c>
      <c r="W13" s="1382">
        <f t="shared" si="2"/>
        <v>100</v>
      </c>
      <c r="X13" s="1383"/>
      <c r="Y13" s="4213"/>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4269"/>
      <c r="Q14" s="1050">
        <f t="shared" si="6"/>
        <v>111</v>
      </c>
      <c r="R14" s="1381" t="s">
        <v>5</v>
      </c>
      <c r="S14" s="1382">
        <f t="shared" si="0"/>
        <v>100</v>
      </c>
      <c r="T14" s="1381" t="s">
        <v>5</v>
      </c>
      <c r="U14" s="1382">
        <f t="shared" si="1"/>
        <v>100</v>
      </c>
      <c r="V14" s="1381" t="s">
        <v>5</v>
      </c>
      <c r="W14" s="1382">
        <f t="shared" si="2"/>
        <v>100</v>
      </c>
      <c r="X14" s="1383"/>
      <c r="Y14" s="4213"/>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4302" t="s">
        <v>489</v>
      </c>
      <c r="Q15" s="1385" t="str">
        <f t="shared" si="6"/>
        <v>商业繁华度</v>
      </c>
      <c r="R15" s="1386" t="s">
        <v>5</v>
      </c>
      <c r="S15" s="1387">
        <f t="shared" si="0"/>
        <v>100</v>
      </c>
      <c r="T15" s="1386" t="s">
        <v>5</v>
      </c>
      <c r="U15" s="1387">
        <f t="shared" si="1"/>
        <v>100</v>
      </c>
      <c r="V15" s="1386" t="s">
        <v>5</v>
      </c>
      <c r="W15" s="1387">
        <f t="shared" si="2"/>
        <v>100</v>
      </c>
      <c r="X15" s="1380"/>
      <c r="Y15" s="4302"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4303"/>
      <c r="Q16" s="1385"/>
      <c r="R16" s="1386"/>
      <c r="S16" s="1387"/>
      <c r="T16" s="1386"/>
      <c r="U16" s="1387"/>
      <c r="V16" s="1386"/>
      <c r="W16" s="1387"/>
      <c r="X16" s="1380"/>
      <c r="Y16" s="4303"/>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4303"/>
      <c r="Q17" s="1385" t="str">
        <f>B17</f>
        <v>交通便捷度</v>
      </c>
      <c r="R17" s="1386" t="s">
        <v>5</v>
      </c>
      <c r="S17" s="1387">
        <f>F17</f>
        <v>100</v>
      </c>
      <c r="T17" s="1386" t="s">
        <v>5</v>
      </c>
      <c r="U17" s="1387">
        <f>H17</f>
        <v>100</v>
      </c>
      <c r="V17" s="1386" t="s">
        <v>5</v>
      </c>
      <c r="W17" s="1387">
        <f>J17</f>
        <v>100</v>
      </c>
      <c r="X17" s="1380"/>
      <c r="Y17" s="430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4303"/>
      <c r="Q18" s="1385"/>
      <c r="R18" s="1386"/>
      <c r="S18" s="1387"/>
      <c r="T18" s="1386"/>
      <c r="U18" s="1387"/>
      <c r="V18" s="1386"/>
      <c r="W18" s="1387"/>
      <c r="X18" s="1380"/>
      <c r="Y18" s="4303"/>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4303"/>
      <c r="Q19" s="1385" t="str">
        <f>B19</f>
        <v>公共配套设施</v>
      </c>
      <c r="R19" s="1386" t="s">
        <v>5</v>
      </c>
      <c r="S19" s="1387">
        <f>F19</f>
        <v>100</v>
      </c>
      <c r="T19" s="1386" t="s">
        <v>5</v>
      </c>
      <c r="U19" s="1387">
        <f>H19</f>
        <v>100</v>
      </c>
      <c r="V19" s="1386" t="s">
        <v>5</v>
      </c>
      <c r="W19" s="1387">
        <f>J19</f>
        <v>100</v>
      </c>
      <c r="X19" s="1380"/>
      <c r="Y19" s="430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4303"/>
      <c r="Q20" s="1385"/>
      <c r="R20" s="1386"/>
      <c r="S20" s="1387"/>
      <c r="T20" s="1386"/>
      <c r="U20" s="1387"/>
      <c r="V20" s="1386"/>
      <c r="W20" s="1387"/>
      <c r="X20" s="1380"/>
      <c r="Y20" s="4303"/>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4303"/>
      <c r="Q21" s="2193" t="str">
        <f>B21</f>
        <v>基础设施水平</v>
      </c>
      <c r="R21" s="1386" t="s">
        <v>5</v>
      </c>
      <c r="S21" s="1387">
        <f>F21</f>
        <v>100</v>
      </c>
      <c r="T21" s="1386" t="s">
        <v>5</v>
      </c>
      <c r="U21" s="1387">
        <f>H21</f>
        <v>100</v>
      </c>
      <c r="V21" s="1386" t="s">
        <v>5</v>
      </c>
      <c r="W21" s="1387">
        <f>J21</f>
        <v>100</v>
      </c>
      <c r="X21" s="2195"/>
      <c r="Y21" s="430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4303"/>
      <c r="Q22" s="2193"/>
      <c r="R22" s="1386"/>
      <c r="S22" s="1387"/>
      <c r="T22" s="1386"/>
      <c r="U22" s="1387"/>
      <c r="V22" s="1386"/>
      <c r="W22" s="1387"/>
      <c r="X22" s="2195"/>
      <c r="Y22" s="4303"/>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4303"/>
      <c r="Q23" s="1385" t="str">
        <f>B23</f>
        <v>自然及人文环境</v>
      </c>
      <c r="R23" s="1386" t="s">
        <v>5</v>
      </c>
      <c r="S23" s="1387">
        <f>F23</f>
        <v>100</v>
      </c>
      <c r="T23" s="1386" t="s">
        <v>5</v>
      </c>
      <c r="U23" s="1387">
        <f>H23</f>
        <v>100</v>
      </c>
      <c r="V23" s="1386" t="s">
        <v>5</v>
      </c>
      <c r="W23" s="1387">
        <f>J23</f>
        <v>100</v>
      </c>
      <c r="X23" s="1380"/>
      <c r="Y23" s="430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4303"/>
      <c r="Q24" s="1385"/>
      <c r="R24" s="1386"/>
      <c r="S24" s="1387"/>
      <c r="T24" s="1386"/>
      <c r="U24" s="1387"/>
      <c r="V24" s="1386"/>
      <c r="W24" s="1387"/>
      <c r="X24" s="1380"/>
      <c r="Y24" s="4303"/>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4303"/>
      <c r="Q25" s="1385" t="str">
        <f t="shared" ref="Q25:Q46" si="8">B25</f>
        <v>临街状况</v>
      </c>
      <c r="R25" s="1386" t="s">
        <v>5</v>
      </c>
      <c r="S25" s="1387">
        <f>F25</f>
        <v>100</v>
      </c>
      <c r="T25" s="1386" t="s">
        <v>5</v>
      </c>
      <c r="U25" s="1387">
        <f>H25</f>
        <v>100</v>
      </c>
      <c r="V25" s="1386" t="s">
        <v>5</v>
      </c>
      <c r="W25" s="1387">
        <f>J25</f>
        <v>100</v>
      </c>
      <c r="X25" s="1380"/>
      <c r="Y25" s="4303"/>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4303"/>
      <c r="Q26" s="1385" t="str">
        <f t="shared" si="8"/>
        <v>平面位置/可视性</v>
      </c>
      <c r="R26" s="1386" t="s">
        <v>5</v>
      </c>
      <c r="S26" s="1387">
        <f>F26</f>
        <v>100</v>
      </c>
      <c r="T26" s="1386" t="s">
        <v>5</v>
      </c>
      <c r="U26" s="1387">
        <f>H26</f>
        <v>100</v>
      </c>
      <c r="V26" s="1386" t="s">
        <v>5</v>
      </c>
      <c r="W26" s="1387">
        <f>J26</f>
        <v>100</v>
      </c>
      <c r="X26" s="1380"/>
      <c r="Y26" s="4303"/>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4303"/>
      <c r="Q27" s="1050" t="str">
        <f t="shared" si="8"/>
        <v>人流量</v>
      </c>
      <c r="R27" s="1381" t="s">
        <v>5</v>
      </c>
      <c r="S27" s="1382">
        <f>F27</f>
        <v>100</v>
      </c>
      <c r="T27" s="1381" t="s">
        <v>5</v>
      </c>
      <c r="U27" s="1382">
        <f>H27</f>
        <v>100</v>
      </c>
      <c r="V27" s="1381" t="s">
        <v>5</v>
      </c>
      <c r="W27" s="1382">
        <f>J27</f>
        <v>100</v>
      </c>
      <c r="X27" s="1383"/>
      <c r="Y27" s="4303"/>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4303"/>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4303"/>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4303"/>
      <c r="Q29" s="1385">
        <f t="shared" si="8"/>
        <v>111</v>
      </c>
      <c r="R29" s="1386" t="s">
        <v>5</v>
      </c>
      <c r="S29" s="1387">
        <f t="shared" si="9"/>
        <v>100</v>
      </c>
      <c r="T29" s="1386" t="s">
        <v>5</v>
      </c>
      <c r="U29" s="1387">
        <f t="shared" si="10"/>
        <v>100</v>
      </c>
      <c r="V29" s="1386" t="s">
        <v>5</v>
      </c>
      <c r="W29" s="1387">
        <f t="shared" si="11"/>
        <v>100</v>
      </c>
      <c r="X29" s="1380"/>
      <c r="Y29" s="430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4303"/>
      <c r="Q30" s="1385">
        <f t="shared" si="8"/>
        <v>111</v>
      </c>
      <c r="R30" s="1386" t="s">
        <v>5</v>
      </c>
      <c r="S30" s="1387">
        <f t="shared" si="9"/>
        <v>100</v>
      </c>
      <c r="T30" s="1386" t="s">
        <v>5</v>
      </c>
      <c r="U30" s="1387">
        <f t="shared" si="10"/>
        <v>100</v>
      </c>
      <c r="V30" s="1386" t="s">
        <v>5</v>
      </c>
      <c r="W30" s="1387">
        <f t="shared" si="11"/>
        <v>100</v>
      </c>
      <c r="X30" s="1380"/>
      <c r="Y30" s="4303"/>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4303"/>
      <c r="Q31" s="1385">
        <f t="shared" si="8"/>
        <v>111</v>
      </c>
      <c r="R31" s="1386" t="s">
        <v>5</v>
      </c>
      <c r="S31" s="1387">
        <f t="shared" si="9"/>
        <v>100</v>
      </c>
      <c r="T31" s="1386" t="s">
        <v>5</v>
      </c>
      <c r="U31" s="1387">
        <f t="shared" si="10"/>
        <v>100</v>
      </c>
      <c r="V31" s="1386" t="s">
        <v>5</v>
      </c>
      <c r="W31" s="1387">
        <f t="shared" si="11"/>
        <v>100</v>
      </c>
      <c r="X31" s="1380"/>
      <c r="Y31" s="4303"/>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4304" t="s">
        <v>499</v>
      </c>
      <c r="Q32" s="1385" t="str">
        <f t="shared" si="8"/>
        <v>商业类型</v>
      </c>
      <c r="R32" s="1386" t="s">
        <v>5</v>
      </c>
      <c r="S32" s="1387">
        <f t="shared" si="9"/>
        <v>100</v>
      </c>
      <c r="T32" s="1386" t="s">
        <v>5</v>
      </c>
      <c r="U32" s="1387">
        <f t="shared" si="10"/>
        <v>100</v>
      </c>
      <c r="V32" s="1386" t="s">
        <v>5</v>
      </c>
      <c r="W32" s="1387">
        <f t="shared" si="11"/>
        <v>100</v>
      </c>
      <c r="X32" s="1380"/>
      <c r="Y32" s="4305"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4305"/>
      <c r="Q33" s="1414" t="str">
        <f t="shared" si="8"/>
        <v>项目建筑规模</v>
      </c>
      <c r="R33" s="1390" t="s">
        <v>5</v>
      </c>
      <c r="S33" s="1391" t="e">
        <f t="shared" si="9"/>
        <v>#N/A</v>
      </c>
      <c r="T33" s="1390" t="s">
        <v>5</v>
      </c>
      <c r="U33" s="1391" t="e">
        <f t="shared" si="10"/>
        <v>#N/A</v>
      </c>
      <c r="V33" s="1390" t="s">
        <v>5</v>
      </c>
      <c r="W33" s="1391" t="e">
        <f t="shared" si="11"/>
        <v>#N/A</v>
      </c>
      <c r="X33" s="1392"/>
      <c r="Y33" s="430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4305"/>
      <c r="Q34" s="1385" t="str">
        <f t="shared" si="8"/>
        <v>建筑结构</v>
      </c>
      <c r="R34" s="1386" t="s">
        <v>5</v>
      </c>
      <c r="S34" s="1387">
        <f t="shared" si="9"/>
        <v>100</v>
      </c>
      <c r="T34" s="1386" t="s">
        <v>5</v>
      </c>
      <c r="U34" s="1387">
        <f t="shared" si="10"/>
        <v>100</v>
      </c>
      <c r="V34" s="1386" t="s">
        <v>5</v>
      </c>
      <c r="W34" s="1387">
        <f t="shared" si="11"/>
        <v>100</v>
      </c>
      <c r="X34" s="1380"/>
      <c r="Y34" s="4305"/>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4305"/>
      <c r="Q35" s="1385" t="str">
        <f t="shared" si="8"/>
        <v>公共部分装修</v>
      </c>
      <c r="R35" s="1386" t="s">
        <v>5</v>
      </c>
      <c r="S35" s="1387">
        <f t="shared" si="9"/>
        <v>100</v>
      </c>
      <c r="T35" s="1386" t="s">
        <v>5</v>
      </c>
      <c r="U35" s="1387">
        <f t="shared" si="10"/>
        <v>100</v>
      </c>
      <c r="V35" s="1386" t="s">
        <v>5</v>
      </c>
      <c r="W35" s="1387">
        <f t="shared" si="11"/>
        <v>100</v>
      </c>
      <c r="X35" s="1380"/>
      <c r="Y35" s="4305"/>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4305"/>
      <c r="Q36" s="1385" t="str">
        <f t="shared" si="8"/>
        <v>成新度</v>
      </c>
      <c r="R36" s="1386" t="s">
        <v>5</v>
      </c>
      <c r="S36" s="1387" t="e">
        <f t="shared" si="9"/>
        <v>#N/A</v>
      </c>
      <c r="T36" s="1386" t="s">
        <v>5</v>
      </c>
      <c r="U36" s="1387" t="e">
        <f t="shared" si="10"/>
        <v>#N/A</v>
      </c>
      <c r="V36" s="1386" t="s">
        <v>5</v>
      </c>
      <c r="W36" s="1387" t="e">
        <f t="shared" si="11"/>
        <v>#N/A</v>
      </c>
      <c r="X36" s="1380"/>
      <c r="Y36" s="4305"/>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4305"/>
      <c r="Q37" s="1050" t="str">
        <f t="shared" si="8"/>
        <v>市政基础设施</v>
      </c>
      <c r="R37" s="1381" t="s">
        <v>5</v>
      </c>
      <c r="S37" s="1382">
        <f t="shared" si="9"/>
        <v>100</v>
      </c>
      <c r="T37" s="1381" t="s">
        <v>5</v>
      </c>
      <c r="U37" s="1382">
        <f t="shared" si="10"/>
        <v>100</v>
      </c>
      <c r="V37" s="1381" t="s">
        <v>5</v>
      </c>
      <c r="W37" s="1382">
        <f t="shared" si="11"/>
        <v>100</v>
      </c>
      <c r="X37" s="1383"/>
      <c r="Y37" s="4305"/>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4305" t="s">
        <v>706</v>
      </c>
      <c r="Q38" s="1385" t="str">
        <f t="shared" si="8"/>
        <v>业态</v>
      </c>
      <c r="R38" s="1386" t="s">
        <v>5</v>
      </c>
      <c r="S38" s="1387">
        <f t="shared" si="9"/>
        <v>100</v>
      </c>
      <c r="T38" s="1386" t="s">
        <v>5</v>
      </c>
      <c r="U38" s="1387">
        <f t="shared" si="10"/>
        <v>100</v>
      </c>
      <c r="V38" s="1386" t="s">
        <v>5</v>
      </c>
      <c r="W38" s="1387">
        <f t="shared" si="11"/>
        <v>100</v>
      </c>
      <c r="X38" s="1380"/>
      <c r="Y38" s="4305"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4305"/>
      <c r="Q39" s="1385" t="str">
        <f t="shared" si="8"/>
        <v>层高</v>
      </c>
      <c r="R39" s="1386" t="s">
        <v>5</v>
      </c>
      <c r="S39" s="1387">
        <f t="shared" si="9"/>
        <v>100</v>
      </c>
      <c r="T39" s="1386" t="s">
        <v>5</v>
      </c>
      <c r="U39" s="1387">
        <f t="shared" si="10"/>
        <v>100</v>
      </c>
      <c r="V39" s="1386" t="s">
        <v>5</v>
      </c>
      <c r="W39" s="1387">
        <f t="shared" si="11"/>
        <v>100</v>
      </c>
      <c r="X39" s="1380"/>
      <c r="Y39" s="4305"/>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4305"/>
      <c r="Q40" s="1385" t="str">
        <f t="shared" si="8"/>
        <v>单套建筑面积</v>
      </c>
      <c r="R40" s="1386" t="s">
        <v>5</v>
      </c>
      <c r="S40" s="1387">
        <f t="shared" si="9"/>
        <v>100</v>
      </c>
      <c r="T40" s="1386" t="s">
        <v>5</v>
      </c>
      <c r="U40" s="1387">
        <f t="shared" si="10"/>
        <v>100</v>
      </c>
      <c r="V40" s="1386" t="s">
        <v>5</v>
      </c>
      <c r="W40" s="1387">
        <f t="shared" si="11"/>
        <v>100</v>
      </c>
      <c r="X40" s="1380"/>
      <c r="Y40" s="4305"/>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4305"/>
      <c r="Q41" s="1414" t="str">
        <f t="shared" si="8"/>
        <v>进深比</v>
      </c>
      <c r="R41" s="1390" t="s">
        <v>5</v>
      </c>
      <c r="S41" s="1391">
        <f t="shared" si="9"/>
        <v>100</v>
      </c>
      <c r="T41" s="1390" t="s">
        <v>5</v>
      </c>
      <c r="U41" s="1391">
        <f t="shared" si="10"/>
        <v>100</v>
      </c>
      <c r="V41" s="1390" t="s">
        <v>5</v>
      </c>
      <c r="W41" s="1391">
        <f t="shared" si="11"/>
        <v>100</v>
      </c>
      <c r="X41" s="1392"/>
      <c r="Y41" s="4305"/>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4305"/>
      <c r="Q42" s="1385" t="str">
        <f t="shared" si="8"/>
        <v>内部装修</v>
      </c>
      <c r="R42" s="1386" t="s">
        <v>5</v>
      </c>
      <c r="S42" s="1387">
        <f t="shared" si="9"/>
        <v>100</v>
      </c>
      <c r="T42" s="1386" t="s">
        <v>5</v>
      </c>
      <c r="U42" s="1387">
        <f t="shared" si="10"/>
        <v>100</v>
      </c>
      <c r="V42" s="1386" t="s">
        <v>5</v>
      </c>
      <c r="W42" s="1387">
        <f t="shared" si="11"/>
        <v>100</v>
      </c>
      <c r="X42" s="1380"/>
      <c r="Y42" s="4305"/>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4305"/>
      <c r="Q43" s="1385" t="str">
        <f t="shared" si="8"/>
        <v>内部装修维护情况</v>
      </c>
      <c r="R43" s="1386" t="s">
        <v>5</v>
      </c>
      <c r="S43" s="1387">
        <f t="shared" si="9"/>
        <v>100</v>
      </c>
      <c r="T43" s="1386" t="s">
        <v>5</v>
      </c>
      <c r="U43" s="1387">
        <f t="shared" si="10"/>
        <v>100</v>
      </c>
      <c r="V43" s="1386" t="s">
        <v>5</v>
      </c>
      <c r="W43" s="1387">
        <f t="shared" si="11"/>
        <v>100</v>
      </c>
      <c r="X43" s="1380"/>
      <c r="Y43" s="430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4305"/>
      <c r="Q44" s="1050">
        <f t="shared" si="8"/>
        <v>111</v>
      </c>
      <c r="R44" s="1381" t="s">
        <v>5</v>
      </c>
      <c r="S44" s="1382">
        <f t="shared" si="9"/>
        <v>100</v>
      </c>
      <c r="T44" s="1381" t="s">
        <v>5</v>
      </c>
      <c r="U44" s="1382">
        <f t="shared" si="10"/>
        <v>100</v>
      </c>
      <c r="V44" s="1381" t="s">
        <v>5</v>
      </c>
      <c r="W44" s="1382">
        <f t="shared" si="11"/>
        <v>100</v>
      </c>
      <c r="X44" s="1383"/>
      <c r="Y44" s="430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4305"/>
      <c r="Q45" s="1385">
        <f t="shared" si="8"/>
        <v>111</v>
      </c>
      <c r="R45" s="1386" t="s">
        <v>5</v>
      </c>
      <c r="S45" s="1387">
        <f t="shared" si="9"/>
        <v>100</v>
      </c>
      <c r="T45" s="1386" t="s">
        <v>5</v>
      </c>
      <c r="U45" s="1387">
        <f t="shared" si="10"/>
        <v>100</v>
      </c>
      <c r="V45" s="1386" t="s">
        <v>5</v>
      </c>
      <c r="W45" s="1387">
        <f t="shared" si="11"/>
        <v>100</v>
      </c>
      <c r="X45" s="1380"/>
      <c r="Y45" s="4305"/>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443"/>
      <c r="Q46" s="1385">
        <f t="shared" si="8"/>
        <v>111</v>
      </c>
      <c r="R46" s="1386" t="s">
        <v>5</v>
      </c>
      <c r="S46" s="1387">
        <f t="shared" si="9"/>
        <v>100</v>
      </c>
      <c r="T46" s="1386" t="s">
        <v>5</v>
      </c>
      <c r="U46" s="1387">
        <f t="shared" si="10"/>
        <v>100</v>
      </c>
      <c r="V46" s="1386" t="s">
        <v>5</v>
      </c>
      <c r="W46" s="1387">
        <f t="shared" si="11"/>
        <v>100</v>
      </c>
      <c r="X46" s="1380"/>
      <c r="Y46" s="4443"/>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4269" t="str">
        <f>A47</f>
        <v>成交单价（元/平方米）</v>
      </c>
      <c r="Q47" s="4269"/>
      <c r="R47" s="4442">
        <f>E47</f>
        <v>0</v>
      </c>
      <c r="S47" s="4442"/>
      <c r="T47" s="4442">
        <f>G47</f>
        <v>0</v>
      </c>
      <c r="U47" s="4442"/>
      <c r="V47" s="4442">
        <f>I47</f>
        <v>0</v>
      </c>
      <c r="W47" s="4442"/>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4269" t="str">
        <f>A48</f>
        <v>比较价格（元/平方米）</v>
      </c>
      <c r="Q48" s="4269"/>
      <c r="R48" s="4442" t="e">
        <f>IF(F1="售价",ROUND(PRODUCT(R47,AA7:AA46),0),ROUND(PRODUCT(R47,AA7:AA46),1))</f>
        <v>#DIV/0!</v>
      </c>
      <c r="S48" s="4442"/>
      <c r="T48" s="4442" t="e">
        <f>IF(F1="售价",ROUND(PRODUCT(T47,AB7:AB46),0),ROUND(PRODUCT(T47,AB7:AB46),1))</f>
        <v>#DIV/0!</v>
      </c>
      <c r="U48" s="4442"/>
      <c r="V48" s="4442" t="e">
        <f>IF(F1="售价",ROUND(PRODUCT(V47,AC7:AC46),0),ROUND(PRODUCT(V47,AC7:AC46),1))</f>
        <v>#DIV/0!</v>
      </c>
      <c r="W48" s="4442"/>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4306" t="str">
        <f>A49</f>
        <v>估价对象XX用房的比较价格（楼面单价，元/平方米）</v>
      </c>
      <c r="Q49" s="4307"/>
      <c r="R49" s="4441" t="e">
        <f>IF(F1="售价",ROUND(IF(D48="简单平均",AVERAGE(R48:V48),R48*F48+T48*H48+V48*J48),0),ROUND(IF(D48="简单平均",AVERAGE(R48:V48),R48*F48+T48*H48+V48*J48),1))</f>
        <v>#DIV/0!</v>
      </c>
      <c r="S49" s="4441"/>
      <c r="T49" s="4441"/>
      <c r="U49" s="4441"/>
      <c r="V49" s="4441"/>
      <c r="W49" s="4441"/>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2024-3</v>
      </c>
      <c r="D58" s="2284">
        <f>EDATE(C58,-1)</f>
        <v>45323</v>
      </c>
      <c r="E58" s="2284">
        <f t="shared" ref="E58:O58" si="13">EDATE(D58,-1)</f>
        <v>45292</v>
      </c>
      <c r="F58" s="2284">
        <f t="shared" si="13"/>
        <v>45261</v>
      </c>
      <c r="G58" s="2284">
        <f t="shared" si="13"/>
        <v>45231</v>
      </c>
      <c r="H58" s="2284">
        <f t="shared" si="13"/>
        <v>45200</v>
      </c>
      <c r="I58" s="2284">
        <f t="shared" si="13"/>
        <v>45170</v>
      </c>
      <c r="J58" s="2284">
        <f t="shared" si="13"/>
        <v>45139</v>
      </c>
      <c r="K58" s="2284">
        <f t="shared" si="13"/>
        <v>45108</v>
      </c>
      <c r="L58" s="2284">
        <f t="shared" si="13"/>
        <v>45078</v>
      </c>
      <c r="M58" s="2284">
        <f t="shared" si="13"/>
        <v>45047</v>
      </c>
      <c r="N58" s="2284">
        <f t="shared" si="13"/>
        <v>45017</v>
      </c>
      <c r="O58" s="2284">
        <f t="shared" si="13"/>
        <v>44986</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受贵公司委托，我公司对北京市划拨国有建设用地使用权进行了预评估。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59218.34平方米。根据《建设工程规划许可证》[]、《出让合同》[]，估价对象规划建筑面积为59218.34平方米。</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5" t="s">
        <v>1544</v>
      </c>
    </row>
    <row r="11" spans="1:4" ht="18.75">
      <c r="A11" s="1568" t="str">
        <f>TEXT(项目基本情况!D3,"yyyy年m月d日;;")&amp;IF(项目基本情况!B3=项目基本情况!D3,"（评估专业人员勘察现场之日）","")</f>
        <v>2024年3月31日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根据《国有土地使用证》[]，估价对象（分摊）出让国有建设用地使用权面积为59218.34平方米。根据《建设工程规划许可证》[]、《出让合同》[]，估价对象规划建筑面积为59218.34平方米。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26" spans="1:1" ht="93.75">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4275" t="s">
        <v>471</v>
      </c>
      <c r="D4" s="4276"/>
      <c r="E4" s="4310" t="s">
        <v>472</v>
      </c>
      <c r="F4" s="4311"/>
      <c r="G4" s="4275" t="s">
        <v>473</v>
      </c>
      <c r="H4" s="4276"/>
      <c r="I4" s="4275" t="s">
        <v>474</v>
      </c>
      <c r="J4" s="4276"/>
      <c r="K4" s="484" t="s">
        <v>475</v>
      </c>
      <c r="L4" s="1856"/>
      <c r="M4" s="1857"/>
      <c r="N4" s="1857"/>
      <c r="O4" s="1857"/>
      <c r="P4" s="4445" t="s">
        <v>476</v>
      </c>
      <c r="Q4" s="4278"/>
      <c r="R4" s="4283" t="s">
        <v>472</v>
      </c>
      <c r="S4" s="4284"/>
      <c r="T4" s="4283" t="s">
        <v>473</v>
      </c>
      <c r="U4" s="4284"/>
      <c r="V4" s="4270" t="s">
        <v>474</v>
      </c>
      <c r="W4" s="4270"/>
      <c r="X4" s="1380"/>
      <c r="Y4" s="4283" t="s">
        <v>476</v>
      </c>
      <c r="Z4" s="4284"/>
      <c r="AA4" s="4272" t="s">
        <v>472</v>
      </c>
      <c r="AB4" s="4272" t="s">
        <v>473</v>
      </c>
      <c r="AC4" s="4272" t="s">
        <v>474</v>
      </c>
    </row>
    <row r="5" spans="1:29" ht="15">
      <c r="A5" s="485"/>
      <c r="B5" s="486"/>
      <c r="C5" s="4291" t="s">
        <v>2192</v>
      </c>
      <c r="D5" s="4292"/>
      <c r="E5" s="4312" t="s">
        <v>2193</v>
      </c>
      <c r="F5" s="4313"/>
      <c r="G5" s="4291" t="s">
        <v>2194</v>
      </c>
      <c r="H5" s="4292"/>
      <c r="I5" s="4291" t="s">
        <v>2195</v>
      </c>
      <c r="J5" s="4292"/>
      <c r="K5" s="484"/>
      <c r="L5" s="1856"/>
      <c r="M5" s="1857"/>
      <c r="N5" s="1857"/>
      <c r="O5" s="1857"/>
      <c r="P5" s="4446"/>
      <c r="Q5" s="4280"/>
      <c r="R5" s="4285"/>
      <c r="S5" s="4286"/>
      <c r="T5" s="4285"/>
      <c r="U5" s="4286"/>
      <c r="V5" s="4270"/>
      <c r="W5" s="4270"/>
      <c r="X5" s="1380"/>
      <c r="Y5" s="4285"/>
      <c r="Z5" s="4286"/>
      <c r="AA5" s="4273"/>
      <c r="AB5" s="4273"/>
      <c r="AC5" s="4273"/>
    </row>
    <row r="6" spans="1:29" ht="15.75" thickBot="1">
      <c r="A6" s="487"/>
      <c r="B6" s="488"/>
      <c r="C6" s="4289" t="s">
        <v>2196</v>
      </c>
      <c r="D6" s="4290"/>
      <c r="E6" s="4308" t="s">
        <v>2196</v>
      </c>
      <c r="F6" s="4309"/>
      <c r="G6" s="4289" t="s">
        <v>2196</v>
      </c>
      <c r="H6" s="4290"/>
      <c r="I6" s="4289" t="s">
        <v>2196</v>
      </c>
      <c r="J6" s="4290"/>
      <c r="K6" s="484" t="s">
        <v>477</v>
      </c>
      <c r="L6" s="1856"/>
      <c r="M6" s="1857"/>
      <c r="N6" s="1857"/>
      <c r="O6" s="1857"/>
      <c r="P6" s="4447"/>
      <c r="Q6" s="4282"/>
      <c r="R6" s="4285"/>
      <c r="S6" s="4286"/>
      <c r="T6" s="4287"/>
      <c r="U6" s="4288"/>
      <c r="V6" s="4270"/>
      <c r="W6" s="4270"/>
      <c r="X6" s="1380"/>
      <c r="Y6" s="4287"/>
      <c r="Z6" s="4288"/>
      <c r="AA6" s="4274"/>
      <c r="AB6" s="4274"/>
      <c r="AC6" s="4274"/>
    </row>
    <row r="7" spans="1:29" s="1118" customFormat="1" ht="15.75" thickBot="1">
      <c r="A7" s="2392"/>
      <c r="B7" s="2399" t="s">
        <v>478</v>
      </c>
      <c r="C7" s="489">
        <f>'数据-取费表'!B2</f>
        <v>45382</v>
      </c>
      <c r="D7" s="490">
        <v>100</v>
      </c>
      <c r="E7" s="491"/>
      <c r="F7" s="492">
        <f>SUMIF(59:59,YEAR(E7)&amp;"-"&amp;MONTH(E7),60:60)</f>
        <v>0</v>
      </c>
      <c r="G7" s="491"/>
      <c r="H7" s="490">
        <f>SUMIF(59:59,YEAR(G7)&amp;"-"&amp;MONTH(G7),60:60)</f>
        <v>0</v>
      </c>
      <c r="I7" s="491"/>
      <c r="J7" s="490">
        <f>SUMIF(59:59,YEAR(I7)&amp;"-"&amp;MONTH(I7),60:60)</f>
        <v>0</v>
      </c>
      <c r="K7" s="494"/>
      <c r="L7" s="1858"/>
      <c r="M7" s="1859"/>
      <c r="N7" s="1859"/>
      <c r="O7" s="1859"/>
      <c r="P7" s="4301" t="s">
        <v>479</v>
      </c>
      <c r="Q7" s="4301"/>
      <c r="R7" s="1381" t="s">
        <v>5</v>
      </c>
      <c r="S7" s="1382">
        <f t="shared" ref="S7:S15" si="0">F7</f>
        <v>0</v>
      </c>
      <c r="T7" s="1381" t="s">
        <v>5</v>
      </c>
      <c r="U7" s="1382">
        <f t="shared" ref="U7:U15" si="1">H7</f>
        <v>0</v>
      </c>
      <c r="V7" s="1381" t="s">
        <v>5</v>
      </c>
      <c r="W7" s="1382">
        <f t="shared" ref="W7:W15" si="2">J7</f>
        <v>0</v>
      </c>
      <c r="X7" s="1383"/>
      <c r="Y7" s="4299" t="s">
        <v>479</v>
      </c>
      <c r="Z7" s="4300"/>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4301" t="s">
        <v>482</v>
      </c>
      <c r="Q8" s="4300"/>
      <c r="R8" s="1381" t="s">
        <v>5</v>
      </c>
      <c r="S8" s="1382">
        <f t="shared" si="0"/>
        <v>0</v>
      </c>
      <c r="T8" s="1381" t="s">
        <v>5</v>
      </c>
      <c r="U8" s="1382">
        <f t="shared" si="1"/>
        <v>0</v>
      </c>
      <c r="V8" s="1381" t="s">
        <v>5</v>
      </c>
      <c r="W8" s="1382">
        <f t="shared" si="2"/>
        <v>0</v>
      </c>
      <c r="X8" s="1383"/>
      <c r="Y8" s="4299" t="s">
        <v>482</v>
      </c>
      <c r="Z8" s="4300"/>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4269" t="s">
        <v>484</v>
      </c>
      <c r="Q9" s="1050" t="str">
        <f t="shared" ref="Q9:Q15" si="6">B9</f>
        <v>用途</v>
      </c>
      <c r="R9" s="1381" t="s">
        <v>5</v>
      </c>
      <c r="S9" s="1382">
        <f t="shared" si="0"/>
        <v>100</v>
      </c>
      <c r="T9" s="1381" t="s">
        <v>5</v>
      </c>
      <c r="U9" s="1382">
        <f t="shared" si="1"/>
        <v>100</v>
      </c>
      <c r="V9" s="1381" t="s">
        <v>5</v>
      </c>
      <c r="W9" s="1382">
        <f t="shared" si="2"/>
        <v>100</v>
      </c>
      <c r="X9" s="1383"/>
      <c r="Y9" s="421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4269"/>
      <c r="Q10" s="1050" t="str">
        <f t="shared" si="6"/>
        <v>土地使用年限（年）</v>
      </c>
      <c r="R10" s="1381" t="s">
        <v>5</v>
      </c>
      <c r="S10" s="1382">
        <f t="shared" si="0"/>
        <v>100</v>
      </c>
      <c r="T10" s="1381" t="s">
        <v>5</v>
      </c>
      <c r="U10" s="1382">
        <f t="shared" si="1"/>
        <v>100</v>
      </c>
      <c r="V10" s="1381" t="s">
        <v>5</v>
      </c>
      <c r="W10" s="1382">
        <f t="shared" si="2"/>
        <v>100</v>
      </c>
      <c r="X10" s="1383"/>
      <c r="Y10" s="421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4269"/>
      <c r="Q11" s="1050" t="str">
        <f t="shared" si="6"/>
        <v>容积率</v>
      </c>
      <c r="R11" s="1381" t="s">
        <v>5</v>
      </c>
      <c r="S11" s="1382" t="e">
        <f t="shared" si="0"/>
        <v>#N/A</v>
      </c>
      <c r="T11" s="1381" t="s">
        <v>5</v>
      </c>
      <c r="U11" s="1382" t="e">
        <f t="shared" si="1"/>
        <v>#N/A</v>
      </c>
      <c r="V11" s="1381" t="s">
        <v>5</v>
      </c>
      <c r="W11" s="1382" t="e">
        <f t="shared" si="2"/>
        <v>#N/A</v>
      </c>
      <c r="X11" s="1383"/>
      <c r="Y11" s="421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4269"/>
      <c r="Q12" s="1050">
        <f t="shared" si="6"/>
        <v>111</v>
      </c>
      <c r="R12" s="1381" t="s">
        <v>5</v>
      </c>
      <c r="S12" s="1382">
        <f t="shared" si="0"/>
        <v>100</v>
      </c>
      <c r="T12" s="1381" t="s">
        <v>5</v>
      </c>
      <c r="U12" s="1382">
        <f t="shared" si="1"/>
        <v>100</v>
      </c>
      <c r="V12" s="1381" t="s">
        <v>5</v>
      </c>
      <c r="W12" s="1382">
        <f t="shared" si="2"/>
        <v>100</v>
      </c>
      <c r="X12" s="1383"/>
      <c r="Y12" s="4213"/>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4269"/>
      <c r="Q13" s="1050">
        <f t="shared" si="6"/>
        <v>111</v>
      </c>
      <c r="R13" s="1381" t="s">
        <v>5</v>
      </c>
      <c r="S13" s="1382">
        <f t="shared" si="0"/>
        <v>100</v>
      </c>
      <c r="T13" s="1381" t="s">
        <v>5</v>
      </c>
      <c r="U13" s="1382">
        <f t="shared" si="1"/>
        <v>100</v>
      </c>
      <c r="V13" s="1381" t="s">
        <v>5</v>
      </c>
      <c r="W13" s="1382">
        <f t="shared" si="2"/>
        <v>100</v>
      </c>
      <c r="X13" s="1383"/>
      <c r="Y13" s="4213"/>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4269"/>
      <c r="Q14" s="1050">
        <f t="shared" si="6"/>
        <v>111</v>
      </c>
      <c r="R14" s="1381" t="s">
        <v>5</v>
      </c>
      <c r="S14" s="1382">
        <f t="shared" si="0"/>
        <v>100</v>
      </c>
      <c r="T14" s="1381" t="s">
        <v>5</v>
      </c>
      <c r="U14" s="1382">
        <f t="shared" si="1"/>
        <v>100</v>
      </c>
      <c r="V14" s="1381" t="s">
        <v>5</v>
      </c>
      <c r="W14" s="1382">
        <f t="shared" si="2"/>
        <v>100</v>
      </c>
      <c r="X14" s="1383"/>
      <c r="Y14" s="4213"/>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4302" t="s">
        <v>489</v>
      </c>
      <c r="Q15" s="1385" t="str">
        <f t="shared" si="6"/>
        <v>办公集聚程度</v>
      </c>
      <c r="R15" s="1386" t="s">
        <v>5</v>
      </c>
      <c r="S15" s="1387">
        <f t="shared" si="0"/>
        <v>100</v>
      </c>
      <c r="T15" s="1386" t="s">
        <v>5</v>
      </c>
      <c r="U15" s="1387">
        <f t="shared" si="1"/>
        <v>100</v>
      </c>
      <c r="V15" s="1386" t="s">
        <v>5</v>
      </c>
      <c r="W15" s="1387">
        <f t="shared" si="2"/>
        <v>100</v>
      </c>
      <c r="X15" s="1380"/>
      <c r="Y15" s="4302"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4303"/>
      <c r="Q16" s="1385"/>
      <c r="R16" s="1386"/>
      <c r="S16" s="1387"/>
      <c r="T16" s="1386"/>
      <c r="U16" s="1387"/>
      <c r="V16" s="1386"/>
      <c r="W16" s="1387"/>
      <c r="X16" s="1380"/>
      <c r="Y16" s="4303"/>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4303"/>
      <c r="Q17" s="1385" t="str">
        <f>B17</f>
        <v>交通便捷度</v>
      </c>
      <c r="R17" s="1386" t="s">
        <v>5</v>
      </c>
      <c r="S17" s="1387">
        <f>F17</f>
        <v>100</v>
      </c>
      <c r="T17" s="1386" t="s">
        <v>5</v>
      </c>
      <c r="U17" s="1387">
        <f>H17</f>
        <v>100</v>
      </c>
      <c r="V17" s="1386" t="s">
        <v>5</v>
      </c>
      <c r="W17" s="1387">
        <f>J17</f>
        <v>100</v>
      </c>
      <c r="X17" s="1380"/>
      <c r="Y17" s="4303"/>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4303"/>
      <c r="Q18" s="1385"/>
      <c r="R18" s="1386"/>
      <c r="S18" s="1387"/>
      <c r="T18" s="1386"/>
      <c r="U18" s="1387"/>
      <c r="V18" s="1386"/>
      <c r="W18" s="1387"/>
      <c r="X18" s="1380"/>
      <c r="Y18" s="4303"/>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4303"/>
      <c r="Q19" s="1385" t="str">
        <f>B19</f>
        <v>公共配套设施</v>
      </c>
      <c r="R19" s="1386" t="s">
        <v>5</v>
      </c>
      <c r="S19" s="1387">
        <f>F19</f>
        <v>100</v>
      </c>
      <c r="T19" s="1386" t="s">
        <v>5</v>
      </c>
      <c r="U19" s="1387">
        <f>H19</f>
        <v>100</v>
      </c>
      <c r="V19" s="1386" t="s">
        <v>5</v>
      </c>
      <c r="W19" s="1387">
        <f>J19</f>
        <v>100</v>
      </c>
      <c r="X19" s="1380"/>
      <c r="Y19" s="4303"/>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4303"/>
      <c r="Q20" s="1385"/>
      <c r="R20" s="1386"/>
      <c r="S20" s="1387"/>
      <c r="T20" s="1386"/>
      <c r="U20" s="1387"/>
      <c r="V20" s="1386"/>
      <c r="W20" s="1387"/>
      <c r="X20" s="1380"/>
      <c r="Y20" s="4303"/>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4303"/>
      <c r="Q21" s="2193" t="str">
        <f>B21</f>
        <v>基础设施水平</v>
      </c>
      <c r="R21" s="1386" t="s">
        <v>5</v>
      </c>
      <c r="S21" s="1387">
        <f>F21</f>
        <v>100</v>
      </c>
      <c r="T21" s="1386" t="s">
        <v>5</v>
      </c>
      <c r="U21" s="1387">
        <f>H21</f>
        <v>100</v>
      </c>
      <c r="V21" s="1386" t="s">
        <v>5</v>
      </c>
      <c r="W21" s="1387">
        <f>J21</f>
        <v>100</v>
      </c>
      <c r="X21" s="2195"/>
      <c r="Y21" s="4303"/>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4303"/>
      <c r="Q22" s="2193"/>
      <c r="R22" s="1386"/>
      <c r="S22" s="1387"/>
      <c r="T22" s="1386"/>
      <c r="U22" s="1387"/>
      <c r="V22" s="1386"/>
      <c r="W22" s="1387"/>
      <c r="X22" s="2195"/>
      <c r="Y22" s="4303"/>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4303"/>
      <c r="Q23" s="1385" t="str">
        <f>B23</f>
        <v>环境质量</v>
      </c>
      <c r="R23" s="1386" t="s">
        <v>5</v>
      </c>
      <c r="S23" s="1387">
        <f>F23</f>
        <v>100</v>
      </c>
      <c r="T23" s="1386" t="s">
        <v>5</v>
      </c>
      <c r="U23" s="1387">
        <f>H23</f>
        <v>100</v>
      </c>
      <c r="V23" s="1386" t="s">
        <v>5</v>
      </c>
      <c r="W23" s="1387">
        <f>J23</f>
        <v>100</v>
      </c>
      <c r="X23" s="1380"/>
      <c r="Y23" s="4303"/>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4303"/>
      <c r="Q24" s="1385"/>
      <c r="R24" s="1386"/>
      <c r="S24" s="1387"/>
      <c r="T24" s="1386"/>
      <c r="U24" s="1387"/>
      <c r="V24" s="1386"/>
      <c r="W24" s="1387"/>
      <c r="X24" s="1380"/>
      <c r="Y24" s="4303"/>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4303"/>
      <c r="Q25" s="1385" t="str">
        <f>B25</f>
        <v>毗邻道路的类型与等级</v>
      </c>
      <c r="R25" s="1386" t="s">
        <v>5</v>
      </c>
      <c r="S25" s="1387">
        <f>F25</f>
        <v>100</v>
      </c>
      <c r="T25" s="1386" t="s">
        <v>5</v>
      </c>
      <c r="U25" s="1387">
        <f>H25</f>
        <v>100</v>
      </c>
      <c r="V25" s="1386" t="s">
        <v>5</v>
      </c>
      <c r="W25" s="1387">
        <f>J25</f>
        <v>100</v>
      </c>
      <c r="X25" s="1380"/>
      <c r="Y25" s="4303"/>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4303"/>
      <c r="Q26" s="1385"/>
      <c r="R26" s="1386"/>
      <c r="S26" s="1387"/>
      <c r="T26" s="1386"/>
      <c r="U26" s="1387"/>
      <c r="V26" s="1386"/>
      <c r="W26" s="1387"/>
      <c r="X26" s="1380"/>
      <c r="Y26" s="4303"/>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4303"/>
      <c r="Q27" s="1385" t="str">
        <f t="shared" ref="Q27:Q47" si="8">B27</f>
        <v>楼层</v>
      </c>
      <c r="R27" s="1386" t="s">
        <v>5</v>
      </c>
      <c r="S27" s="1387">
        <f>F27</f>
        <v>100</v>
      </c>
      <c r="T27" s="1386" t="s">
        <v>5</v>
      </c>
      <c r="U27" s="1387">
        <f>H27</f>
        <v>100</v>
      </c>
      <c r="V27" s="1386" t="s">
        <v>5</v>
      </c>
      <c r="W27" s="1387">
        <f>J27</f>
        <v>100</v>
      </c>
      <c r="X27" s="1380"/>
      <c r="Y27" s="4303"/>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4303"/>
      <c r="Q28" s="1050" t="str">
        <f t="shared" si="8"/>
        <v>朝向</v>
      </c>
      <c r="R28" s="1381" t="s">
        <v>5</v>
      </c>
      <c r="S28" s="1382">
        <f>F28</f>
        <v>100</v>
      </c>
      <c r="T28" s="1381" t="s">
        <v>5</v>
      </c>
      <c r="U28" s="1382">
        <f>H28</f>
        <v>100</v>
      </c>
      <c r="V28" s="1381" t="s">
        <v>5</v>
      </c>
      <c r="W28" s="1382">
        <f>J28</f>
        <v>100</v>
      </c>
      <c r="X28" s="1383"/>
      <c r="Y28" s="4303"/>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4303"/>
      <c r="Q29" s="1385">
        <f t="shared" si="8"/>
        <v>111</v>
      </c>
      <c r="R29" s="1386" t="s">
        <v>5</v>
      </c>
      <c r="S29" s="1387">
        <f t="shared" ref="S29:S47" si="9">F29</f>
        <v>100</v>
      </c>
      <c r="T29" s="1386" t="s">
        <v>5</v>
      </c>
      <c r="U29" s="1387">
        <f t="shared" ref="U29:U47" si="10">H29</f>
        <v>100</v>
      </c>
      <c r="V29" s="1386" t="s">
        <v>5</v>
      </c>
      <c r="W29" s="1387">
        <f t="shared" ref="W29:W47" si="11">J29</f>
        <v>100</v>
      </c>
      <c r="X29" s="1380"/>
      <c r="Y29" s="4303"/>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4303"/>
      <c r="Q30" s="1385">
        <f t="shared" si="8"/>
        <v>111</v>
      </c>
      <c r="R30" s="1386" t="s">
        <v>5</v>
      </c>
      <c r="S30" s="1387">
        <f t="shared" si="9"/>
        <v>100</v>
      </c>
      <c r="T30" s="1386" t="s">
        <v>5</v>
      </c>
      <c r="U30" s="1387">
        <f t="shared" si="10"/>
        <v>100</v>
      </c>
      <c r="V30" s="1386" t="s">
        <v>5</v>
      </c>
      <c r="W30" s="1387">
        <f t="shared" si="11"/>
        <v>100</v>
      </c>
      <c r="X30" s="1380"/>
      <c r="Y30" s="4303"/>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4303"/>
      <c r="Q31" s="1385">
        <f t="shared" si="8"/>
        <v>111</v>
      </c>
      <c r="R31" s="1386" t="s">
        <v>5</v>
      </c>
      <c r="S31" s="1387">
        <f t="shared" si="9"/>
        <v>100</v>
      </c>
      <c r="T31" s="1386" t="s">
        <v>5</v>
      </c>
      <c r="U31" s="1387">
        <f t="shared" si="10"/>
        <v>100</v>
      </c>
      <c r="V31" s="1386" t="s">
        <v>5</v>
      </c>
      <c r="W31" s="1387">
        <f t="shared" si="11"/>
        <v>100</v>
      </c>
      <c r="X31" s="1380"/>
      <c r="Y31" s="4303"/>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4303"/>
      <c r="Q32" s="1385">
        <f t="shared" si="8"/>
        <v>111</v>
      </c>
      <c r="R32" s="1386" t="s">
        <v>5</v>
      </c>
      <c r="S32" s="1387">
        <f t="shared" si="9"/>
        <v>100</v>
      </c>
      <c r="T32" s="1386" t="s">
        <v>5</v>
      </c>
      <c r="U32" s="1387">
        <f t="shared" si="10"/>
        <v>100</v>
      </c>
      <c r="V32" s="1386" t="s">
        <v>5</v>
      </c>
      <c r="W32" s="1387">
        <f t="shared" si="11"/>
        <v>100</v>
      </c>
      <c r="X32" s="1380"/>
      <c r="Y32" s="4303"/>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4304" t="s">
        <v>499</v>
      </c>
      <c r="Q33" s="1385" t="str">
        <f t="shared" si="8"/>
        <v>建筑类型</v>
      </c>
      <c r="R33" s="1386" t="s">
        <v>5</v>
      </c>
      <c r="S33" s="1387">
        <f t="shared" si="9"/>
        <v>100</v>
      </c>
      <c r="T33" s="1386" t="s">
        <v>5</v>
      </c>
      <c r="U33" s="1387">
        <f t="shared" si="10"/>
        <v>100</v>
      </c>
      <c r="V33" s="1386" t="s">
        <v>5</v>
      </c>
      <c r="W33" s="1387">
        <f t="shared" si="11"/>
        <v>100</v>
      </c>
      <c r="X33" s="1380"/>
      <c r="Y33" s="4305"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4305"/>
      <c r="Q34" s="1414" t="str">
        <f t="shared" si="8"/>
        <v>项目建筑规模</v>
      </c>
      <c r="R34" s="1390" t="s">
        <v>5</v>
      </c>
      <c r="S34" s="1391" t="e">
        <f t="shared" si="9"/>
        <v>#N/A</v>
      </c>
      <c r="T34" s="1390" t="s">
        <v>5</v>
      </c>
      <c r="U34" s="1391" t="e">
        <f t="shared" si="10"/>
        <v>#N/A</v>
      </c>
      <c r="V34" s="1390" t="s">
        <v>5</v>
      </c>
      <c r="W34" s="1391" t="e">
        <f t="shared" si="11"/>
        <v>#N/A</v>
      </c>
      <c r="X34" s="1392"/>
      <c r="Y34" s="4305"/>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4305"/>
      <c r="Q35" s="1385" t="str">
        <f t="shared" si="8"/>
        <v>建筑结构</v>
      </c>
      <c r="R35" s="1386" t="s">
        <v>5</v>
      </c>
      <c r="S35" s="1387">
        <f t="shared" si="9"/>
        <v>100</v>
      </c>
      <c r="T35" s="1386" t="s">
        <v>5</v>
      </c>
      <c r="U35" s="1387">
        <f t="shared" si="10"/>
        <v>100</v>
      </c>
      <c r="V35" s="1386" t="s">
        <v>5</v>
      </c>
      <c r="W35" s="1387">
        <f t="shared" si="11"/>
        <v>100</v>
      </c>
      <c r="X35" s="1380"/>
      <c r="Y35" s="4305"/>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4305"/>
      <c r="Q36" s="1385" t="str">
        <f t="shared" si="8"/>
        <v>公共部分装修</v>
      </c>
      <c r="R36" s="1386" t="s">
        <v>5</v>
      </c>
      <c r="S36" s="1387">
        <f t="shared" si="9"/>
        <v>100</v>
      </c>
      <c r="T36" s="1386" t="s">
        <v>5</v>
      </c>
      <c r="U36" s="1387">
        <f t="shared" si="10"/>
        <v>100</v>
      </c>
      <c r="V36" s="1386" t="s">
        <v>5</v>
      </c>
      <c r="W36" s="1387">
        <f t="shared" si="11"/>
        <v>100</v>
      </c>
      <c r="X36" s="1380"/>
      <c r="Y36" s="4305"/>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4305"/>
      <c r="Q37" s="1385" t="str">
        <f t="shared" si="8"/>
        <v>成新度</v>
      </c>
      <c r="R37" s="1386" t="s">
        <v>5</v>
      </c>
      <c r="S37" s="1387" t="e">
        <f t="shared" si="9"/>
        <v>#N/A</v>
      </c>
      <c r="T37" s="1386" t="s">
        <v>5</v>
      </c>
      <c r="U37" s="1387" t="e">
        <f t="shared" si="10"/>
        <v>#N/A</v>
      </c>
      <c r="V37" s="1386" t="s">
        <v>5</v>
      </c>
      <c r="W37" s="1387" t="e">
        <f t="shared" si="11"/>
        <v>#N/A</v>
      </c>
      <c r="X37" s="1380"/>
      <c r="Y37" s="4305"/>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4305"/>
      <c r="Q38" s="1050" t="str">
        <f t="shared" si="8"/>
        <v>写字楼等级</v>
      </c>
      <c r="R38" s="1381" t="s">
        <v>5</v>
      </c>
      <c r="S38" s="1382">
        <f t="shared" si="9"/>
        <v>100</v>
      </c>
      <c r="T38" s="1381" t="s">
        <v>5</v>
      </c>
      <c r="U38" s="1382">
        <f t="shared" si="10"/>
        <v>100</v>
      </c>
      <c r="V38" s="1381" t="s">
        <v>5</v>
      </c>
      <c r="W38" s="1382">
        <f t="shared" si="11"/>
        <v>100</v>
      </c>
      <c r="X38" s="1383"/>
      <c r="Y38" s="4305"/>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4305" t="s">
        <v>499</v>
      </c>
      <c r="Q39" s="1385" t="str">
        <f t="shared" si="8"/>
        <v>物业管理</v>
      </c>
      <c r="R39" s="1386" t="s">
        <v>5</v>
      </c>
      <c r="S39" s="1387">
        <f t="shared" si="9"/>
        <v>100</v>
      </c>
      <c r="T39" s="1386" t="s">
        <v>5</v>
      </c>
      <c r="U39" s="1387">
        <f t="shared" si="10"/>
        <v>100</v>
      </c>
      <c r="V39" s="1386" t="s">
        <v>5</v>
      </c>
      <c r="W39" s="1387">
        <f t="shared" si="11"/>
        <v>100</v>
      </c>
      <c r="X39" s="1380"/>
      <c r="Y39" s="4305"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4305"/>
      <c r="Q40" s="1385" t="str">
        <f t="shared" si="8"/>
        <v>市政基础设施</v>
      </c>
      <c r="R40" s="1386" t="s">
        <v>5</v>
      </c>
      <c r="S40" s="1387">
        <f t="shared" si="9"/>
        <v>100</v>
      </c>
      <c r="T40" s="1386" t="s">
        <v>5</v>
      </c>
      <c r="U40" s="1387">
        <f t="shared" si="10"/>
        <v>100</v>
      </c>
      <c r="V40" s="1386" t="s">
        <v>5</v>
      </c>
      <c r="W40" s="1387">
        <f t="shared" si="11"/>
        <v>100</v>
      </c>
      <c r="X40" s="1380"/>
      <c r="Y40" s="4305"/>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4305"/>
      <c r="Q41" s="1385" t="str">
        <f t="shared" si="8"/>
        <v>层高</v>
      </c>
      <c r="R41" s="1386" t="s">
        <v>5</v>
      </c>
      <c r="S41" s="1387">
        <f t="shared" si="9"/>
        <v>100</v>
      </c>
      <c r="T41" s="1386" t="s">
        <v>5</v>
      </c>
      <c r="U41" s="1387">
        <f t="shared" si="10"/>
        <v>100</v>
      </c>
      <c r="V41" s="1386" t="s">
        <v>5</v>
      </c>
      <c r="W41" s="1387">
        <f t="shared" si="11"/>
        <v>100</v>
      </c>
      <c r="X41" s="1380"/>
      <c r="Y41" s="4305"/>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4305"/>
      <c r="Q42" s="1414" t="str">
        <f t="shared" si="8"/>
        <v>单套建筑面积</v>
      </c>
      <c r="R42" s="1390" t="s">
        <v>5</v>
      </c>
      <c r="S42" s="1391">
        <f t="shared" si="9"/>
        <v>100</v>
      </c>
      <c r="T42" s="1390" t="s">
        <v>5</v>
      </c>
      <c r="U42" s="1391">
        <f t="shared" si="10"/>
        <v>100</v>
      </c>
      <c r="V42" s="1390" t="s">
        <v>5</v>
      </c>
      <c r="W42" s="1391">
        <f t="shared" si="11"/>
        <v>100</v>
      </c>
      <c r="X42" s="1392"/>
      <c r="Y42" s="4305"/>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4305"/>
      <c r="Q43" s="1385" t="str">
        <f t="shared" si="8"/>
        <v>内部装修</v>
      </c>
      <c r="R43" s="1386" t="s">
        <v>5</v>
      </c>
      <c r="S43" s="1387">
        <f t="shared" si="9"/>
        <v>100</v>
      </c>
      <c r="T43" s="1386" t="s">
        <v>5</v>
      </c>
      <c r="U43" s="1387">
        <f t="shared" si="10"/>
        <v>100</v>
      </c>
      <c r="V43" s="1386" t="s">
        <v>5</v>
      </c>
      <c r="W43" s="1387">
        <f t="shared" si="11"/>
        <v>100</v>
      </c>
      <c r="X43" s="1380"/>
      <c r="Y43" s="4305"/>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4305"/>
      <c r="Q44" s="1385" t="str">
        <f t="shared" si="8"/>
        <v>内部装修维护情况</v>
      </c>
      <c r="R44" s="1386" t="s">
        <v>5</v>
      </c>
      <c r="S44" s="1387">
        <f t="shared" si="9"/>
        <v>100</v>
      </c>
      <c r="T44" s="1386" t="s">
        <v>5</v>
      </c>
      <c r="U44" s="1387">
        <f t="shared" si="10"/>
        <v>100</v>
      </c>
      <c r="V44" s="1386" t="s">
        <v>5</v>
      </c>
      <c r="W44" s="1387">
        <f t="shared" si="11"/>
        <v>100</v>
      </c>
      <c r="X44" s="1380"/>
      <c r="Y44" s="4305"/>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4305"/>
      <c r="Q45" s="1050">
        <f t="shared" si="8"/>
        <v>111</v>
      </c>
      <c r="R45" s="1381" t="s">
        <v>5</v>
      </c>
      <c r="S45" s="1382">
        <f t="shared" si="9"/>
        <v>100</v>
      </c>
      <c r="T45" s="1381" t="s">
        <v>5</v>
      </c>
      <c r="U45" s="1382">
        <f t="shared" si="10"/>
        <v>100</v>
      </c>
      <c r="V45" s="1381" t="s">
        <v>5</v>
      </c>
      <c r="W45" s="1382">
        <f t="shared" si="11"/>
        <v>100</v>
      </c>
      <c r="X45" s="1383"/>
      <c r="Y45" s="4305"/>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4305"/>
      <c r="Q46" s="1385">
        <f t="shared" si="8"/>
        <v>111</v>
      </c>
      <c r="R46" s="1386" t="s">
        <v>5</v>
      </c>
      <c r="S46" s="1387">
        <f t="shared" si="9"/>
        <v>100</v>
      </c>
      <c r="T46" s="1386" t="s">
        <v>5</v>
      </c>
      <c r="U46" s="1387">
        <f t="shared" si="10"/>
        <v>100</v>
      </c>
      <c r="V46" s="1386" t="s">
        <v>5</v>
      </c>
      <c r="W46" s="1387">
        <f t="shared" si="11"/>
        <v>100</v>
      </c>
      <c r="X46" s="1380"/>
      <c r="Y46" s="4305"/>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443"/>
      <c r="Q47" s="1385">
        <f t="shared" si="8"/>
        <v>111</v>
      </c>
      <c r="R47" s="1386" t="s">
        <v>5</v>
      </c>
      <c r="S47" s="1387">
        <f t="shared" si="9"/>
        <v>100</v>
      </c>
      <c r="T47" s="1386" t="s">
        <v>5</v>
      </c>
      <c r="U47" s="1387">
        <f t="shared" si="10"/>
        <v>100</v>
      </c>
      <c r="V47" s="1386" t="s">
        <v>5</v>
      </c>
      <c r="W47" s="1387">
        <f t="shared" si="11"/>
        <v>100</v>
      </c>
      <c r="X47" s="1380"/>
      <c r="Y47" s="4443"/>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4307" t="str">
        <f>A48</f>
        <v>成交单价（元/平方米）</v>
      </c>
      <c r="Q48" s="4269"/>
      <c r="R48" s="4442">
        <f>E48</f>
        <v>0</v>
      </c>
      <c r="S48" s="4442"/>
      <c r="T48" s="4442">
        <f>G48</f>
        <v>0</v>
      </c>
      <c r="U48" s="4442"/>
      <c r="V48" s="4442">
        <f>I48</f>
        <v>0</v>
      </c>
      <c r="W48" s="4442"/>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4307" t="str">
        <f>A49</f>
        <v>比较价格（元/平方米）</v>
      </c>
      <c r="Q49" s="4269"/>
      <c r="R49" s="4442" t="e">
        <f>IF(F1="售价",ROUND(PRODUCT(R48,AA7:AA47),0),ROUND(PRODUCT(R48,AA7:AA47),1))</f>
        <v>#DIV/0!</v>
      </c>
      <c r="S49" s="4442"/>
      <c r="T49" s="4442" t="e">
        <f>IF(F1="售价",ROUND(PRODUCT(T48,AB7:AB47),0),ROUND(PRODUCT(T48,AB7:AB47),1))</f>
        <v>#DIV/0!</v>
      </c>
      <c r="U49" s="4442"/>
      <c r="V49" s="4442" t="e">
        <f>IF(F1="售价",ROUND(PRODUCT(V48,AC7:AC47),0),ROUND(PRODUCT(V48,AC7:AC47),1))</f>
        <v>#DIV/0!</v>
      </c>
      <c r="W49" s="4442"/>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4444" t="str">
        <f>A50</f>
        <v>估价对象XX用房的比较价格（楼面单价，元/平方米）</v>
      </c>
      <c r="Q50" s="4307"/>
      <c r="R50" s="4441" t="e">
        <f>IF(F1="售价",ROUND(IF(D49="简单平均",AVERAGE(R49:V49),R49*F49+T49*H49+V49*J49),0),ROUND(IF(D49="简单平均",AVERAGE(R49:V49),R49*F49+T49*H49+V49*J49),1))</f>
        <v>#DIV/0!</v>
      </c>
      <c r="S50" s="4441"/>
      <c r="T50" s="4441"/>
      <c r="U50" s="4441"/>
      <c r="V50" s="4441"/>
      <c r="W50" s="4441"/>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2024-3</v>
      </c>
      <c r="D59" s="2284">
        <f>EDATE(C59,-1)</f>
        <v>45323</v>
      </c>
      <c r="E59" s="2284">
        <f t="shared" ref="E59:O59" si="13">EDATE(D59,-1)</f>
        <v>45292</v>
      </c>
      <c r="F59" s="2284">
        <f t="shared" si="13"/>
        <v>45261</v>
      </c>
      <c r="G59" s="2284">
        <f t="shared" si="13"/>
        <v>45231</v>
      </c>
      <c r="H59" s="2284">
        <f t="shared" si="13"/>
        <v>45200</v>
      </c>
      <c r="I59" s="2284">
        <f t="shared" si="13"/>
        <v>45170</v>
      </c>
      <c r="J59" s="2284">
        <f t="shared" si="13"/>
        <v>45139</v>
      </c>
      <c r="K59" s="2284">
        <f t="shared" si="13"/>
        <v>45108</v>
      </c>
      <c r="L59" s="2284">
        <f t="shared" si="13"/>
        <v>45078</v>
      </c>
      <c r="M59" s="2284">
        <f t="shared" si="13"/>
        <v>45047</v>
      </c>
      <c r="N59" s="2284">
        <f t="shared" si="13"/>
        <v>45017</v>
      </c>
      <c r="O59" s="2284">
        <f t="shared" si="13"/>
        <v>44986</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4275" t="s">
        <v>471</v>
      </c>
      <c r="D4" s="4276"/>
      <c r="E4" s="4310" t="s">
        <v>472</v>
      </c>
      <c r="F4" s="4311"/>
      <c r="G4" s="4275" t="s">
        <v>473</v>
      </c>
      <c r="H4" s="4276"/>
      <c r="I4" s="4275" t="s">
        <v>474</v>
      </c>
      <c r="J4" s="4276"/>
      <c r="K4" s="484" t="s">
        <v>475</v>
      </c>
      <c r="L4" s="1856"/>
      <c r="M4" s="1857"/>
      <c r="N4" s="1857"/>
      <c r="O4" s="1857"/>
      <c r="P4" s="4277" t="s">
        <v>476</v>
      </c>
      <c r="Q4" s="4278"/>
      <c r="R4" s="4283" t="s">
        <v>472</v>
      </c>
      <c r="S4" s="4284"/>
      <c r="T4" s="4283" t="s">
        <v>473</v>
      </c>
      <c r="U4" s="4284"/>
      <c r="V4" s="4270" t="s">
        <v>474</v>
      </c>
      <c r="W4" s="4270"/>
      <c r="X4" s="1380"/>
      <c r="Y4" s="4283" t="s">
        <v>476</v>
      </c>
      <c r="Z4" s="4284"/>
      <c r="AA4" s="4272" t="s">
        <v>472</v>
      </c>
      <c r="AB4" s="4273" t="s">
        <v>473</v>
      </c>
      <c r="AC4" s="4272" t="s">
        <v>474</v>
      </c>
    </row>
    <row r="5" spans="1:29" ht="15">
      <c r="A5" s="485"/>
      <c r="B5" s="486"/>
      <c r="C5" s="4291" t="s">
        <v>2192</v>
      </c>
      <c r="D5" s="4292"/>
      <c r="E5" s="4312" t="s">
        <v>2193</v>
      </c>
      <c r="F5" s="4313"/>
      <c r="G5" s="4291" t="s">
        <v>2194</v>
      </c>
      <c r="H5" s="4292"/>
      <c r="I5" s="4291" t="s">
        <v>2195</v>
      </c>
      <c r="J5" s="4292"/>
      <c r="K5" s="484"/>
      <c r="L5" s="1856"/>
      <c r="M5" s="1857"/>
      <c r="N5" s="1857"/>
      <c r="O5" s="1857"/>
      <c r="P5" s="4279"/>
      <c r="Q5" s="4280"/>
      <c r="R5" s="4285"/>
      <c r="S5" s="4286"/>
      <c r="T5" s="4285"/>
      <c r="U5" s="4286"/>
      <c r="V5" s="4270"/>
      <c r="W5" s="4270"/>
      <c r="X5" s="1380"/>
      <c r="Y5" s="4285"/>
      <c r="Z5" s="4286"/>
      <c r="AA5" s="4273"/>
      <c r="AB5" s="4273"/>
      <c r="AC5" s="4273"/>
    </row>
    <row r="6" spans="1:29" ht="15.75" thickBot="1">
      <c r="A6" s="487"/>
      <c r="B6" s="488"/>
      <c r="C6" s="4289" t="s">
        <v>2196</v>
      </c>
      <c r="D6" s="4290"/>
      <c r="E6" s="4308" t="s">
        <v>2196</v>
      </c>
      <c r="F6" s="4309"/>
      <c r="G6" s="4289" t="s">
        <v>2196</v>
      </c>
      <c r="H6" s="4290"/>
      <c r="I6" s="4289" t="s">
        <v>2196</v>
      </c>
      <c r="J6" s="4290"/>
      <c r="K6" s="484" t="s">
        <v>477</v>
      </c>
      <c r="L6" s="1856"/>
      <c r="M6" s="1857"/>
      <c r="N6" s="1857"/>
      <c r="O6" s="1857"/>
      <c r="P6" s="4281"/>
      <c r="Q6" s="4282"/>
      <c r="R6" s="4285"/>
      <c r="S6" s="4286"/>
      <c r="T6" s="4287"/>
      <c r="U6" s="4288"/>
      <c r="V6" s="4270"/>
      <c r="W6" s="4270"/>
      <c r="X6" s="1380"/>
      <c r="Y6" s="4287"/>
      <c r="Z6" s="4288"/>
      <c r="AA6" s="4274"/>
      <c r="AB6" s="4274"/>
      <c r="AC6" s="4274"/>
    </row>
    <row r="7" spans="1:29" s="1118" customFormat="1" ht="15.75" thickBot="1">
      <c r="A7" s="2392"/>
      <c r="B7" s="2399" t="s">
        <v>478</v>
      </c>
      <c r="C7" s="489">
        <f>'数据-取费表'!B2</f>
        <v>45382</v>
      </c>
      <c r="D7" s="490">
        <v>100</v>
      </c>
      <c r="E7" s="491"/>
      <c r="F7" s="492">
        <f>SUMIF(52:52,YEAR(E7)&amp;"-"&amp;MONTH(E7),53:53)</f>
        <v>0</v>
      </c>
      <c r="G7" s="491"/>
      <c r="H7" s="490">
        <f>SUMIF(52:52,YEAR(G7)&amp;"-"&amp;MONTH(G7),53:53)</f>
        <v>0</v>
      </c>
      <c r="I7" s="491"/>
      <c r="J7" s="490">
        <f>SUMIF(52:52,YEAR(I7)&amp;"-"&amp;MONTH(I7),53:53)</f>
        <v>0</v>
      </c>
      <c r="K7" s="494"/>
      <c r="L7" s="1858"/>
      <c r="M7" s="1859"/>
      <c r="N7" s="1859"/>
      <c r="O7" s="1859"/>
      <c r="P7" s="4299" t="s">
        <v>479</v>
      </c>
      <c r="Q7" s="4301"/>
      <c r="R7" s="1381" t="s">
        <v>5</v>
      </c>
      <c r="S7" s="1382">
        <f t="shared" ref="S7:S15" si="0">F7</f>
        <v>0</v>
      </c>
      <c r="T7" s="1381" t="s">
        <v>5</v>
      </c>
      <c r="U7" s="1382">
        <f t="shared" ref="U7:U15" si="1">H7</f>
        <v>0</v>
      </c>
      <c r="V7" s="1381" t="s">
        <v>5</v>
      </c>
      <c r="W7" s="1382">
        <f t="shared" ref="W7:W15" si="2">J7</f>
        <v>0</v>
      </c>
      <c r="X7" s="1383"/>
      <c r="Y7" s="4299" t="s">
        <v>479</v>
      </c>
      <c r="Z7" s="4300"/>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4299" t="s">
        <v>482</v>
      </c>
      <c r="Q8" s="4300"/>
      <c r="R8" s="1381" t="s">
        <v>5</v>
      </c>
      <c r="S8" s="1382">
        <f t="shared" si="0"/>
        <v>0</v>
      </c>
      <c r="T8" s="1381" t="s">
        <v>5</v>
      </c>
      <c r="U8" s="1382">
        <f t="shared" si="1"/>
        <v>0</v>
      </c>
      <c r="V8" s="1381" t="s">
        <v>5</v>
      </c>
      <c r="W8" s="1382">
        <f t="shared" si="2"/>
        <v>0</v>
      </c>
      <c r="X8" s="1383"/>
      <c r="Y8" s="4299" t="s">
        <v>482</v>
      </c>
      <c r="Z8" s="4300"/>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4269" t="s">
        <v>484</v>
      </c>
      <c r="Q9" s="1050" t="str">
        <f t="shared" ref="Q9:Q15" si="6">B9</f>
        <v>用途</v>
      </c>
      <c r="R9" s="1381" t="s">
        <v>5</v>
      </c>
      <c r="S9" s="1382">
        <f t="shared" si="0"/>
        <v>100</v>
      </c>
      <c r="T9" s="1381" t="s">
        <v>5</v>
      </c>
      <c r="U9" s="1382">
        <f t="shared" si="1"/>
        <v>100</v>
      </c>
      <c r="V9" s="1381" t="s">
        <v>5</v>
      </c>
      <c r="W9" s="1382">
        <f t="shared" si="2"/>
        <v>100</v>
      </c>
      <c r="X9" s="1383"/>
      <c r="Y9" s="421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4269"/>
      <c r="Q10" s="1050" t="str">
        <f t="shared" si="6"/>
        <v>土地使用年限（年）</v>
      </c>
      <c r="R10" s="1381" t="s">
        <v>5</v>
      </c>
      <c r="S10" s="1382">
        <f t="shared" si="0"/>
        <v>100</v>
      </c>
      <c r="T10" s="1381" t="s">
        <v>5</v>
      </c>
      <c r="U10" s="1382">
        <f t="shared" si="1"/>
        <v>100</v>
      </c>
      <c r="V10" s="1381" t="s">
        <v>5</v>
      </c>
      <c r="W10" s="1382">
        <f t="shared" si="2"/>
        <v>100</v>
      </c>
      <c r="X10" s="1383"/>
      <c r="Y10" s="421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4269"/>
      <c r="Q11" s="1050" t="str">
        <f t="shared" si="6"/>
        <v>容积率</v>
      </c>
      <c r="R11" s="1381" t="s">
        <v>5</v>
      </c>
      <c r="S11" s="1382" t="e">
        <f t="shared" si="0"/>
        <v>#N/A</v>
      </c>
      <c r="T11" s="1381" t="s">
        <v>5</v>
      </c>
      <c r="U11" s="1382" t="e">
        <f t="shared" si="1"/>
        <v>#N/A</v>
      </c>
      <c r="V11" s="1381" t="s">
        <v>5</v>
      </c>
      <c r="W11" s="1382" t="e">
        <f t="shared" si="2"/>
        <v>#N/A</v>
      </c>
      <c r="X11" s="1383"/>
      <c r="Y11" s="421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4269"/>
      <c r="Q12" s="1050">
        <f t="shared" si="6"/>
        <v>111</v>
      </c>
      <c r="R12" s="1381" t="s">
        <v>5</v>
      </c>
      <c r="S12" s="1382">
        <f t="shared" si="0"/>
        <v>100</v>
      </c>
      <c r="T12" s="1381" t="s">
        <v>5</v>
      </c>
      <c r="U12" s="1382">
        <f t="shared" si="1"/>
        <v>100</v>
      </c>
      <c r="V12" s="1381" t="s">
        <v>5</v>
      </c>
      <c r="W12" s="1382">
        <f t="shared" si="2"/>
        <v>100</v>
      </c>
      <c r="X12" s="1383"/>
      <c r="Y12" s="4213"/>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4269"/>
      <c r="Q13" s="1050">
        <f t="shared" si="6"/>
        <v>111</v>
      </c>
      <c r="R13" s="1381" t="s">
        <v>5</v>
      </c>
      <c r="S13" s="1382">
        <f t="shared" si="0"/>
        <v>100</v>
      </c>
      <c r="T13" s="1381" t="s">
        <v>5</v>
      </c>
      <c r="U13" s="1382">
        <f t="shared" si="1"/>
        <v>100</v>
      </c>
      <c r="V13" s="1381" t="s">
        <v>5</v>
      </c>
      <c r="W13" s="1382">
        <f t="shared" si="2"/>
        <v>100</v>
      </c>
      <c r="X13" s="1383"/>
      <c r="Y13" s="4213"/>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4269"/>
      <c r="Q14" s="1050">
        <f t="shared" si="6"/>
        <v>111</v>
      </c>
      <c r="R14" s="1381" t="s">
        <v>5</v>
      </c>
      <c r="S14" s="1382">
        <f t="shared" si="0"/>
        <v>100</v>
      </c>
      <c r="T14" s="1381" t="s">
        <v>5</v>
      </c>
      <c r="U14" s="1382">
        <f t="shared" si="1"/>
        <v>100</v>
      </c>
      <c r="V14" s="1381" t="s">
        <v>5</v>
      </c>
      <c r="W14" s="1382">
        <f t="shared" si="2"/>
        <v>100</v>
      </c>
      <c r="X14" s="1383"/>
      <c r="Y14" s="4213"/>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4302" t="s">
        <v>489</v>
      </c>
      <c r="Q15" s="1385" t="str">
        <f t="shared" si="6"/>
        <v>产业集聚程度</v>
      </c>
      <c r="R15" s="1386" t="s">
        <v>5</v>
      </c>
      <c r="S15" s="1387">
        <f t="shared" si="0"/>
        <v>100</v>
      </c>
      <c r="T15" s="1386" t="s">
        <v>5</v>
      </c>
      <c r="U15" s="1387">
        <f t="shared" si="1"/>
        <v>100</v>
      </c>
      <c r="V15" s="1386" t="s">
        <v>5</v>
      </c>
      <c r="W15" s="1387">
        <f t="shared" si="2"/>
        <v>100</v>
      </c>
      <c r="X15" s="1380"/>
      <c r="Y15" s="4302"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4303"/>
      <c r="Q16" s="1385"/>
      <c r="R16" s="1386"/>
      <c r="S16" s="1387"/>
      <c r="T16" s="1386"/>
      <c r="U16" s="1387"/>
      <c r="V16" s="1386"/>
      <c r="W16" s="1387"/>
      <c r="X16" s="1380"/>
      <c r="Y16" s="4303"/>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4303"/>
      <c r="Q17" s="1385" t="str">
        <f>B17</f>
        <v>交通便捷度</v>
      </c>
      <c r="R17" s="1386" t="s">
        <v>5</v>
      </c>
      <c r="S17" s="1387">
        <f>F17</f>
        <v>100</v>
      </c>
      <c r="T17" s="1386" t="s">
        <v>5</v>
      </c>
      <c r="U17" s="1387">
        <f>H17</f>
        <v>100</v>
      </c>
      <c r="V17" s="1386" t="s">
        <v>5</v>
      </c>
      <c r="W17" s="1387">
        <f>J17</f>
        <v>100</v>
      </c>
      <c r="X17" s="1380"/>
      <c r="Y17" s="430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4303"/>
      <c r="Q18" s="1385"/>
      <c r="R18" s="1386"/>
      <c r="S18" s="1387"/>
      <c r="T18" s="1386"/>
      <c r="U18" s="1387"/>
      <c r="V18" s="1386"/>
      <c r="W18" s="1387"/>
      <c r="X18" s="1380"/>
      <c r="Y18" s="4303"/>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4303"/>
      <c r="Q19" s="1385" t="str">
        <f>B19</f>
        <v>公共配套设施</v>
      </c>
      <c r="R19" s="1386" t="s">
        <v>5</v>
      </c>
      <c r="S19" s="1387">
        <f>F19</f>
        <v>100</v>
      </c>
      <c r="T19" s="1386" t="s">
        <v>5</v>
      </c>
      <c r="U19" s="1387">
        <f>H19</f>
        <v>100</v>
      </c>
      <c r="V19" s="1386" t="s">
        <v>5</v>
      </c>
      <c r="W19" s="1387">
        <f>J19</f>
        <v>100</v>
      </c>
      <c r="X19" s="1380"/>
      <c r="Y19" s="4303"/>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4303"/>
      <c r="Q20" s="1385"/>
      <c r="R20" s="1386"/>
      <c r="S20" s="1387"/>
      <c r="T20" s="1386"/>
      <c r="U20" s="1387"/>
      <c r="V20" s="1386"/>
      <c r="W20" s="1387"/>
      <c r="X20" s="1380"/>
      <c r="Y20" s="4303"/>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4303"/>
      <c r="Q21" s="2193" t="str">
        <f>B21</f>
        <v>基础设施水平</v>
      </c>
      <c r="R21" s="1386" t="s">
        <v>5</v>
      </c>
      <c r="S21" s="1387">
        <f>F21</f>
        <v>100</v>
      </c>
      <c r="T21" s="1386" t="s">
        <v>5</v>
      </c>
      <c r="U21" s="1387">
        <f>H21</f>
        <v>100</v>
      </c>
      <c r="V21" s="1386" t="s">
        <v>5</v>
      </c>
      <c r="W21" s="1387">
        <f>J21</f>
        <v>100</v>
      </c>
      <c r="X21" s="2195"/>
      <c r="Y21" s="4303"/>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4303"/>
      <c r="Q22" s="2193"/>
      <c r="R22" s="1386"/>
      <c r="S22" s="1387"/>
      <c r="T22" s="1386"/>
      <c r="U22" s="1387"/>
      <c r="V22" s="1386"/>
      <c r="W22" s="1387"/>
      <c r="X22" s="2195"/>
      <c r="Y22" s="4303"/>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4303"/>
      <c r="Q23" s="1385" t="str">
        <f>B23</f>
        <v>环境质量</v>
      </c>
      <c r="R23" s="1386" t="s">
        <v>5</v>
      </c>
      <c r="S23" s="1387">
        <f>F23</f>
        <v>100</v>
      </c>
      <c r="T23" s="1386" t="s">
        <v>5</v>
      </c>
      <c r="U23" s="1387">
        <f>H23</f>
        <v>100</v>
      </c>
      <c r="V23" s="1386" t="s">
        <v>5</v>
      </c>
      <c r="W23" s="1387">
        <f>J23</f>
        <v>100</v>
      </c>
      <c r="X23" s="1380"/>
      <c r="Y23" s="4303"/>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4303"/>
      <c r="Q24" s="1385"/>
      <c r="R24" s="1386"/>
      <c r="S24" s="1387"/>
      <c r="T24" s="1386"/>
      <c r="U24" s="1387"/>
      <c r="V24" s="1386"/>
      <c r="W24" s="1387"/>
      <c r="X24" s="1380"/>
      <c r="Y24" s="4303"/>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4303"/>
      <c r="Q25" s="1385">
        <f>B25</f>
        <v>111</v>
      </c>
      <c r="R25" s="1386" t="s">
        <v>5</v>
      </c>
      <c r="S25" s="1387">
        <f>F25</f>
        <v>100</v>
      </c>
      <c r="T25" s="1386" t="s">
        <v>5</v>
      </c>
      <c r="U25" s="1387">
        <f>H25</f>
        <v>100</v>
      </c>
      <c r="V25" s="1386" t="s">
        <v>5</v>
      </c>
      <c r="W25" s="1387">
        <f>J25</f>
        <v>100</v>
      </c>
      <c r="X25" s="1380"/>
      <c r="Y25" s="4303"/>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4303"/>
      <c r="Q26" s="1385">
        <f t="shared" ref="Q26:Q40" si="8">B26</f>
        <v>111</v>
      </c>
      <c r="R26" s="1386" t="s">
        <v>5</v>
      </c>
      <c r="S26" s="1387">
        <f>F26</f>
        <v>100</v>
      </c>
      <c r="T26" s="1386" t="s">
        <v>5</v>
      </c>
      <c r="U26" s="1387">
        <f>H26</f>
        <v>100</v>
      </c>
      <c r="V26" s="1386" t="s">
        <v>5</v>
      </c>
      <c r="W26" s="1387">
        <f>J26</f>
        <v>100</v>
      </c>
      <c r="X26" s="1380"/>
      <c r="Y26" s="4303"/>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4303"/>
      <c r="Q27" s="1050">
        <f t="shared" si="8"/>
        <v>111</v>
      </c>
      <c r="R27" s="1381" t="s">
        <v>5</v>
      </c>
      <c r="S27" s="1382">
        <f>F27</f>
        <v>100</v>
      </c>
      <c r="T27" s="1381" t="s">
        <v>5</v>
      </c>
      <c r="U27" s="1382">
        <f>H27</f>
        <v>100</v>
      </c>
      <c r="V27" s="1381" t="s">
        <v>5</v>
      </c>
      <c r="W27" s="1382">
        <f>J27</f>
        <v>100</v>
      </c>
      <c r="X27" s="1383"/>
      <c r="Y27" s="4303"/>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4303"/>
      <c r="Q28" s="1385">
        <f t="shared" si="8"/>
        <v>111</v>
      </c>
      <c r="R28" s="1386" t="s">
        <v>5</v>
      </c>
      <c r="S28" s="1387">
        <f t="shared" ref="S28:S40" si="9">F28</f>
        <v>100</v>
      </c>
      <c r="T28" s="1386" t="s">
        <v>5</v>
      </c>
      <c r="U28" s="1387">
        <f t="shared" ref="U28:U40" si="10">H28</f>
        <v>100</v>
      </c>
      <c r="V28" s="1386" t="s">
        <v>5</v>
      </c>
      <c r="W28" s="1387">
        <f t="shared" ref="W28:W40" si="11">J28</f>
        <v>100</v>
      </c>
      <c r="X28" s="1380"/>
      <c r="Y28" s="4303"/>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4304" t="s">
        <v>499</v>
      </c>
      <c r="Q29" s="1385" t="str">
        <f t="shared" si="8"/>
        <v>建筑类型</v>
      </c>
      <c r="R29" s="1386" t="s">
        <v>5</v>
      </c>
      <c r="S29" s="1387">
        <f t="shared" si="9"/>
        <v>100</v>
      </c>
      <c r="T29" s="1386" t="s">
        <v>5</v>
      </c>
      <c r="U29" s="1387">
        <f t="shared" si="10"/>
        <v>100</v>
      </c>
      <c r="V29" s="1386" t="s">
        <v>5</v>
      </c>
      <c r="W29" s="1387">
        <f t="shared" si="11"/>
        <v>100</v>
      </c>
      <c r="X29" s="1380"/>
      <c r="Y29" s="4305"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4305"/>
      <c r="Q30" s="1414" t="str">
        <f t="shared" si="8"/>
        <v>项目建筑规模</v>
      </c>
      <c r="R30" s="1390" t="s">
        <v>5</v>
      </c>
      <c r="S30" s="1391" t="e">
        <f t="shared" si="9"/>
        <v>#N/A</v>
      </c>
      <c r="T30" s="1390" t="s">
        <v>5</v>
      </c>
      <c r="U30" s="1391" t="e">
        <f t="shared" si="10"/>
        <v>#N/A</v>
      </c>
      <c r="V30" s="1390" t="s">
        <v>5</v>
      </c>
      <c r="W30" s="1391" t="e">
        <f t="shared" si="11"/>
        <v>#N/A</v>
      </c>
      <c r="X30" s="1392"/>
      <c r="Y30" s="4305"/>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4305"/>
      <c r="Q31" s="1385" t="str">
        <f t="shared" si="8"/>
        <v>建筑结构</v>
      </c>
      <c r="R31" s="1386" t="s">
        <v>5</v>
      </c>
      <c r="S31" s="1387">
        <f t="shared" si="9"/>
        <v>100</v>
      </c>
      <c r="T31" s="1386" t="s">
        <v>5</v>
      </c>
      <c r="U31" s="1387">
        <f t="shared" si="10"/>
        <v>100</v>
      </c>
      <c r="V31" s="1386" t="s">
        <v>5</v>
      </c>
      <c r="W31" s="1387">
        <f t="shared" si="11"/>
        <v>100</v>
      </c>
      <c r="X31" s="1380"/>
      <c r="Y31" s="4305"/>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4305"/>
      <c r="Q32" s="1385" t="str">
        <f t="shared" si="8"/>
        <v>公共部分装修</v>
      </c>
      <c r="R32" s="1386" t="s">
        <v>5</v>
      </c>
      <c r="S32" s="1387">
        <f t="shared" si="9"/>
        <v>100</v>
      </c>
      <c r="T32" s="1386" t="s">
        <v>5</v>
      </c>
      <c r="U32" s="1387">
        <f t="shared" si="10"/>
        <v>100</v>
      </c>
      <c r="V32" s="1386" t="s">
        <v>5</v>
      </c>
      <c r="W32" s="1387">
        <f t="shared" si="11"/>
        <v>100</v>
      </c>
      <c r="X32" s="1380"/>
      <c r="Y32" s="4305"/>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4305"/>
      <c r="Q33" s="1385" t="str">
        <f t="shared" si="8"/>
        <v>成新度</v>
      </c>
      <c r="R33" s="1386" t="s">
        <v>5</v>
      </c>
      <c r="S33" s="1387" t="e">
        <f t="shared" si="9"/>
        <v>#N/A</v>
      </c>
      <c r="T33" s="1386" t="s">
        <v>5</v>
      </c>
      <c r="U33" s="1387" t="e">
        <f t="shared" si="10"/>
        <v>#N/A</v>
      </c>
      <c r="V33" s="1386" t="s">
        <v>5</v>
      </c>
      <c r="W33" s="1387" t="e">
        <f t="shared" si="11"/>
        <v>#N/A</v>
      </c>
      <c r="X33" s="1380"/>
      <c r="Y33" s="4305"/>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4305"/>
      <c r="Q34" s="1050" t="str">
        <f t="shared" si="8"/>
        <v>物业管理</v>
      </c>
      <c r="R34" s="1381" t="s">
        <v>5</v>
      </c>
      <c r="S34" s="1382">
        <f t="shared" si="9"/>
        <v>100</v>
      </c>
      <c r="T34" s="1381" t="s">
        <v>5</v>
      </c>
      <c r="U34" s="1382">
        <f t="shared" si="10"/>
        <v>100</v>
      </c>
      <c r="V34" s="1381" t="s">
        <v>5</v>
      </c>
      <c r="W34" s="1382">
        <f t="shared" si="11"/>
        <v>100</v>
      </c>
      <c r="X34" s="1383"/>
      <c r="Y34" s="4305"/>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4305" t="s">
        <v>499</v>
      </c>
      <c r="Q35" s="1385" t="str">
        <f t="shared" si="8"/>
        <v>市政基础设施</v>
      </c>
      <c r="R35" s="1386" t="s">
        <v>5</v>
      </c>
      <c r="S35" s="1387">
        <f t="shared" si="9"/>
        <v>100</v>
      </c>
      <c r="T35" s="1386" t="s">
        <v>5</v>
      </c>
      <c r="U35" s="1387">
        <f t="shared" si="10"/>
        <v>100</v>
      </c>
      <c r="V35" s="1386" t="s">
        <v>5</v>
      </c>
      <c r="W35" s="1387">
        <f t="shared" si="11"/>
        <v>100</v>
      </c>
      <c r="X35" s="1380"/>
      <c r="Y35" s="4305"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4305"/>
      <c r="Q36" s="1385" t="str">
        <f t="shared" si="8"/>
        <v>内部装修</v>
      </c>
      <c r="R36" s="1386" t="s">
        <v>5</v>
      </c>
      <c r="S36" s="1387">
        <f t="shared" si="9"/>
        <v>100</v>
      </c>
      <c r="T36" s="1386" t="s">
        <v>5</v>
      </c>
      <c r="U36" s="1387">
        <f t="shared" si="10"/>
        <v>100</v>
      </c>
      <c r="V36" s="1386" t="s">
        <v>5</v>
      </c>
      <c r="W36" s="1387">
        <f t="shared" si="11"/>
        <v>100</v>
      </c>
      <c r="X36" s="1380"/>
      <c r="Y36" s="4305"/>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4305"/>
      <c r="Q37" s="1385" t="str">
        <f t="shared" si="8"/>
        <v>内部装修状况</v>
      </c>
      <c r="R37" s="1386" t="s">
        <v>5</v>
      </c>
      <c r="S37" s="1387">
        <f t="shared" si="9"/>
        <v>100</v>
      </c>
      <c r="T37" s="1386" t="s">
        <v>5</v>
      </c>
      <c r="U37" s="1387">
        <f t="shared" si="10"/>
        <v>100</v>
      </c>
      <c r="V37" s="1386" t="s">
        <v>5</v>
      </c>
      <c r="W37" s="1387">
        <f t="shared" si="11"/>
        <v>100</v>
      </c>
      <c r="X37" s="1380"/>
      <c r="Y37" s="4305"/>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4305"/>
      <c r="Q38" s="1414">
        <f t="shared" si="8"/>
        <v>111</v>
      </c>
      <c r="R38" s="1390" t="s">
        <v>5</v>
      </c>
      <c r="S38" s="1391">
        <f t="shared" si="9"/>
        <v>100</v>
      </c>
      <c r="T38" s="1390" t="s">
        <v>5</v>
      </c>
      <c r="U38" s="1391">
        <f t="shared" si="10"/>
        <v>100</v>
      </c>
      <c r="V38" s="1390" t="s">
        <v>5</v>
      </c>
      <c r="W38" s="1391">
        <f t="shared" si="11"/>
        <v>100</v>
      </c>
      <c r="X38" s="1392"/>
      <c r="Y38" s="4305"/>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4305"/>
      <c r="Q39" s="1385">
        <f t="shared" si="8"/>
        <v>111</v>
      </c>
      <c r="R39" s="1386" t="s">
        <v>5</v>
      </c>
      <c r="S39" s="1387">
        <f t="shared" si="9"/>
        <v>100</v>
      </c>
      <c r="T39" s="1386" t="s">
        <v>5</v>
      </c>
      <c r="U39" s="1387">
        <f t="shared" si="10"/>
        <v>100</v>
      </c>
      <c r="V39" s="1386" t="s">
        <v>5</v>
      </c>
      <c r="W39" s="1387">
        <f t="shared" si="11"/>
        <v>100</v>
      </c>
      <c r="X39" s="1380"/>
      <c r="Y39" s="4305"/>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443"/>
      <c r="Q40" s="1385">
        <f t="shared" si="8"/>
        <v>111</v>
      </c>
      <c r="R40" s="1386" t="s">
        <v>5</v>
      </c>
      <c r="S40" s="1387">
        <f t="shared" si="9"/>
        <v>100</v>
      </c>
      <c r="T40" s="1386" t="s">
        <v>5</v>
      </c>
      <c r="U40" s="1387">
        <f t="shared" si="10"/>
        <v>100</v>
      </c>
      <c r="V40" s="1386" t="s">
        <v>5</v>
      </c>
      <c r="W40" s="1387">
        <f t="shared" si="11"/>
        <v>100</v>
      </c>
      <c r="X40" s="1380"/>
      <c r="Y40" s="4443"/>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4269" t="str">
        <f>A41</f>
        <v>成交单价（元/平方米）</v>
      </c>
      <c r="Q41" s="4269"/>
      <c r="R41" s="4442">
        <f>E41</f>
        <v>0</v>
      </c>
      <c r="S41" s="4442"/>
      <c r="T41" s="4442">
        <f>G41</f>
        <v>0</v>
      </c>
      <c r="U41" s="4442"/>
      <c r="V41" s="4442">
        <f>I41</f>
        <v>0</v>
      </c>
      <c r="W41" s="4442"/>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4269" t="str">
        <f>A42</f>
        <v>比较价格（元/平方米）</v>
      </c>
      <c r="Q42" s="4269"/>
      <c r="R42" s="4442" t="e">
        <f>IF(F1="售价",ROUND(PRODUCT(R41,AA7:AA40),0),ROUND(PRODUCT(R41,AA7:AA40),1))</f>
        <v>#DIV/0!</v>
      </c>
      <c r="S42" s="4442"/>
      <c r="T42" s="4442" t="e">
        <f>IF(F1="售价",ROUND(PRODUCT(T41,AB7:AB40),0),ROUND(PRODUCT(T41,AB7:AB40),1))</f>
        <v>#DIV/0!</v>
      </c>
      <c r="U42" s="4442"/>
      <c r="V42" s="4442" t="e">
        <f>IF(F1="售价",ROUND(PRODUCT(V41,AC7:AC40),0),ROUND(PRODUCT(V41,AC7:AC40),1))</f>
        <v>#DIV/0!</v>
      </c>
      <c r="W42" s="4442"/>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4306" t="str">
        <f>A43</f>
        <v>估价对象XX用房的比较价格（楼面单价，元/平方米）</v>
      </c>
      <c r="Q43" s="4307"/>
      <c r="R43" s="4441" t="e">
        <f>IF(F1="售价",ROUND(IF(D42="简单平均",AVERAGE(R42:V42),R42*F42+T42*H42+V42*J42),0),ROUND(IF(D42="简单平均",AVERAGE(R42:V42),R42*F42+T42*H42+V42*J42),1))</f>
        <v>#DIV/0!</v>
      </c>
      <c r="S43" s="4441"/>
      <c r="T43" s="4441"/>
      <c r="U43" s="4441"/>
      <c r="V43" s="4441"/>
      <c r="W43" s="4441"/>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2024-3</v>
      </c>
      <c r="D52" s="2284">
        <f>EDATE(C52,-1)</f>
        <v>45323</v>
      </c>
      <c r="E52" s="2284">
        <f t="shared" ref="E52:O52" si="13">EDATE(D52,-1)</f>
        <v>45292</v>
      </c>
      <c r="F52" s="2284">
        <f t="shared" si="13"/>
        <v>45261</v>
      </c>
      <c r="G52" s="2284">
        <f t="shared" si="13"/>
        <v>45231</v>
      </c>
      <c r="H52" s="2284">
        <f t="shared" si="13"/>
        <v>45200</v>
      </c>
      <c r="I52" s="2284">
        <f t="shared" si="13"/>
        <v>45170</v>
      </c>
      <c r="J52" s="2284">
        <f t="shared" si="13"/>
        <v>45139</v>
      </c>
      <c r="K52" s="2284">
        <f t="shared" si="13"/>
        <v>45108</v>
      </c>
      <c r="L52" s="2284">
        <f t="shared" si="13"/>
        <v>45078</v>
      </c>
      <c r="M52" s="2284">
        <f t="shared" si="13"/>
        <v>45047</v>
      </c>
      <c r="N52" s="2284">
        <f t="shared" si="13"/>
        <v>45017</v>
      </c>
      <c r="O52" s="2284">
        <f t="shared" si="13"/>
        <v>44986</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4275" t="s">
        <v>738</v>
      </c>
      <c r="D4" s="4276"/>
      <c r="E4" s="4275" t="s">
        <v>739</v>
      </c>
      <c r="F4" s="4276"/>
      <c r="G4" s="4275" t="s">
        <v>740</v>
      </c>
      <c r="H4" s="4276"/>
      <c r="I4" s="4275" t="s">
        <v>741</v>
      </c>
      <c r="J4" s="4276"/>
      <c r="K4" s="484" t="s">
        <v>742</v>
      </c>
      <c r="L4" s="1856"/>
      <c r="M4" s="1857"/>
      <c r="N4" s="1857"/>
      <c r="O4" s="1857"/>
      <c r="P4" s="4277" t="s">
        <v>743</v>
      </c>
      <c r="Q4" s="4278"/>
      <c r="R4" s="4283" t="s">
        <v>739</v>
      </c>
      <c r="S4" s="4284"/>
      <c r="T4" s="4283" t="s">
        <v>740</v>
      </c>
      <c r="U4" s="4284"/>
      <c r="V4" s="4270" t="s">
        <v>741</v>
      </c>
      <c r="W4" s="4270"/>
      <c r="X4" s="1380"/>
      <c r="Y4" s="4283" t="s">
        <v>743</v>
      </c>
      <c r="Z4" s="4284"/>
      <c r="AA4" s="4272" t="s">
        <v>739</v>
      </c>
      <c r="AB4" s="4273" t="s">
        <v>740</v>
      </c>
      <c r="AC4" s="4272" t="s">
        <v>741</v>
      </c>
    </row>
    <row r="5" spans="1:29" ht="15">
      <c r="A5" s="485"/>
      <c r="B5" s="486"/>
      <c r="C5" s="4291" t="s">
        <v>2192</v>
      </c>
      <c r="D5" s="4292"/>
      <c r="E5" s="4291" t="s">
        <v>2193</v>
      </c>
      <c r="F5" s="4292"/>
      <c r="G5" s="4291" t="s">
        <v>2194</v>
      </c>
      <c r="H5" s="4292"/>
      <c r="I5" s="4291" t="s">
        <v>2195</v>
      </c>
      <c r="J5" s="4292"/>
      <c r="K5" s="484"/>
      <c r="L5" s="1856"/>
      <c r="M5" s="1857"/>
      <c r="N5" s="1857"/>
      <c r="O5" s="1857"/>
      <c r="P5" s="4279"/>
      <c r="Q5" s="4280"/>
      <c r="R5" s="4285"/>
      <c r="S5" s="4286"/>
      <c r="T5" s="4285"/>
      <c r="U5" s="4286"/>
      <c r="V5" s="4270"/>
      <c r="W5" s="4270"/>
      <c r="X5" s="1380"/>
      <c r="Y5" s="4285"/>
      <c r="Z5" s="4286"/>
      <c r="AA5" s="4273"/>
      <c r="AB5" s="4273"/>
      <c r="AC5" s="4273"/>
    </row>
    <row r="6" spans="1:29" ht="15.75" thickBot="1">
      <c r="A6" s="487"/>
      <c r="B6" s="488"/>
      <c r="C6" s="4289" t="s">
        <v>2196</v>
      </c>
      <c r="D6" s="4290"/>
      <c r="E6" s="4293" t="s">
        <v>2196</v>
      </c>
      <c r="F6" s="4294"/>
      <c r="G6" s="4289" t="s">
        <v>2196</v>
      </c>
      <c r="H6" s="4290"/>
      <c r="I6" s="4289" t="s">
        <v>2196</v>
      </c>
      <c r="J6" s="4290"/>
      <c r="K6" s="484" t="s">
        <v>477</v>
      </c>
      <c r="L6" s="1856"/>
      <c r="M6" s="1857"/>
      <c r="N6" s="1857"/>
      <c r="O6" s="1857"/>
      <c r="P6" s="4281"/>
      <c r="Q6" s="4282"/>
      <c r="R6" s="4285"/>
      <c r="S6" s="4286"/>
      <c r="T6" s="4287"/>
      <c r="U6" s="4288"/>
      <c r="V6" s="4270"/>
      <c r="W6" s="4270"/>
      <c r="X6" s="1380"/>
      <c r="Y6" s="4287"/>
      <c r="Z6" s="4288"/>
      <c r="AA6" s="4274"/>
      <c r="AB6" s="4274"/>
      <c r="AC6" s="4274"/>
    </row>
    <row r="7" spans="1:29" s="1118" customFormat="1" ht="15.75" thickBot="1">
      <c r="A7" s="2392"/>
      <c r="B7" s="2399" t="s">
        <v>478</v>
      </c>
      <c r="C7" s="489">
        <f>'数据-取费表'!B2</f>
        <v>45382</v>
      </c>
      <c r="D7" s="490">
        <v>100</v>
      </c>
      <c r="E7" s="491"/>
      <c r="F7" s="492">
        <f>SUMIF(48:48,YEAR(E7)&amp;"-"&amp;MONTH(E7),49:49)</f>
        <v>0</v>
      </c>
      <c r="G7" s="493"/>
      <c r="H7" s="490">
        <f>SUMIF(48:48,YEAR(G7)&amp;"-"&amp;MONTH(G7),49:49)</f>
        <v>0</v>
      </c>
      <c r="I7" s="493"/>
      <c r="J7" s="490">
        <f>SUMIF(48:48,YEAR(I7)&amp;"-"&amp;MONTH(I7),49:49)</f>
        <v>0</v>
      </c>
      <c r="K7" s="494"/>
      <c r="L7" s="1858"/>
      <c r="M7" s="1859"/>
      <c r="N7" s="1859"/>
      <c r="O7" s="1859"/>
      <c r="P7" s="4299" t="s">
        <v>479</v>
      </c>
      <c r="Q7" s="4301"/>
      <c r="R7" s="1381" t="s">
        <v>5</v>
      </c>
      <c r="S7" s="1382">
        <f t="shared" ref="S7:S14" si="0">F7</f>
        <v>0</v>
      </c>
      <c r="T7" s="1381" t="s">
        <v>5</v>
      </c>
      <c r="U7" s="1382">
        <f t="shared" ref="U7:U14" si="1">H7</f>
        <v>0</v>
      </c>
      <c r="V7" s="1381" t="s">
        <v>5</v>
      </c>
      <c r="W7" s="1382">
        <f t="shared" ref="W7:W14" si="2">J7</f>
        <v>0</v>
      </c>
      <c r="X7" s="1383"/>
      <c r="Y7" s="4299" t="s">
        <v>479</v>
      </c>
      <c r="Z7" s="4300"/>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4299" t="s">
        <v>482</v>
      </c>
      <c r="Q8" s="4300"/>
      <c r="R8" s="1381" t="s">
        <v>5</v>
      </c>
      <c r="S8" s="1382">
        <f t="shared" si="0"/>
        <v>0</v>
      </c>
      <c r="T8" s="1381" t="s">
        <v>5</v>
      </c>
      <c r="U8" s="1382">
        <f t="shared" si="1"/>
        <v>0</v>
      </c>
      <c r="V8" s="1381" t="s">
        <v>5</v>
      </c>
      <c r="W8" s="1382">
        <f t="shared" si="2"/>
        <v>0</v>
      </c>
      <c r="X8" s="1383"/>
      <c r="Y8" s="4299" t="s">
        <v>482</v>
      </c>
      <c r="Z8" s="4300"/>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4269" t="s">
        <v>484</v>
      </c>
      <c r="Q9" s="1050" t="str">
        <f t="shared" ref="Q9:Q14" si="6">B9</f>
        <v>用途</v>
      </c>
      <c r="R9" s="1381" t="s">
        <v>5</v>
      </c>
      <c r="S9" s="1382">
        <f t="shared" si="0"/>
        <v>100</v>
      </c>
      <c r="T9" s="1381" t="s">
        <v>5</v>
      </c>
      <c r="U9" s="1382">
        <f t="shared" si="1"/>
        <v>100</v>
      </c>
      <c r="V9" s="1381" t="s">
        <v>5</v>
      </c>
      <c r="W9" s="1382">
        <f t="shared" si="2"/>
        <v>100</v>
      </c>
      <c r="X9" s="1383"/>
      <c r="Y9" s="4213"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4269"/>
      <c r="Q10" s="1050" t="str">
        <f t="shared" si="6"/>
        <v>土地使用年限（年）</v>
      </c>
      <c r="R10" s="1381" t="s">
        <v>5</v>
      </c>
      <c r="S10" s="1382">
        <f t="shared" si="0"/>
        <v>100</v>
      </c>
      <c r="T10" s="1381" t="s">
        <v>5</v>
      </c>
      <c r="U10" s="1382">
        <f t="shared" si="1"/>
        <v>100</v>
      </c>
      <c r="V10" s="1381" t="s">
        <v>5</v>
      </c>
      <c r="W10" s="1382">
        <f t="shared" si="2"/>
        <v>100</v>
      </c>
      <c r="X10" s="1383"/>
      <c r="Y10" s="4213"/>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4269"/>
      <c r="Q11" s="1050">
        <f t="shared" si="6"/>
        <v>111</v>
      </c>
      <c r="R11" s="1381" t="s">
        <v>5</v>
      </c>
      <c r="S11" s="1382">
        <f t="shared" si="0"/>
        <v>100</v>
      </c>
      <c r="T11" s="1381" t="s">
        <v>5</v>
      </c>
      <c r="U11" s="1382">
        <f t="shared" si="1"/>
        <v>100</v>
      </c>
      <c r="V11" s="1381" t="s">
        <v>5</v>
      </c>
      <c r="W11" s="1382">
        <f t="shared" si="2"/>
        <v>100</v>
      </c>
      <c r="X11" s="1383"/>
      <c r="Y11" s="4213"/>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4269"/>
      <c r="Q12" s="1050">
        <f t="shared" si="6"/>
        <v>111</v>
      </c>
      <c r="R12" s="1381" t="s">
        <v>5</v>
      </c>
      <c r="S12" s="1382">
        <f t="shared" si="0"/>
        <v>100</v>
      </c>
      <c r="T12" s="1381" t="s">
        <v>5</v>
      </c>
      <c r="U12" s="1382">
        <f t="shared" si="1"/>
        <v>100</v>
      </c>
      <c r="V12" s="1381" t="s">
        <v>5</v>
      </c>
      <c r="W12" s="1382">
        <f t="shared" si="2"/>
        <v>100</v>
      </c>
      <c r="X12" s="1383"/>
      <c r="Y12" s="4213"/>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4269"/>
      <c r="Q13" s="1050">
        <f t="shared" si="6"/>
        <v>111</v>
      </c>
      <c r="R13" s="1381" t="s">
        <v>5</v>
      </c>
      <c r="S13" s="1382">
        <f t="shared" si="0"/>
        <v>100</v>
      </c>
      <c r="T13" s="1381" t="s">
        <v>5</v>
      </c>
      <c r="U13" s="1382">
        <f t="shared" si="1"/>
        <v>100</v>
      </c>
      <c r="V13" s="1381" t="s">
        <v>5</v>
      </c>
      <c r="W13" s="1382">
        <f t="shared" si="2"/>
        <v>100</v>
      </c>
      <c r="X13" s="1383"/>
      <c r="Y13" s="4213"/>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4302" t="s">
        <v>489</v>
      </c>
      <c r="Q14" s="1385" t="str">
        <f t="shared" si="6"/>
        <v>交通便捷度</v>
      </c>
      <c r="R14" s="1386" t="s">
        <v>5</v>
      </c>
      <c r="S14" s="1387">
        <f t="shared" si="0"/>
        <v>100</v>
      </c>
      <c r="T14" s="1386" t="s">
        <v>5</v>
      </c>
      <c r="U14" s="1387">
        <f t="shared" si="1"/>
        <v>100</v>
      </c>
      <c r="V14" s="1386" t="s">
        <v>5</v>
      </c>
      <c r="W14" s="1387">
        <f t="shared" si="2"/>
        <v>100</v>
      </c>
      <c r="X14" s="1380"/>
      <c r="Y14" s="4302"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4303"/>
      <c r="Q15" s="1385"/>
      <c r="R15" s="1386"/>
      <c r="S15" s="1387"/>
      <c r="T15" s="1386"/>
      <c r="U15" s="1387"/>
      <c r="V15" s="1386"/>
      <c r="W15" s="1387"/>
      <c r="X15" s="1380"/>
      <c r="Y15" s="4303"/>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4303"/>
      <c r="Q16" s="1385" t="str">
        <f>B16</f>
        <v>公共配套设施</v>
      </c>
      <c r="R16" s="1386" t="s">
        <v>5</v>
      </c>
      <c r="S16" s="1387">
        <f>F16</f>
        <v>100</v>
      </c>
      <c r="T16" s="1386" t="s">
        <v>5</v>
      </c>
      <c r="U16" s="1387">
        <f>H16</f>
        <v>100</v>
      </c>
      <c r="V16" s="1386" t="s">
        <v>5</v>
      </c>
      <c r="W16" s="1387">
        <f>J16</f>
        <v>100</v>
      </c>
      <c r="X16" s="1380"/>
      <c r="Y16" s="4303"/>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4303"/>
      <c r="Q17" s="1385"/>
      <c r="R17" s="1386"/>
      <c r="S17" s="1387"/>
      <c r="T17" s="1386"/>
      <c r="U17" s="1387"/>
      <c r="V17" s="1386"/>
      <c r="W17" s="1387"/>
      <c r="X17" s="1380"/>
      <c r="Y17" s="4303"/>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4303"/>
      <c r="Q18" s="2193" t="str">
        <f>B18</f>
        <v>基础设施水平</v>
      </c>
      <c r="R18" s="1386" t="s">
        <v>5</v>
      </c>
      <c r="S18" s="1387">
        <f>F18</f>
        <v>100</v>
      </c>
      <c r="T18" s="1386" t="s">
        <v>5</v>
      </c>
      <c r="U18" s="1387">
        <f>H18</f>
        <v>100</v>
      </c>
      <c r="V18" s="1386" t="s">
        <v>5</v>
      </c>
      <c r="W18" s="1387">
        <f>J18</f>
        <v>100</v>
      </c>
      <c r="X18" s="2195"/>
      <c r="Y18" s="4303"/>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4303"/>
      <c r="Q19" s="2193"/>
      <c r="R19" s="1386"/>
      <c r="S19" s="1387"/>
      <c r="T19" s="1386"/>
      <c r="U19" s="1387"/>
      <c r="V19" s="1386"/>
      <c r="W19" s="1387"/>
      <c r="X19" s="2195"/>
      <c r="Y19" s="4303"/>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4303"/>
      <c r="Q20" s="1385" t="str">
        <f>B20</f>
        <v>自然及人文环境</v>
      </c>
      <c r="R20" s="1386" t="s">
        <v>5</v>
      </c>
      <c r="S20" s="1387">
        <f>F20</f>
        <v>100</v>
      </c>
      <c r="T20" s="1386" t="s">
        <v>5</v>
      </c>
      <c r="U20" s="1387">
        <f>H20</f>
        <v>100</v>
      </c>
      <c r="V20" s="1386" t="s">
        <v>5</v>
      </c>
      <c r="W20" s="1387">
        <f>J20</f>
        <v>100</v>
      </c>
      <c r="X20" s="1380"/>
      <c r="Y20" s="4303"/>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4303"/>
      <c r="Q21" s="1385"/>
      <c r="R21" s="1386"/>
      <c r="S21" s="1387"/>
      <c r="T21" s="1386"/>
      <c r="U21" s="1387"/>
      <c r="V21" s="1386"/>
      <c r="W21" s="1387"/>
      <c r="X21" s="1380"/>
      <c r="Y21" s="4303"/>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4303"/>
      <c r="Q22" s="1385" t="str">
        <f>B22</f>
        <v>楼层</v>
      </c>
      <c r="R22" s="1386" t="s">
        <v>5</v>
      </c>
      <c r="S22" s="1387">
        <f>F22</f>
        <v>100</v>
      </c>
      <c r="T22" s="1386" t="s">
        <v>5</v>
      </c>
      <c r="U22" s="1387">
        <f>H22</f>
        <v>100</v>
      </c>
      <c r="V22" s="1386" t="s">
        <v>5</v>
      </c>
      <c r="W22" s="1387">
        <f>J22</f>
        <v>100</v>
      </c>
      <c r="X22" s="1380"/>
      <c r="Y22" s="4303"/>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4303"/>
      <c r="Q23" s="1385">
        <f>B23</f>
        <v>111</v>
      </c>
      <c r="R23" s="1386" t="s">
        <v>5</v>
      </c>
      <c r="S23" s="1387">
        <f>F23</f>
        <v>100</v>
      </c>
      <c r="T23" s="1386" t="s">
        <v>5</v>
      </c>
      <c r="U23" s="1387">
        <f>H23</f>
        <v>100</v>
      </c>
      <c r="V23" s="1386" t="s">
        <v>5</v>
      </c>
      <c r="W23" s="1387">
        <f>J23</f>
        <v>100</v>
      </c>
      <c r="X23" s="1380"/>
      <c r="Y23" s="4303"/>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4303"/>
      <c r="Q24" s="1385">
        <f t="shared" ref="Q24:Q36" si="8">B24</f>
        <v>111</v>
      </c>
      <c r="R24" s="1386" t="s">
        <v>5</v>
      </c>
      <c r="S24" s="1387">
        <f>F24</f>
        <v>100</v>
      </c>
      <c r="T24" s="1386" t="s">
        <v>5</v>
      </c>
      <c r="U24" s="1387">
        <f>H24</f>
        <v>100</v>
      </c>
      <c r="V24" s="1386" t="s">
        <v>5</v>
      </c>
      <c r="W24" s="1387">
        <f>J24</f>
        <v>100</v>
      </c>
      <c r="X24" s="1380"/>
      <c r="Y24" s="4303"/>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4303"/>
      <c r="Q25" s="1050">
        <f t="shared" si="8"/>
        <v>111</v>
      </c>
      <c r="R25" s="1381" t="s">
        <v>5</v>
      </c>
      <c r="S25" s="1382">
        <f>F25</f>
        <v>100</v>
      </c>
      <c r="T25" s="1381" t="s">
        <v>5</v>
      </c>
      <c r="U25" s="1382">
        <f>H25</f>
        <v>100</v>
      </c>
      <c r="V25" s="1381" t="s">
        <v>5</v>
      </c>
      <c r="W25" s="1382">
        <f>J25</f>
        <v>100</v>
      </c>
      <c r="X25" s="1383"/>
      <c r="Y25" s="4303"/>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4304"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4305"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4305"/>
      <c r="Q27" s="1414" t="str">
        <f t="shared" si="8"/>
        <v>项目停车位配比</v>
      </c>
      <c r="R27" s="1390" t="s">
        <v>5</v>
      </c>
      <c r="S27" s="1391">
        <f t="shared" si="9"/>
        <v>100</v>
      </c>
      <c r="T27" s="1390" t="s">
        <v>5</v>
      </c>
      <c r="U27" s="1391">
        <f t="shared" si="10"/>
        <v>100</v>
      </c>
      <c r="V27" s="1390" t="s">
        <v>5</v>
      </c>
      <c r="W27" s="1391">
        <f t="shared" si="11"/>
        <v>100</v>
      </c>
      <c r="X27" s="1392"/>
      <c r="Y27" s="4305"/>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4305"/>
      <c r="Q28" s="1385" t="str">
        <f t="shared" si="8"/>
        <v>公共部分装修</v>
      </c>
      <c r="R28" s="1386" t="s">
        <v>5</v>
      </c>
      <c r="S28" s="1387">
        <f t="shared" si="9"/>
        <v>100</v>
      </c>
      <c r="T28" s="1386" t="s">
        <v>5</v>
      </c>
      <c r="U28" s="1387">
        <f t="shared" si="10"/>
        <v>100</v>
      </c>
      <c r="V28" s="1386" t="s">
        <v>5</v>
      </c>
      <c r="W28" s="1387">
        <f t="shared" si="11"/>
        <v>100</v>
      </c>
      <c r="X28" s="1380"/>
      <c r="Y28" s="4305"/>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4305"/>
      <c r="Q29" s="1385" t="str">
        <f t="shared" si="8"/>
        <v>成新率</v>
      </c>
      <c r="R29" s="1386" t="s">
        <v>5</v>
      </c>
      <c r="S29" s="1387" t="e">
        <f t="shared" si="9"/>
        <v>#N/A</v>
      </c>
      <c r="T29" s="1386" t="s">
        <v>5</v>
      </c>
      <c r="U29" s="1387" t="e">
        <f t="shared" si="10"/>
        <v>#N/A</v>
      </c>
      <c r="V29" s="1386" t="s">
        <v>5</v>
      </c>
      <c r="W29" s="1387" t="e">
        <f t="shared" si="11"/>
        <v>#N/A</v>
      </c>
      <c r="X29" s="1380"/>
      <c r="Y29" s="4305"/>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4305"/>
      <c r="Q30" s="1385" t="str">
        <f t="shared" si="8"/>
        <v>物业等级</v>
      </c>
      <c r="R30" s="1386" t="s">
        <v>5</v>
      </c>
      <c r="S30" s="1387">
        <f t="shared" si="9"/>
        <v>100</v>
      </c>
      <c r="T30" s="1386" t="s">
        <v>5</v>
      </c>
      <c r="U30" s="1387">
        <f t="shared" si="10"/>
        <v>100</v>
      </c>
      <c r="V30" s="1386" t="s">
        <v>5</v>
      </c>
      <c r="W30" s="1387">
        <f t="shared" si="11"/>
        <v>100</v>
      </c>
      <c r="X30" s="1380"/>
      <c r="Y30" s="4305"/>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4305"/>
      <c r="Q31" s="1050" t="str">
        <f t="shared" si="8"/>
        <v>停车位面积</v>
      </c>
      <c r="R31" s="1381" t="s">
        <v>5</v>
      </c>
      <c r="S31" s="1382" t="e">
        <f t="shared" si="9"/>
        <v>#N/A</v>
      </c>
      <c r="T31" s="1381" t="s">
        <v>5</v>
      </c>
      <c r="U31" s="1382" t="e">
        <f t="shared" si="10"/>
        <v>#N/A</v>
      </c>
      <c r="V31" s="1381" t="s">
        <v>5</v>
      </c>
      <c r="W31" s="1382" t="e">
        <f t="shared" si="11"/>
        <v>#N/A</v>
      </c>
      <c r="X31" s="1383"/>
      <c r="Y31" s="4305"/>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4305" t="s">
        <v>499</v>
      </c>
      <c r="Q32" s="1385" t="str">
        <f t="shared" si="8"/>
        <v>车位类型</v>
      </c>
      <c r="R32" s="1386" t="s">
        <v>5</v>
      </c>
      <c r="S32" s="1387">
        <f t="shared" si="9"/>
        <v>100</v>
      </c>
      <c r="T32" s="1386" t="s">
        <v>5</v>
      </c>
      <c r="U32" s="1387">
        <f t="shared" si="10"/>
        <v>100</v>
      </c>
      <c r="V32" s="1386" t="s">
        <v>5</v>
      </c>
      <c r="W32" s="1387">
        <f t="shared" si="11"/>
        <v>100</v>
      </c>
      <c r="X32" s="1380"/>
      <c r="Y32" s="4305"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4305"/>
      <c r="Q33" s="1385" t="str">
        <f t="shared" si="8"/>
        <v>是否直接入户</v>
      </c>
      <c r="R33" s="1386" t="s">
        <v>5</v>
      </c>
      <c r="S33" s="1387">
        <f t="shared" si="9"/>
        <v>100</v>
      </c>
      <c r="T33" s="1386" t="s">
        <v>5</v>
      </c>
      <c r="U33" s="1387">
        <f t="shared" si="10"/>
        <v>100</v>
      </c>
      <c r="V33" s="1386" t="s">
        <v>5</v>
      </c>
      <c r="W33" s="1387">
        <f t="shared" si="11"/>
        <v>100</v>
      </c>
      <c r="X33" s="1380"/>
      <c r="Y33" s="4305"/>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4305"/>
      <c r="Q34" s="1385">
        <f t="shared" si="8"/>
        <v>111</v>
      </c>
      <c r="R34" s="1386" t="s">
        <v>5</v>
      </c>
      <c r="S34" s="1387">
        <f t="shared" si="9"/>
        <v>100</v>
      </c>
      <c r="T34" s="1386" t="s">
        <v>5</v>
      </c>
      <c r="U34" s="1387">
        <f t="shared" si="10"/>
        <v>100</v>
      </c>
      <c r="V34" s="1386" t="s">
        <v>5</v>
      </c>
      <c r="W34" s="1387">
        <f t="shared" si="11"/>
        <v>100</v>
      </c>
      <c r="X34" s="1380"/>
      <c r="Y34" s="4305"/>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4305"/>
      <c r="Q35" s="1414">
        <f t="shared" si="8"/>
        <v>111</v>
      </c>
      <c r="R35" s="1390" t="s">
        <v>5</v>
      </c>
      <c r="S35" s="1391">
        <f t="shared" si="9"/>
        <v>100</v>
      </c>
      <c r="T35" s="1390" t="s">
        <v>5</v>
      </c>
      <c r="U35" s="1391">
        <f t="shared" si="10"/>
        <v>100</v>
      </c>
      <c r="V35" s="1390" t="s">
        <v>5</v>
      </c>
      <c r="W35" s="1391">
        <f t="shared" si="11"/>
        <v>100</v>
      </c>
      <c r="X35" s="1392"/>
      <c r="Y35" s="4305"/>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4305"/>
      <c r="Q36" s="1385">
        <f t="shared" si="8"/>
        <v>111</v>
      </c>
      <c r="R36" s="1386" t="s">
        <v>5</v>
      </c>
      <c r="S36" s="1387">
        <f t="shared" si="9"/>
        <v>100</v>
      </c>
      <c r="T36" s="1386" t="s">
        <v>5</v>
      </c>
      <c r="U36" s="1387">
        <f t="shared" si="10"/>
        <v>100</v>
      </c>
      <c r="V36" s="1386" t="s">
        <v>5</v>
      </c>
      <c r="W36" s="1387">
        <f t="shared" si="11"/>
        <v>100</v>
      </c>
      <c r="X36" s="1380"/>
      <c r="Y36" s="4305"/>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4269" t="str">
        <f>A37</f>
        <v>成交单价</v>
      </c>
      <c r="Q37" s="4269"/>
      <c r="R37" s="4442">
        <f>E37</f>
        <v>0</v>
      </c>
      <c r="S37" s="4442"/>
      <c r="T37" s="4442">
        <f>G37</f>
        <v>0</v>
      </c>
      <c r="U37" s="4442"/>
      <c r="V37" s="4442">
        <f>I37</f>
        <v>0</v>
      </c>
      <c r="W37" s="4442"/>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4269" t="str">
        <f>A38</f>
        <v>比较价格（元/平方米）</v>
      </c>
      <c r="Q38" s="4269"/>
      <c r="R38" s="4442" t="e">
        <f>IF(F1="售价",ROUND(PRODUCT(R37,AA7:AA36),0),ROUND(PRODUCT(R37,AA7:AA36),1))</f>
        <v>#DIV/0!</v>
      </c>
      <c r="S38" s="4442"/>
      <c r="T38" s="4442" t="e">
        <f>IF(F1="售价",ROUND(PRODUCT(T37,AB7:AB36),0),ROUND(PRODUCT(T37,AB7:AB36),1))</f>
        <v>#DIV/0!</v>
      </c>
      <c r="U38" s="4442"/>
      <c r="V38" s="4442" t="e">
        <f>IF(F1="售价",ROUND(PRODUCT(V37,AC7:AC36),0),ROUND(PRODUCT(V37,AC7:AC36),1))</f>
        <v>#DIV/0!</v>
      </c>
      <c r="W38" s="4442"/>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4306" t="str">
        <f>A39</f>
        <v>估价对象XX用房的比较价格（楼面单价，元/平方米）</v>
      </c>
      <c r="Q39" s="4307"/>
      <c r="R39" s="4441" t="e">
        <f>IF(F1="售价",ROUND(IF(D38="简单平均",AVERAGE(R38:W38),R38*F38+T38*H38+V38*J38),0),ROUND(IF(D38="简单平均",AVERAGE(R38:V38),R38*F38+T38*H38+V38*J38),1))</f>
        <v>#DIV/0!</v>
      </c>
      <c r="S39" s="4441"/>
      <c r="T39" s="4441"/>
      <c r="U39" s="4441"/>
      <c r="V39" s="4441"/>
      <c r="W39" s="4441"/>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2024-3</v>
      </c>
      <c r="D48" s="2284">
        <f>EDATE(C48,-1)</f>
        <v>45323</v>
      </c>
      <c r="E48" s="2284">
        <f t="shared" ref="E48:O48" si="13">EDATE(D48,-1)</f>
        <v>45292</v>
      </c>
      <c r="F48" s="2284">
        <f t="shared" si="13"/>
        <v>45261</v>
      </c>
      <c r="G48" s="2284">
        <f t="shared" si="13"/>
        <v>45231</v>
      </c>
      <c r="H48" s="2284">
        <f t="shared" si="13"/>
        <v>45200</v>
      </c>
      <c r="I48" s="2284">
        <f t="shared" si="13"/>
        <v>45170</v>
      </c>
      <c r="J48" s="2284">
        <f t="shared" si="13"/>
        <v>45139</v>
      </c>
      <c r="K48" s="2284">
        <f t="shared" si="13"/>
        <v>45108</v>
      </c>
      <c r="L48" s="2284">
        <f t="shared" si="13"/>
        <v>45078</v>
      </c>
      <c r="M48" s="2284">
        <f t="shared" si="13"/>
        <v>45047</v>
      </c>
      <c r="N48" s="2284">
        <f t="shared" si="13"/>
        <v>45017</v>
      </c>
      <c r="O48" s="2284">
        <f t="shared" si="13"/>
        <v>44986</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4275" t="s">
        <v>738</v>
      </c>
      <c r="D4" s="4276"/>
      <c r="E4" s="4310" t="s">
        <v>739</v>
      </c>
      <c r="F4" s="4311"/>
      <c r="G4" s="4275" t="s">
        <v>740</v>
      </c>
      <c r="H4" s="4276"/>
      <c r="I4" s="4275" t="s">
        <v>741</v>
      </c>
      <c r="J4" s="4276"/>
      <c r="K4" s="484" t="s">
        <v>742</v>
      </c>
      <c r="L4" s="1856"/>
      <c r="M4" s="1857"/>
      <c r="N4" s="1857"/>
      <c r="O4" s="1857"/>
      <c r="P4" s="4277" t="s">
        <v>743</v>
      </c>
      <c r="Q4" s="4278"/>
      <c r="R4" s="4283" t="s">
        <v>739</v>
      </c>
      <c r="S4" s="4284"/>
      <c r="T4" s="4283" t="s">
        <v>740</v>
      </c>
      <c r="U4" s="4284"/>
      <c r="V4" s="4270" t="s">
        <v>741</v>
      </c>
      <c r="W4" s="4270"/>
      <c r="X4" s="1380"/>
      <c r="Y4" s="4283" t="s">
        <v>743</v>
      </c>
      <c r="Z4" s="4284"/>
      <c r="AA4" s="4272" t="s">
        <v>739</v>
      </c>
      <c r="AB4" s="4273" t="s">
        <v>740</v>
      </c>
      <c r="AC4" s="4272" t="s">
        <v>741</v>
      </c>
    </row>
    <row r="5" spans="1:29" ht="15">
      <c r="A5" s="485"/>
      <c r="B5" s="486"/>
      <c r="C5" s="4291" t="s">
        <v>2192</v>
      </c>
      <c r="D5" s="4292"/>
      <c r="E5" s="4312" t="s">
        <v>2193</v>
      </c>
      <c r="F5" s="4313"/>
      <c r="G5" s="4291" t="s">
        <v>2194</v>
      </c>
      <c r="H5" s="4292"/>
      <c r="I5" s="4291" t="s">
        <v>2195</v>
      </c>
      <c r="J5" s="4292"/>
      <c r="K5" s="484"/>
      <c r="L5" s="1856"/>
      <c r="M5" s="1857"/>
      <c r="N5" s="1857"/>
      <c r="O5" s="1857"/>
      <c r="P5" s="4279"/>
      <c r="Q5" s="4280"/>
      <c r="R5" s="4285"/>
      <c r="S5" s="4286"/>
      <c r="T5" s="4285"/>
      <c r="U5" s="4286"/>
      <c r="V5" s="4270"/>
      <c r="W5" s="4270"/>
      <c r="X5" s="1380"/>
      <c r="Y5" s="4285"/>
      <c r="Z5" s="4286"/>
      <c r="AA5" s="4273"/>
      <c r="AB5" s="4273"/>
      <c r="AC5" s="4273"/>
    </row>
    <row r="6" spans="1:29" ht="15.75" thickBot="1">
      <c r="A6" s="487"/>
      <c r="B6" s="488"/>
      <c r="C6" s="4289" t="s">
        <v>2196</v>
      </c>
      <c r="D6" s="4290"/>
      <c r="E6" s="4308" t="s">
        <v>2196</v>
      </c>
      <c r="F6" s="4309"/>
      <c r="G6" s="4289" t="s">
        <v>2196</v>
      </c>
      <c r="H6" s="4290"/>
      <c r="I6" s="4289" t="s">
        <v>2196</v>
      </c>
      <c r="J6" s="4290"/>
      <c r="K6" s="484" t="s">
        <v>477</v>
      </c>
      <c r="L6" s="1856"/>
      <c r="M6" s="1857"/>
      <c r="N6" s="1857"/>
      <c r="O6" s="1857"/>
      <c r="P6" s="4281"/>
      <c r="Q6" s="4282"/>
      <c r="R6" s="4285"/>
      <c r="S6" s="4286"/>
      <c r="T6" s="4287"/>
      <c r="U6" s="4288"/>
      <c r="V6" s="4270"/>
      <c r="W6" s="4270"/>
      <c r="X6" s="1380"/>
      <c r="Y6" s="4287"/>
      <c r="Z6" s="4288"/>
      <c r="AA6" s="4274"/>
      <c r="AB6" s="4274"/>
      <c r="AC6" s="4274"/>
    </row>
    <row r="7" spans="1:29" s="1118" customFormat="1" ht="15.75" thickBot="1">
      <c r="A7" s="2392"/>
      <c r="B7" s="2399" t="s">
        <v>478</v>
      </c>
      <c r="C7" s="489">
        <f>'数据-取费表'!B2</f>
        <v>45382</v>
      </c>
      <c r="D7" s="490">
        <v>100</v>
      </c>
      <c r="E7" s="491"/>
      <c r="F7" s="492">
        <f>SUMIF(46:46,YEAR(E7)&amp;"-"&amp;MONTH(E7),47:47)</f>
        <v>0</v>
      </c>
      <c r="G7" s="493"/>
      <c r="H7" s="490">
        <f>SUMIF(46:46,YEAR(G7)&amp;"-"&amp;MONTH(G7),47:47)</f>
        <v>0</v>
      </c>
      <c r="I7" s="493"/>
      <c r="J7" s="490">
        <f>SUMIF(46:46,YEAR(I7)&amp;"-"&amp;MONTH(I7),47:47)</f>
        <v>0</v>
      </c>
      <c r="K7" s="494"/>
      <c r="L7" s="1858"/>
      <c r="M7" s="1859"/>
      <c r="N7" s="1859"/>
      <c r="O7" s="1859"/>
      <c r="P7" s="4299" t="s">
        <v>479</v>
      </c>
      <c r="Q7" s="4301"/>
      <c r="R7" s="1381" t="s">
        <v>5</v>
      </c>
      <c r="S7" s="1382">
        <f t="shared" ref="S7:S14" si="0">F7</f>
        <v>0</v>
      </c>
      <c r="T7" s="1381" t="s">
        <v>5</v>
      </c>
      <c r="U7" s="1382">
        <f t="shared" ref="U7:U14" si="1">H7</f>
        <v>0</v>
      </c>
      <c r="V7" s="1381" t="s">
        <v>5</v>
      </c>
      <c r="W7" s="1382">
        <f t="shared" ref="W7:W14" si="2">J7</f>
        <v>0</v>
      </c>
      <c r="X7" s="1383"/>
      <c r="Y7" s="4299" t="s">
        <v>479</v>
      </c>
      <c r="Z7" s="4300"/>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4299" t="s">
        <v>482</v>
      </c>
      <c r="Q8" s="4300"/>
      <c r="R8" s="1381" t="s">
        <v>5</v>
      </c>
      <c r="S8" s="1382">
        <f t="shared" si="0"/>
        <v>0</v>
      </c>
      <c r="T8" s="1381" t="s">
        <v>5</v>
      </c>
      <c r="U8" s="1382">
        <f t="shared" si="1"/>
        <v>0</v>
      </c>
      <c r="V8" s="1381" t="s">
        <v>5</v>
      </c>
      <c r="W8" s="1382">
        <f t="shared" si="2"/>
        <v>0</v>
      </c>
      <c r="X8" s="1383"/>
      <c r="Y8" s="4299" t="s">
        <v>482</v>
      </c>
      <c r="Z8" s="4300"/>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4269" t="s">
        <v>484</v>
      </c>
      <c r="Q9" s="1050" t="str">
        <f t="shared" ref="Q9:Q14" si="6">B9</f>
        <v>用途</v>
      </c>
      <c r="R9" s="1381" t="s">
        <v>5</v>
      </c>
      <c r="S9" s="1382">
        <f t="shared" si="0"/>
        <v>100</v>
      </c>
      <c r="T9" s="1381" t="s">
        <v>5</v>
      </c>
      <c r="U9" s="1382">
        <f t="shared" si="1"/>
        <v>100</v>
      </c>
      <c r="V9" s="1381" t="s">
        <v>5</v>
      </c>
      <c r="W9" s="1382">
        <f t="shared" si="2"/>
        <v>100</v>
      </c>
      <c r="X9" s="1383"/>
      <c r="Y9" s="4213"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4269"/>
      <c r="Q10" s="1050" t="str">
        <f t="shared" si="6"/>
        <v>土地使用年限（年）</v>
      </c>
      <c r="R10" s="1381" t="s">
        <v>5</v>
      </c>
      <c r="S10" s="1382">
        <f t="shared" si="0"/>
        <v>100</v>
      </c>
      <c r="T10" s="1381" t="s">
        <v>5</v>
      </c>
      <c r="U10" s="1382">
        <f t="shared" si="1"/>
        <v>100</v>
      </c>
      <c r="V10" s="1381" t="s">
        <v>5</v>
      </c>
      <c r="W10" s="1382">
        <f t="shared" si="2"/>
        <v>100</v>
      </c>
      <c r="X10" s="1383"/>
      <c r="Y10" s="4213"/>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4269"/>
      <c r="Q11" s="1050">
        <f t="shared" si="6"/>
        <v>111</v>
      </c>
      <c r="R11" s="1381" t="s">
        <v>5</v>
      </c>
      <c r="S11" s="1382">
        <f t="shared" si="0"/>
        <v>100</v>
      </c>
      <c r="T11" s="1381" t="s">
        <v>5</v>
      </c>
      <c r="U11" s="1382">
        <f t="shared" si="1"/>
        <v>100</v>
      </c>
      <c r="V11" s="1381" t="s">
        <v>5</v>
      </c>
      <c r="W11" s="1382">
        <f t="shared" si="2"/>
        <v>100</v>
      </c>
      <c r="X11" s="1383"/>
      <c r="Y11" s="4213"/>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4269"/>
      <c r="Q12" s="1050">
        <f t="shared" si="6"/>
        <v>111</v>
      </c>
      <c r="R12" s="1381" t="s">
        <v>5</v>
      </c>
      <c r="S12" s="1382">
        <f t="shared" si="0"/>
        <v>100</v>
      </c>
      <c r="T12" s="1381" t="s">
        <v>5</v>
      </c>
      <c r="U12" s="1382">
        <f t="shared" si="1"/>
        <v>100</v>
      </c>
      <c r="V12" s="1381" t="s">
        <v>5</v>
      </c>
      <c r="W12" s="1382">
        <f t="shared" si="2"/>
        <v>100</v>
      </c>
      <c r="X12" s="1383"/>
      <c r="Y12" s="4213"/>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4269"/>
      <c r="Q13" s="1050">
        <f t="shared" si="6"/>
        <v>111</v>
      </c>
      <c r="R13" s="1381" t="s">
        <v>5</v>
      </c>
      <c r="S13" s="1382">
        <f t="shared" si="0"/>
        <v>100</v>
      </c>
      <c r="T13" s="1381" t="s">
        <v>5</v>
      </c>
      <c r="U13" s="1382">
        <f t="shared" si="1"/>
        <v>100</v>
      </c>
      <c r="V13" s="1381" t="s">
        <v>5</v>
      </c>
      <c r="W13" s="1382">
        <f t="shared" si="2"/>
        <v>100</v>
      </c>
      <c r="X13" s="1383"/>
      <c r="Y13" s="4213"/>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4302" t="s">
        <v>489</v>
      </c>
      <c r="Q14" s="1385" t="str">
        <f t="shared" si="6"/>
        <v>交通便捷度</v>
      </c>
      <c r="R14" s="1386" t="s">
        <v>5</v>
      </c>
      <c r="S14" s="1387">
        <f t="shared" si="0"/>
        <v>100</v>
      </c>
      <c r="T14" s="1386" t="s">
        <v>5</v>
      </c>
      <c r="U14" s="1387">
        <f t="shared" si="1"/>
        <v>100</v>
      </c>
      <c r="V14" s="1386" t="s">
        <v>5</v>
      </c>
      <c r="W14" s="1387">
        <f t="shared" si="2"/>
        <v>100</v>
      </c>
      <c r="X14" s="1380"/>
      <c r="Y14" s="4302"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4303"/>
      <c r="Q15" s="1385"/>
      <c r="R15" s="1386"/>
      <c r="S15" s="1387"/>
      <c r="T15" s="1386"/>
      <c r="U15" s="1387"/>
      <c r="V15" s="1386"/>
      <c r="W15" s="1387"/>
      <c r="X15" s="1380"/>
      <c r="Y15" s="4303"/>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4303"/>
      <c r="Q16" s="1385" t="str">
        <f>B16</f>
        <v>公共配套设施</v>
      </c>
      <c r="R16" s="1386" t="s">
        <v>5</v>
      </c>
      <c r="S16" s="1387">
        <f>F16</f>
        <v>100</v>
      </c>
      <c r="T16" s="1386" t="s">
        <v>5</v>
      </c>
      <c r="U16" s="1387">
        <f>H16</f>
        <v>100</v>
      </c>
      <c r="V16" s="1386" t="s">
        <v>5</v>
      </c>
      <c r="W16" s="1387">
        <f>J16</f>
        <v>100</v>
      </c>
      <c r="X16" s="1380"/>
      <c r="Y16" s="4303"/>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4303"/>
      <c r="Q17" s="1385"/>
      <c r="R17" s="1386"/>
      <c r="S17" s="1387"/>
      <c r="T17" s="1386"/>
      <c r="U17" s="1387"/>
      <c r="V17" s="1386"/>
      <c r="W17" s="1387"/>
      <c r="X17" s="1380"/>
      <c r="Y17" s="4303"/>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4303"/>
      <c r="Q18" s="2193" t="str">
        <f>B18</f>
        <v>基础设施水平</v>
      </c>
      <c r="R18" s="1386" t="s">
        <v>5</v>
      </c>
      <c r="S18" s="1387">
        <f>F18</f>
        <v>100</v>
      </c>
      <c r="T18" s="1386" t="s">
        <v>5</v>
      </c>
      <c r="U18" s="1387">
        <f>H18</f>
        <v>100</v>
      </c>
      <c r="V18" s="1386" t="s">
        <v>5</v>
      </c>
      <c r="W18" s="1387">
        <f>J18</f>
        <v>100</v>
      </c>
      <c r="X18" s="2195"/>
      <c r="Y18" s="4303"/>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4303"/>
      <c r="Q19" s="2193"/>
      <c r="R19" s="1386"/>
      <c r="S19" s="1387"/>
      <c r="T19" s="1386"/>
      <c r="U19" s="1387"/>
      <c r="V19" s="1386"/>
      <c r="W19" s="1387"/>
      <c r="X19" s="2195"/>
      <c r="Y19" s="4303"/>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4303"/>
      <c r="Q20" s="1385" t="str">
        <f>B20</f>
        <v>自然及人文环境</v>
      </c>
      <c r="R20" s="1386" t="s">
        <v>5</v>
      </c>
      <c r="S20" s="1387">
        <f>F20</f>
        <v>100</v>
      </c>
      <c r="T20" s="1386" t="s">
        <v>5</v>
      </c>
      <c r="U20" s="1387">
        <f>H20</f>
        <v>100</v>
      </c>
      <c r="V20" s="1386" t="s">
        <v>5</v>
      </c>
      <c r="W20" s="1387">
        <f>J20</f>
        <v>100</v>
      </c>
      <c r="X20" s="1380"/>
      <c r="Y20" s="4303"/>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4303"/>
      <c r="Q21" s="1385"/>
      <c r="R21" s="1386"/>
      <c r="S21" s="1387"/>
      <c r="T21" s="1386"/>
      <c r="U21" s="1387"/>
      <c r="V21" s="1386"/>
      <c r="W21" s="1387"/>
      <c r="X21" s="1380"/>
      <c r="Y21" s="4303"/>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4303"/>
      <c r="Q22" s="1385" t="str">
        <f>B22</f>
        <v>楼层</v>
      </c>
      <c r="R22" s="1386" t="s">
        <v>5</v>
      </c>
      <c r="S22" s="1387">
        <f>F22</f>
        <v>100</v>
      </c>
      <c r="T22" s="1386" t="s">
        <v>5</v>
      </c>
      <c r="U22" s="1387">
        <f>H22</f>
        <v>100</v>
      </c>
      <c r="V22" s="1386" t="s">
        <v>5</v>
      </c>
      <c r="W22" s="1387">
        <f>J22</f>
        <v>100</v>
      </c>
      <c r="X22" s="1380"/>
      <c r="Y22" s="4303"/>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4303"/>
      <c r="Q23" s="1385">
        <f>B23</f>
        <v>111</v>
      </c>
      <c r="R23" s="1386" t="s">
        <v>5</v>
      </c>
      <c r="S23" s="1387">
        <f>F23</f>
        <v>100</v>
      </c>
      <c r="T23" s="1386" t="s">
        <v>5</v>
      </c>
      <c r="U23" s="1387">
        <f>H23</f>
        <v>100</v>
      </c>
      <c r="V23" s="1386" t="s">
        <v>5</v>
      </c>
      <c r="W23" s="1387">
        <f>J23</f>
        <v>100</v>
      </c>
      <c r="X23" s="1380"/>
      <c r="Y23" s="4303"/>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4303"/>
      <c r="Q24" s="1385">
        <f t="shared" ref="Q24:Q34" si="8">B24</f>
        <v>111</v>
      </c>
      <c r="R24" s="1386" t="s">
        <v>5</v>
      </c>
      <c r="S24" s="1387">
        <f>F24</f>
        <v>100</v>
      </c>
      <c r="T24" s="1386" t="s">
        <v>5</v>
      </c>
      <c r="U24" s="1387">
        <f>H24</f>
        <v>100</v>
      </c>
      <c r="V24" s="1386" t="s">
        <v>5</v>
      </c>
      <c r="W24" s="1387">
        <f>J24</f>
        <v>100</v>
      </c>
      <c r="X24" s="1380"/>
      <c r="Y24" s="4303"/>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4303"/>
      <c r="Q25" s="1050">
        <f t="shared" si="8"/>
        <v>111</v>
      </c>
      <c r="R25" s="1381" t="s">
        <v>5</v>
      </c>
      <c r="S25" s="1382">
        <f>F25</f>
        <v>100</v>
      </c>
      <c r="T25" s="1381" t="s">
        <v>5</v>
      </c>
      <c r="U25" s="1382">
        <f>H25</f>
        <v>100</v>
      </c>
      <c r="V25" s="1381" t="s">
        <v>5</v>
      </c>
      <c r="W25" s="1382">
        <f>J25</f>
        <v>100</v>
      </c>
      <c r="X25" s="1383"/>
      <c r="Y25" s="4303"/>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4304"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4305"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4305"/>
      <c r="Q27" s="1414" t="str">
        <f t="shared" si="8"/>
        <v>成新率</v>
      </c>
      <c r="R27" s="1390" t="s">
        <v>5</v>
      </c>
      <c r="S27" s="1391" t="e">
        <f t="shared" si="9"/>
        <v>#N/A</v>
      </c>
      <c r="T27" s="1390" t="s">
        <v>5</v>
      </c>
      <c r="U27" s="1391" t="e">
        <f t="shared" si="10"/>
        <v>#N/A</v>
      </c>
      <c r="V27" s="1390" t="s">
        <v>5</v>
      </c>
      <c r="W27" s="1391" t="e">
        <f t="shared" si="11"/>
        <v>#N/A</v>
      </c>
      <c r="X27" s="1392"/>
      <c r="Y27" s="4305"/>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4305"/>
      <c r="Q28" s="1385" t="str">
        <f t="shared" si="8"/>
        <v>物业等级</v>
      </c>
      <c r="R28" s="1386" t="s">
        <v>5</v>
      </c>
      <c r="S28" s="1387">
        <f t="shared" si="9"/>
        <v>100</v>
      </c>
      <c r="T28" s="1386" t="s">
        <v>5</v>
      </c>
      <c r="U28" s="1387">
        <f t="shared" si="10"/>
        <v>100</v>
      </c>
      <c r="V28" s="1386" t="s">
        <v>5</v>
      </c>
      <c r="W28" s="1387">
        <f t="shared" si="11"/>
        <v>100</v>
      </c>
      <c r="X28" s="1380"/>
      <c r="Y28" s="4305"/>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4305"/>
      <c r="Q29" s="1385" t="str">
        <f t="shared" si="8"/>
        <v>有无电梯</v>
      </c>
      <c r="R29" s="1386" t="s">
        <v>5</v>
      </c>
      <c r="S29" s="1387">
        <f t="shared" si="9"/>
        <v>100</v>
      </c>
      <c r="T29" s="1386" t="s">
        <v>5</v>
      </c>
      <c r="U29" s="1387">
        <f t="shared" si="10"/>
        <v>100</v>
      </c>
      <c r="V29" s="1386" t="s">
        <v>5</v>
      </c>
      <c r="W29" s="1387">
        <f t="shared" si="11"/>
        <v>100</v>
      </c>
      <c r="X29" s="1380"/>
      <c r="Y29" s="4305"/>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4305"/>
      <c r="Q30" s="1385" t="str">
        <f t="shared" si="8"/>
        <v>建筑面积</v>
      </c>
      <c r="R30" s="1386" t="s">
        <v>5</v>
      </c>
      <c r="S30" s="1387" t="e">
        <f t="shared" si="9"/>
        <v>#N/A</v>
      </c>
      <c r="T30" s="1386" t="s">
        <v>5</v>
      </c>
      <c r="U30" s="1387" t="e">
        <f t="shared" si="10"/>
        <v>#N/A</v>
      </c>
      <c r="V30" s="1386" t="s">
        <v>5</v>
      </c>
      <c r="W30" s="1387" t="e">
        <f t="shared" si="11"/>
        <v>#N/A</v>
      </c>
      <c r="X30" s="1380"/>
      <c r="Y30" s="4305"/>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4305"/>
      <c r="Q31" s="1050" t="str">
        <f t="shared" si="8"/>
        <v>是否封闭</v>
      </c>
      <c r="R31" s="1381" t="s">
        <v>5</v>
      </c>
      <c r="S31" s="1382">
        <f t="shared" si="9"/>
        <v>100</v>
      </c>
      <c r="T31" s="1381" t="s">
        <v>5</v>
      </c>
      <c r="U31" s="1382">
        <f t="shared" si="10"/>
        <v>100</v>
      </c>
      <c r="V31" s="1381" t="s">
        <v>5</v>
      </c>
      <c r="W31" s="1382">
        <f t="shared" si="11"/>
        <v>100</v>
      </c>
      <c r="X31" s="1383"/>
      <c r="Y31" s="4305"/>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4305" t="s">
        <v>499</v>
      </c>
      <c r="Q32" s="1385">
        <f t="shared" si="8"/>
        <v>111</v>
      </c>
      <c r="R32" s="1386" t="s">
        <v>5</v>
      </c>
      <c r="S32" s="1387">
        <f t="shared" si="9"/>
        <v>100</v>
      </c>
      <c r="T32" s="1386" t="s">
        <v>5</v>
      </c>
      <c r="U32" s="1387">
        <f t="shared" si="10"/>
        <v>100</v>
      </c>
      <c r="V32" s="1386" t="s">
        <v>5</v>
      </c>
      <c r="W32" s="1387">
        <f t="shared" si="11"/>
        <v>100</v>
      </c>
      <c r="X32" s="1380"/>
      <c r="Y32" s="4305"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4305"/>
      <c r="Q33" s="1385">
        <f t="shared" si="8"/>
        <v>111</v>
      </c>
      <c r="R33" s="1386" t="s">
        <v>5</v>
      </c>
      <c r="S33" s="1387">
        <f t="shared" si="9"/>
        <v>100</v>
      </c>
      <c r="T33" s="1386" t="s">
        <v>5</v>
      </c>
      <c r="U33" s="1387">
        <f t="shared" si="10"/>
        <v>100</v>
      </c>
      <c r="V33" s="1386" t="s">
        <v>5</v>
      </c>
      <c r="W33" s="1387">
        <f t="shared" si="11"/>
        <v>100</v>
      </c>
      <c r="X33" s="1380"/>
      <c r="Y33" s="4305"/>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4305"/>
      <c r="Q34" s="1385">
        <f t="shared" si="8"/>
        <v>111</v>
      </c>
      <c r="R34" s="1386" t="s">
        <v>5</v>
      </c>
      <c r="S34" s="1387">
        <f t="shared" si="9"/>
        <v>100</v>
      </c>
      <c r="T34" s="1386" t="s">
        <v>5</v>
      </c>
      <c r="U34" s="1387">
        <f t="shared" si="10"/>
        <v>100</v>
      </c>
      <c r="V34" s="1386" t="s">
        <v>5</v>
      </c>
      <c r="W34" s="1387">
        <f t="shared" si="11"/>
        <v>100</v>
      </c>
      <c r="X34" s="1380"/>
      <c r="Y34" s="4305"/>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4269" t="str">
        <f>A35</f>
        <v>成交单价（元/平方米）</v>
      </c>
      <c r="Q35" s="4269"/>
      <c r="R35" s="4442">
        <f>E35</f>
        <v>0</v>
      </c>
      <c r="S35" s="4442"/>
      <c r="T35" s="4442">
        <f>G35</f>
        <v>0</v>
      </c>
      <c r="U35" s="4442"/>
      <c r="V35" s="4442">
        <f>I35</f>
        <v>0</v>
      </c>
      <c r="W35" s="4442"/>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4269" t="str">
        <f>A36</f>
        <v>比较价格（元/平方米）</v>
      </c>
      <c r="Q36" s="4269"/>
      <c r="R36" s="4442" t="e">
        <f>IF(F1="售价",ROUND(PRODUCT(R35,AA7:AA34),0),ROUND(PRODUCT(R35,AA7:AA34),1))</f>
        <v>#DIV/0!</v>
      </c>
      <c r="S36" s="4442"/>
      <c r="T36" s="4442" t="e">
        <f>IF(F1="售价",ROUND(PRODUCT(T35,AB7:AB34),0),ROUND(PRODUCT(T35,AB7:AB34),1))</f>
        <v>#DIV/0!</v>
      </c>
      <c r="U36" s="4442"/>
      <c r="V36" s="4442" t="e">
        <f>IF(F1="售价",ROUND(PRODUCT(V35,AC7:AC34),0),ROUND(PRODUCT(V35,AC7:AC34),1))</f>
        <v>#DIV/0!</v>
      </c>
      <c r="W36" s="4442"/>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4306" t="str">
        <f>A37</f>
        <v>估价对象XX用房的比较价格（楼面单价，元/平方米）</v>
      </c>
      <c r="Q37" s="4307"/>
      <c r="R37" s="4441" t="e">
        <f>IF(F1="售价",ROUND(IF(D36="简单平均",AVERAGE(R36:W36),R36*F36+T36*H36+V36*J36),0),ROUND(IF(D36="简单平均",AVERAGE(R36:V36),R36*F36+T36*H36+V36*J36),1))</f>
        <v>#DIV/0!</v>
      </c>
      <c r="S37" s="4441"/>
      <c r="T37" s="4441"/>
      <c r="U37" s="4441"/>
      <c r="V37" s="4441"/>
      <c r="W37" s="4441"/>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2024-3</v>
      </c>
      <c r="D46" s="2284">
        <f>EDATE(C46,-1)</f>
        <v>45323</v>
      </c>
      <c r="E46" s="2284">
        <f t="shared" ref="E46:O46" si="13">EDATE(D46,-1)</f>
        <v>45292</v>
      </c>
      <c r="F46" s="2284">
        <f t="shared" si="13"/>
        <v>45261</v>
      </c>
      <c r="G46" s="2284">
        <f t="shared" si="13"/>
        <v>45231</v>
      </c>
      <c r="H46" s="2284">
        <f t="shared" si="13"/>
        <v>45200</v>
      </c>
      <c r="I46" s="2284">
        <f t="shared" si="13"/>
        <v>45170</v>
      </c>
      <c r="J46" s="2284">
        <f t="shared" si="13"/>
        <v>45139</v>
      </c>
      <c r="K46" s="2284">
        <f t="shared" si="13"/>
        <v>45108</v>
      </c>
      <c r="L46" s="2284">
        <f t="shared" si="13"/>
        <v>45078</v>
      </c>
      <c r="M46" s="2284">
        <f t="shared" si="13"/>
        <v>45047</v>
      </c>
      <c r="N46" s="2284">
        <f t="shared" si="13"/>
        <v>45017</v>
      </c>
      <c r="O46" s="2284">
        <f t="shared" si="13"/>
        <v>44986</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451" t="s">
        <v>1661</v>
      </c>
      <c r="D1" s="4452"/>
      <c r="E1" s="4452"/>
      <c r="F1" s="4452"/>
      <c r="G1" s="4452"/>
      <c r="H1" s="4452"/>
      <c r="I1" s="4452"/>
      <c r="J1" s="4452"/>
      <c r="K1" s="4452"/>
      <c r="L1" s="4452"/>
      <c r="M1" s="4452"/>
      <c r="N1" s="4452"/>
      <c r="O1" s="4452"/>
      <c r="P1" s="4452"/>
      <c r="Q1" s="4452"/>
      <c r="R1" s="4452"/>
      <c r="S1" s="4453"/>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448" t="s">
        <v>14</v>
      </c>
      <c r="D22" s="4449"/>
      <c r="E22" s="4449"/>
      <c r="F22" s="4449"/>
      <c r="G22" s="4449"/>
      <c r="H22" s="4449"/>
      <c r="I22" s="4449"/>
      <c r="J22" s="4449"/>
      <c r="K22" s="4449"/>
      <c r="L22" s="4449"/>
      <c r="M22" s="4449"/>
      <c r="N22" s="4449"/>
      <c r="O22" s="4449"/>
      <c r="P22" s="4449"/>
      <c r="Q22" s="4450"/>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workbookViewId="0">
      <selection activeCell="H19" sqref="H19"/>
    </sheetView>
  </sheetViews>
  <sheetFormatPr defaultRowHeight="13.5"/>
  <cols>
    <col min="1" max="1" width="9" style="3667"/>
    <col min="2" max="2" width="40.75" style="3667" customWidth="1"/>
    <col min="3" max="3" width="9" style="3703"/>
    <col min="4" max="8" width="9" style="3667"/>
    <col min="9" max="9" width="11.375" style="3667" bestFit="1" customWidth="1"/>
    <col min="10" max="16384" width="9" style="3667"/>
  </cols>
  <sheetData>
    <row r="1" spans="1:16" ht="27" customHeight="1">
      <c r="A1" s="4455" t="s">
        <v>3273</v>
      </c>
      <c r="B1" s="4455" t="s">
        <v>2146</v>
      </c>
      <c r="C1" s="4455" t="s">
        <v>3274</v>
      </c>
      <c r="D1" s="3664" t="s">
        <v>3275</v>
      </c>
      <c r="E1" s="3665"/>
      <c r="F1" s="4456" t="s">
        <v>3276</v>
      </c>
      <c r="G1" s="4456"/>
      <c r="H1" s="4457" t="s">
        <v>3277</v>
      </c>
      <c r="I1" s="4455" t="s">
        <v>3278</v>
      </c>
      <c r="J1" s="4454" t="s">
        <v>3279</v>
      </c>
      <c r="K1" s="4454" t="s">
        <v>3280</v>
      </c>
      <c r="L1" s="3666"/>
      <c r="M1" s="3666"/>
      <c r="N1" s="3666"/>
      <c r="O1" s="3666"/>
      <c r="P1" s="3666"/>
    </row>
    <row r="2" spans="1:16" s="3671" customFormat="1" ht="81">
      <c r="A2" s="4455"/>
      <c r="B2" s="4455"/>
      <c r="C2" s="4455"/>
      <c r="D2" s="3668" t="str">
        <f>[1]顺义土地案例!K2</f>
        <v>总用地面积（公顷）</v>
      </c>
      <c r="E2" s="3668" t="str">
        <f>[1]顺义土地案例!O2</f>
        <v>建设用地面积（公顷）</v>
      </c>
      <c r="F2" s="3669" t="str">
        <f>[1]顺义土地案例!R2</f>
        <v>征地补偿及相关税费</v>
      </c>
      <c r="G2" s="3669" t="str">
        <f>[1]顺义土地案例!S2</f>
        <v>收购补偿费、房屋征收（拆迁）补偿费及相关费用</v>
      </c>
      <c r="H2" s="4458"/>
      <c r="I2" s="4455"/>
      <c r="J2" s="4454"/>
      <c r="K2" s="4454"/>
      <c r="L2" s="3670"/>
      <c r="M2" s="3670"/>
      <c r="N2" s="3670"/>
      <c r="O2" s="3670"/>
      <c r="P2" s="3670"/>
    </row>
    <row r="3" spans="1:16" s="3677" customFormat="1">
      <c r="A3" s="3672">
        <v>1</v>
      </c>
      <c r="B3" s="3672" t="str">
        <f>[1]顺义土地案例!F14</f>
        <v xml:space="preserve">顺义区国展预留地剩余地块 土地一级开发项目 </v>
      </c>
      <c r="C3" s="3673" t="s">
        <v>3281</v>
      </c>
      <c r="D3" s="3672">
        <f>[1]顺义土地案例!K14</f>
        <v>12.9</v>
      </c>
      <c r="E3" s="3672">
        <f>[1]顺义土地案例!O14</f>
        <v>10.44</v>
      </c>
      <c r="F3" s="3672">
        <f>[1]顺义土地案例!R14</f>
        <v>5061.88</v>
      </c>
      <c r="G3" s="3672">
        <f>[1]顺义土地案例!S14</f>
        <v>31557.84</v>
      </c>
      <c r="H3" s="3674">
        <f>[1]顺义土地案例!AD14</f>
        <v>0</v>
      </c>
      <c r="I3" s="4081">
        <v>44105</v>
      </c>
      <c r="J3" s="3675">
        <f>ROUND((F3+G3)/D3,1)</f>
        <v>2838.7</v>
      </c>
      <c r="K3" s="3675">
        <f>ROUND(J3*P24*P23*P22*P21*P20*P19*P18*P17*P16*P15*P14,1)</f>
        <v>3041.4</v>
      </c>
      <c r="L3" s="3676"/>
      <c r="M3" s="3676"/>
      <c r="N3" s="3676"/>
      <c r="O3" s="3676"/>
      <c r="P3" s="3676"/>
    </row>
    <row r="4" spans="1:16" s="3677" customFormat="1">
      <c r="A4" s="3672">
        <v>2</v>
      </c>
      <c r="B4" s="3672" t="str">
        <f>[1]顺义土地案例!F20</f>
        <v>顺义区仁和镇平各庄村B 地块土地一级开发项目</v>
      </c>
      <c r="C4" s="3673" t="s">
        <v>3281</v>
      </c>
      <c r="D4" s="3672">
        <f>[1]顺义土地案例!K20</f>
        <v>36.15</v>
      </c>
      <c r="E4" s="3672">
        <f>[1]顺义土地案例!O20</f>
        <v>16.55</v>
      </c>
      <c r="F4" s="3672">
        <f>[1]顺义土地案例!R20</f>
        <v>41086.400000000001</v>
      </c>
      <c r="G4" s="3672">
        <f>[1]顺义土地案例!S20</f>
        <v>47612.92</v>
      </c>
      <c r="H4" s="3674">
        <f>[1]顺义土地案例!AD20</f>
        <v>0.13029387526745143</v>
      </c>
      <c r="I4" s="4081">
        <v>44652</v>
      </c>
      <c r="J4" s="3675">
        <f>ROUND((F4+G4)/D4,1)</f>
        <v>2453.6</v>
      </c>
      <c r="K4" s="3675">
        <f>ROUND(J4*P15*P18*P17*P16*P14,1)</f>
        <v>2523.1</v>
      </c>
      <c r="L4" s="3676"/>
      <c r="M4" s="3676"/>
      <c r="N4" s="3676"/>
      <c r="O4" s="3676"/>
      <c r="P4" s="3676"/>
    </row>
    <row r="5" spans="1:16" s="3683" customFormat="1">
      <c r="A5" s="3678">
        <v>3</v>
      </c>
      <c r="B5" s="3678" t="str">
        <f>[1]顺义土地案例!F9</f>
        <v>顺义区M15号线顺西路-府前街站土地一级开发项目</v>
      </c>
      <c r="C5" s="3679" t="s">
        <v>3281</v>
      </c>
      <c r="D5" s="3678">
        <f>[1]顺义土地案例!K9</f>
        <v>151.51</v>
      </c>
      <c r="E5" s="3678">
        <f>[1]顺义土地案例!O9</f>
        <v>103.45</v>
      </c>
      <c r="F5" s="3678">
        <f>[1]顺义土地案例!R9</f>
        <v>78200.91</v>
      </c>
      <c r="G5" s="3678">
        <f>[1]顺义土地案例!S9</f>
        <v>971721.13</v>
      </c>
      <c r="H5" s="3680">
        <f>[1]顺义土地案例!AD9</f>
        <v>0.16022459096076208</v>
      </c>
      <c r="I5" s="4082">
        <v>44713</v>
      </c>
      <c r="J5" s="3681">
        <f>ROUND((F5+G5)/D5,1)</f>
        <v>6929.7</v>
      </c>
      <c r="K5" s="3681">
        <f>ROUND(J5*P15*P18*P17*P16*P14,1)</f>
        <v>7125.9</v>
      </c>
      <c r="L5" s="3682"/>
      <c r="M5" s="3682"/>
      <c r="N5" s="3682"/>
      <c r="O5" s="3682"/>
      <c r="P5" s="3682"/>
    </row>
    <row r="6" spans="1:16" s="3689" customFormat="1" ht="14.25" customHeight="1">
      <c r="A6" s="3684">
        <v>4</v>
      </c>
      <c r="B6" s="3684" t="str">
        <f>[1]顺义土地案例!F17</f>
        <v>顺义区M15号线后沙峪站ABC地块</v>
      </c>
      <c r="C6" s="3685" t="s">
        <v>3282</v>
      </c>
      <c r="D6" s="3684">
        <f>[1]顺义土地案例!K17</f>
        <v>84.72</v>
      </c>
      <c r="E6" s="3684">
        <f>[1]顺义土地案例!O17</f>
        <v>44.73</v>
      </c>
      <c r="F6" s="3684">
        <f>[1]顺义土地案例!R17</f>
        <v>36436.78</v>
      </c>
      <c r="G6" s="3684">
        <f>[1]顺义土地案例!S17</f>
        <v>98258.5</v>
      </c>
      <c r="H6" s="3686">
        <f>[1]顺义土地案例!AD17</f>
        <v>0.18007912877011065</v>
      </c>
      <c r="I6" s="4083">
        <v>44986</v>
      </c>
      <c r="J6" s="3687">
        <f>ROUND((F6+G6)/D6,1)</f>
        <v>1589.9</v>
      </c>
      <c r="K6" s="3687">
        <f>ROUND(J6*P15*P14,1)</f>
        <v>1608.1</v>
      </c>
      <c r="L6" s="3688"/>
      <c r="M6" s="3688"/>
      <c r="N6" s="3688"/>
      <c r="O6" s="3688"/>
      <c r="P6" s="3688"/>
    </row>
    <row r="7" spans="1:16" s="3683" customFormat="1">
      <c r="A7" s="3678">
        <v>5</v>
      </c>
      <c r="B7" s="3678" t="str">
        <f>[1]顺义土地案例!F16</f>
        <v>顺义区后沙峪镇后沙峪村A地块</v>
      </c>
      <c r="C7" s="3679" t="s">
        <v>3282</v>
      </c>
      <c r="D7" s="3678">
        <f>[1]顺义土地案例!K16</f>
        <v>29.09</v>
      </c>
      <c r="E7" s="3678">
        <f>[1]顺义土地案例!O16</f>
        <v>21.819299999999998</v>
      </c>
      <c r="F7" s="3678">
        <f>[1]顺义土地案例!R16</f>
        <v>12773.36</v>
      </c>
      <c r="G7" s="3678">
        <f>[1]顺义土地案例!S16</f>
        <v>207435.6</v>
      </c>
      <c r="H7" s="3680">
        <f>[1]顺义土地案例!AD16</f>
        <v>0.17435965912139925</v>
      </c>
      <c r="I7" s="4082">
        <v>44986</v>
      </c>
      <c r="J7" s="3681">
        <f>ROUND((F7+G7)/D7,1)</f>
        <v>7569.9</v>
      </c>
      <c r="K7" s="3681">
        <f>ROUND(J7*P15*P14,1)</f>
        <v>7656.4</v>
      </c>
      <c r="L7" s="3682"/>
      <c r="M7" s="3682"/>
      <c r="N7" s="3682"/>
      <c r="O7" s="3682"/>
      <c r="P7" s="3682"/>
    </row>
    <row r="8" spans="1:16">
      <c r="A8" s="3665">
        <v>6</v>
      </c>
      <c r="B8" s="3665" t="str">
        <f>[1]顺义土地案例!F3</f>
        <v xml:space="preserve">北京天竺综合保税区保税功能二区工业用地项目
</v>
      </c>
      <c r="C8" s="3690" t="s">
        <v>3282</v>
      </c>
      <c r="D8" s="3665">
        <f>[1]顺义土地案例!K3</f>
        <v>177.34</v>
      </c>
      <c r="E8" s="3665">
        <f>[1]顺义土地案例!O3</f>
        <v>78.44</v>
      </c>
      <c r="F8" s="3665">
        <f>[1]顺义土地案例!R3</f>
        <v>28969.83</v>
      </c>
      <c r="G8" s="3665">
        <f>[1]顺义土地案例!S3</f>
        <v>98344.44</v>
      </c>
      <c r="H8" s="3691">
        <f>[1]顺义土地案例!AD3</f>
        <v>0.21245034300755861</v>
      </c>
      <c r="I8" s="4084">
        <v>44866</v>
      </c>
      <c r="J8" s="3692">
        <f t="shared" ref="J8:J12" si="0">ROUND((F8+G8)/D8,1)</f>
        <v>717.9</v>
      </c>
      <c r="K8" s="3692">
        <f>ROUND(J8*P15*P16*P14,1)</f>
        <v>729.7</v>
      </c>
      <c r="L8" s="3666"/>
      <c r="M8" s="3666"/>
      <c r="N8" s="3666"/>
      <c r="O8" s="3666"/>
      <c r="P8" s="3666"/>
    </row>
    <row r="9" spans="1:16">
      <c r="A9" s="3665">
        <v>7</v>
      </c>
      <c r="B9" s="3665" t="str">
        <f>[1]顺义土地案例!F4</f>
        <v xml:space="preserve">中关村临空国际高新技术产业基地工业用地
</v>
      </c>
      <c r="C9" s="3690" t="s">
        <v>3282</v>
      </c>
      <c r="D9" s="3665">
        <f>[1]顺义土地案例!K4</f>
        <v>113.57</v>
      </c>
      <c r="E9" s="3665">
        <f>[1]顺义土地案例!O4</f>
        <v>83.53</v>
      </c>
      <c r="F9" s="3665">
        <f>[1]顺义土地案例!R4</f>
        <v>23802.01</v>
      </c>
      <c r="G9" s="3665">
        <f>[1]顺义土地案例!S4</f>
        <v>50480.46</v>
      </c>
      <c r="H9" s="3691">
        <f>[1]顺义土地案例!AD4</f>
        <v>0.12997069134445727</v>
      </c>
      <c r="I9" s="4084">
        <v>44621</v>
      </c>
      <c r="J9" s="3692">
        <f t="shared" si="0"/>
        <v>654.1</v>
      </c>
      <c r="K9" s="3692">
        <f>ROUND(J9*P19*P15*P18*P17*P16*P14,1)</f>
        <v>679.9</v>
      </c>
      <c r="L9" s="3666"/>
      <c r="M9" s="3666"/>
      <c r="N9" s="3666"/>
      <c r="O9" s="3666"/>
      <c r="P9" s="3666"/>
    </row>
    <row r="10" spans="1:16">
      <c r="A10" s="3665">
        <v>8</v>
      </c>
      <c r="B10" s="3665" t="str">
        <f>[1]顺义土地案例!F5</f>
        <v xml:space="preserve">北京市顺义区空港木林高端制造业基地一期工业用地项目
</v>
      </c>
      <c r="C10" s="3690" t="s">
        <v>3282</v>
      </c>
      <c r="D10" s="3665">
        <f>[1]顺义土地案例!K5</f>
        <v>17.36</v>
      </c>
      <c r="E10" s="3665">
        <f>[1]顺义土地案例!O5</f>
        <v>13.09</v>
      </c>
      <c r="F10" s="3665">
        <f>[1]顺义土地案例!R5</f>
        <v>3173.01</v>
      </c>
      <c r="G10" s="3665">
        <f>[1]顺义土地案例!S5</f>
        <v>644.98</v>
      </c>
      <c r="H10" s="3691">
        <f>[1]顺义土地案例!AD5</f>
        <v>0.23078699879459832</v>
      </c>
      <c r="I10" s="4084">
        <v>44562</v>
      </c>
      <c r="J10" s="3692">
        <f t="shared" si="0"/>
        <v>219.9</v>
      </c>
      <c r="K10" s="3692">
        <f>ROUND(J10*P19*P15*P18*P17*P16*P14,1)</f>
        <v>228.6</v>
      </c>
      <c r="L10" s="3666"/>
      <c r="M10" s="3666"/>
      <c r="N10" s="3666"/>
      <c r="O10" s="3666"/>
      <c r="P10" s="3666"/>
    </row>
    <row r="11" spans="1:16">
      <c r="A11" s="3665">
        <v>9</v>
      </c>
      <c r="B11" s="3665" t="str">
        <f>[1]顺义土地案例!F6</f>
        <v>顺义新城30街区控规范围内剩余工业用地土地一级开发项目（30-27-02地块）</v>
      </c>
      <c r="C11" s="3690" t="s">
        <v>3282</v>
      </c>
      <c r="D11" s="3665">
        <f>[1]顺义土地案例!K6</f>
        <v>56.75</v>
      </c>
      <c r="E11" s="3665">
        <f>[1]顺义土地案例!O6</f>
        <v>38.92</v>
      </c>
      <c r="F11" s="3665">
        <f>[1]顺义土地案例!R6</f>
        <v>11601.87</v>
      </c>
      <c r="G11" s="3665">
        <f>[1]顺义土地案例!S6</f>
        <v>4320.93</v>
      </c>
      <c r="H11" s="3691">
        <f>[1]顺义土地案例!AD6</f>
        <v>2.9173718916180459E-2</v>
      </c>
      <c r="I11" s="4084">
        <v>44621</v>
      </c>
      <c r="J11" s="3692">
        <f t="shared" si="0"/>
        <v>280.60000000000002</v>
      </c>
      <c r="K11" s="3692">
        <f>ROUND(J11*P14*P16*P19*P18*P17*P15,1)</f>
        <v>291.7</v>
      </c>
      <c r="L11" s="3666"/>
      <c r="M11" s="3666"/>
      <c r="N11" s="3666"/>
      <c r="O11" s="3666"/>
      <c r="P11" s="3666"/>
    </row>
    <row r="12" spans="1:16">
      <c r="A12" s="3665">
        <v>10</v>
      </c>
      <c r="B12" s="3665" t="str">
        <f>[1]顺义土地案例!F18</f>
        <v>顺义区薛大人庄村剩余1、2号地块</v>
      </c>
      <c r="C12" s="3690" t="s">
        <v>3282</v>
      </c>
      <c r="D12" s="3665">
        <f>[1]顺义土地案例!K18</f>
        <v>24.25</v>
      </c>
      <c r="E12" s="3665">
        <f>[1]顺义土地案例!O18</f>
        <v>7.26</v>
      </c>
      <c r="F12" s="3665">
        <f>[1]顺义土地案例!R18</f>
        <v>3879.88</v>
      </c>
      <c r="G12" s="3665">
        <f>[1]顺义土地案例!S18</f>
        <v>20568.54</v>
      </c>
      <c r="H12" s="3691">
        <f>[1]顺义土地案例!AD18</f>
        <v>1.2334725731683311E-2</v>
      </c>
      <c r="I12" s="4084">
        <v>44621</v>
      </c>
      <c r="J12" s="3692">
        <f t="shared" si="0"/>
        <v>1008.2</v>
      </c>
      <c r="K12" s="3692">
        <f>ROUND(J12*P15*P17*P14*P19*P18*P16,1)</f>
        <v>1047.9000000000001</v>
      </c>
      <c r="L12" s="3666"/>
      <c r="M12" s="3666"/>
      <c r="N12" s="3666"/>
      <c r="O12" s="3666"/>
      <c r="P12" s="3666"/>
    </row>
    <row r="13" spans="1:16">
      <c r="A13" s="3666"/>
      <c r="B13" s="3666"/>
      <c r="C13" s="3693"/>
      <c r="D13" s="3666"/>
      <c r="E13" s="3666"/>
      <c r="F13" s="3666"/>
      <c r="G13" s="3666"/>
      <c r="H13" s="3666"/>
      <c r="I13" s="3666"/>
      <c r="J13" s="3666"/>
      <c r="K13" s="3666"/>
      <c r="L13" s="3666"/>
      <c r="M13" s="3666"/>
      <c r="N13" s="3694" t="s">
        <v>3283</v>
      </c>
      <c r="O13" s="3695">
        <v>0</v>
      </c>
      <c r="P13" s="3666"/>
    </row>
    <row r="14" spans="1:16">
      <c r="A14" s="3666"/>
      <c r="B14" s="3666"/>
      <c r="C14" s="3692"/>
      <c r="D14" s="3666"/>
      <c r="E14" s="3666"/>
      <c r="F14" s="3666"/>
      <c r="G14" s="3666"/>
      <c r="H14" s="3666"/>
      <c r="I14" s="3666"/>
      <c r="J14" s="3666"/>
      <c r="K14" s="3666"/>
      <c r="L14" s="3666"/>
      <c r="M14" s="3666"/>
      <c r="N14" s="3694" t="s">
        <v>3284</v>
      </c>
      <c r="O14" s="3695">
        <f>'[1]地价-分区'!H6</f>
        <v>0.43</v>
      </c>
      <c r="P14" s="3666">
        <f>O14/100+1</f>
        <v>1.0043</v>
      </c>
    </row>
    <row r="15" spans="1:16">
      <c r="A15" s="3666"/>
      <c r="B15" s="3666"/>
      <c r="C15" s="3692"/>
      <c r="D15" s="3666"/>
      <c r="E15" s="3666"/>
      <c r="F15" s="3666"/>
      <c r="G15" s="3666"/>
      <c r="H15" s="3666"/>
      <c r="I15" s="3666"/>
      <c r="J15" s="3666"/>
      <c r="K15" s="3666"/>
      <c r="L15" s="3666"/>
      <c r="M15" s="3666"/>
      <c r="N15" s="3696" t="s">
        <v>3285</v>
      </c>
      <c r="O15" s="3697">
        <v>0.71</v>
      </c>
      <c r="P15" s="3666">
        <f>O15/100+1</f>
        <v>1.0071000000000001</v>
      </c>
    </row>
    <row r="16" spans="1:16">
      <c r="A16" s="3666"/>
      <c r="B16" s="3666"/>
      <c r="C16" s="3692"/>
      <c r="D16" s="3666"/>
      <c r="E16" s="3666"/>
      <c r="F16" s="3666"/>
      <c r="G16" s="3666"/>
      <c r="H16" s="3666"/>
      <c r="I16" s="3666"/>
      <c r="J16" s="3666"/>
      <c r="K16" s="3666"/>
      <c r="L16" s="3666"/>
      <c r="M16" s="3666"/>
      <c r="N16" s="3694" t="s">
        <v>3286</v>
      </c>
      <c r="O16" s="3698">
        <v>0.5</v>
      </c>
      <c r="P16" s="3666">
        <f t="shared" ref="P16:P24" si="1">O16/100+1</f>
        <v>1.0049999999999999</v>
      </c>
    </row>
    <row r="17" spans="1:16">
      <c r="A17" s="3666"/>
      <c r="B17" s="3666"/>
      <c r="C17" s="3692"/>
      <c r="D17" s="3666"/>
      <c r="E17" s="3666"/>
      <c r="F17" s="3666"/>
      <c r="G17" s="3666"/>
      <c r="H17" s="3666"/>
      <c r="I17" s="3666"/>
      <c r="J17" s="3682">
        <f>ROUND(AVERAGE(J3:J7),1)</f>
        <v>4276.3999999999996</v>
      </c>
      <c r="K17" s="3699">
        <f>ROUND(AVERAGE(K3:K7),2)</f>
        <v>4390.9799999999996</v>
      </c>
      <c r="L17" s="3666"/>
      <c r="M17" s="3666"/>
      <c r="N17" s="3694" t="s">
        <v>3287</v>
      </c>
      <c r="O17" s="3698">
        <v>0.53</v>
      </c>
      <c r="P17" s="3666">
        <f t="shared" si="1"/>
        <v>1.0053000000000001</v>
      </c>
    </row>
    <row r="18" spans="1:16">
      <c r="A18" s="3665"/>
      <c r="B18" s="3664" t="s">
        <v>3288</v>
      </c>
      <c r="C18" s="3690" t="s">
        <v>3289</v>
      </c>
      <c r="D18" s="3666"/>
      <c r="E18" s="3666"/>
      <c r="F18" s="3666"/>
      <c r="G18" s="3666"/>
      <c r="H18" s="3666"/>
      <c r="I18" s="3666"/>
      <c r="J18" s="3666"/>
      <c r="K18" s="3666"/>
      <c r="L18" s="3666"/>
      <c r="M18" s="3666"/>
      <c r="N18" s="3694" t="s">
        <v>3290</v>
      </c>
      <c r="O18" s="3698">
        <v>0.63</v>
      </c>
      <c r="P18" s="3666">
        <f t="shared" si="1"/>
        <v>1.0063</v>
      </c>
    </row>
    <row r="19" spans="1:16">
      <c r="A19" s="3664" t="s">
        <v>3291</v>
      </c>
      <c r="B19" s="3665">
        <f>J3</f>
        <v>2838.7</v>
      </c>
      <c r="C19" s="3691">
        <f>K3</f>
        <v>3041.4</v>
      </c>
      <c r="D19" s="3666"/>
      <c r="E19" s="3666"/>
      <c r="F19" s="3666"/>
      <c r="G19" s="3666"/>
      <c r="H19" s="3666"/>
      <c r="I19" s="3666"/>
      <c r="J19" s="3666"/>
      <c r="K19" s="3666"/>
      <c r="L19" s="3666"/>
      <c r="M19" s="3666"/>
      <c r="N19" s="3694" t="s">
        <v>3292</v>
      </c>
      <c r="O19" s="3698">
        <v>1.08</v>
      </c>
      <c r="P19" s="3666">
        <f t="shared" si="1"/>
        <v>1.0107999999999999</v>
      </c>
    </row>
    <row r="20" spans="1:16">
      <c r="A20" s="3664" t="s">
        <v>3293</v>
      </c>
      <c r="B20" s="3665">
        <f t="shared" ref="B20:C23" si="2">J4</f>
        <v>2453.6</v>
      </c>
      <c r="C20" s="3691">
        <f t="shared" si="2"/>
        <v>2523.1</v>
      </c>
      <c r="D20" s="3666"/>
      <c r="E20" s="3666"/>
      <c r="F20" s="3666"/>
      <c r="G20" s="3666"/>
      <c r="H20" s="3666"/>
      <c r="I20" s="3666"/>
      <c r="J20" s="3666"/>
      <c r="K20" s="3666"/>
      <c r="L20" s="3666"/>
      <c r="M20" s="3666"/>
      <c r="N20" s="3694" t="s">
        <v>3294</v>
      </c>
      <c r="O20" s="3698">
        <v>0.64</v>
      </c>
      <c r="P20" s="3666">
        <f t="shared" si="1"/>
        <v>1.0064</v>
      </c>
    </row>
    <row r="21" spans="1:16">
      <c r="A21" s="3664" t="s">
        <v>3295</v>
      </c>
      <c r="B21" s="3665">
        <f t="shared" si="2"/>
        <v>6929.7</v>
      </c>
      <c r="C21" s="3691">
        <f t="shared" si="2"/>
        <v>7125.9</v>
      </c>
      <c r="D21" s="3666"/>
      <c r="E21" s="3666"/>
      <c r="F21" s="3666"/>
      <c r="G21" s="3666"/>
      <c r="H21" s="3666"/>
      <c r="I21" s="3666"/>
      <c r="J21" s="3666"/>
      <c r="K21" s="3666"/>
      <c r="L21" s="3666"/>
      <c r="M21" s="3666"/>
      <c r="N21" s="3694" t="s">
        <v>3296</v>
      </c>
      <c r="O21" s="3698">
        <v>0.55000000000000004</v>
      </c>
      <c r="P21" s="3666">
        <f t="shared" si="1"/>
        <v>1.0055000000000001</v>
      </c>
    </row>
    <row r="22" spans="1:16">
      <c r="A22" s="3664" t="s">
        <v>3297</v>
      </c>
      <c r="B22" s="3665">
        <f t="shared" si="2"/>
        <v>1589.9</v>
      </c>
      <c r="C22" s="3691">
        <f t="shared" si="2"/>
        <v>1608.1</v>
      </c>
      <c r="D22" s="3666"/>
      <c r="E22" s="3666"/>
      <c r="F22" s="3666"/>
      <c r="G22" s="3666"/>
      <c r="H22" s="3666"/>
      <c r="I22" s="3666"/>
      <c r="J22" s="3666"/>
      <c r="K22" s="3666"/>
      <c r="L22" s="3666"/>
      <c r="M22" s="3666"/>
      <c r="N22" s="3694" t="s">
        <v>3298</v>
      </c>
      <c r="O22" s="3698">
        <v>0.48</v>
      </c>
      <c r="P22" s="3666">
        <f t="shared" si="1"/>
        <v>1.0047999999999999</v>
      </c>
    </row>
    <row r="23" spans="1:16">
      <c r="A23" s="3664" t="s">
        <v>3299</v>
      </c>
      <c r="B23" s="3665">
        <f t="shared" si="2"/>
        <v>7569.9</v>
      </c>
      <c r="C23" s="3691">
        <f t="shared" si="2"/>
        <v>7656.4</v>
      </c>
      <c r="D23" s="3666"/>
      <c r="E23" s="3666"/>
      <c r="F23" s="3666"/>
      <c r="G23" s="3666"/>
      <c r="H23" s="3666"/>
      <c r="I23" s="3666"/>
      <c r="J23" s="3666"/>
      <c r="K23" s="3666"/>
      <c r="L23" s="3666"/>
      <c r="M23" s="3666"/>
      <c r="N23" s="3694" t="s">
        <v>3300</v>
      </c>
      <c r="O23" s="3698">
        <v>1.01</v>
      </c>
      <c r="P23" s="3666">
        <f t="shared" si="1"/>
        <v>1.0101</v>
      </c>
    </row>
    <row r="24" spans="1:16" ht="14.25" thickBot="1">
      <c r="A24" s="3700"/>
      <c r="B24" s="3666"/>
      <c r="C24" s="3692"/>
      <c r="D24" s="3666"/>
      <c r="E24" s="3666"/>
      <c r="F24" s="3666"/>
      <c r="G24" s="3666"/>
      <c r="H24" s="3666"/>
      <c r="I24" s="3666"/>
      <c r="J24" s="3666"/>
      <c r="K24" s="3666"/>
      <c r="L24" s="3666"/>
      <c r="M24" s="3666"/>
      <c r="N24" s="3701" t="s">
        <v>3301</v>
      </c>
      <c r="O24" s="3702">
        <v>0.36</v>
      </c>
      <c r="P24" s="3666">
        <f t="shared" si="1"/>
        <v>1.0036</v>
      </c>
    </row>
    <row r="25" spans="1:16" ht="14.25" thickTop="1">
      <c r="A25" s="3666"/>
      <c r="B25" s="3666"/>
      <c r="C25" s="3692"/>
      <c r="D25" s="3666"/>
      <c r="E25" s="3666"/>
      <c r="F25" s="3666"/>
      <c r="G25" s="3666"/>
      <c r="H25" s="3666"/>
      <c r="I25" s="3666"/>
      <c r="J25" s="3666"/>
      <c r="K25" s="3666"/>
      <c r="L25" s="3666"/>
      <c r="M25" s="3666"/>
      <c r="N25" s="3666"/>
      <c r="O25" s="3666"/>
      <c r="P25" s="3666"/>
    </row>
    <row r="26" spans="1:16">
      <c r="A26" s="3666"/>
      <c r="B26" s="3666"/>
      <c r="C26" s="3692"/>
      <c r="D26" s="3666"/>
      <c r="E26" s="3666"/>
      <c r="F26" s="3666">
        <v>27</v>
      </c>
      <c r="G26" s="3666">
        <f>POWER(F26,1/3)</f>
        <v>2.9999999999999996</v>
      </c>
      <c r="H26" s="3666"/>
      <c r="I26" s="3666"/>
      <c r="J26" s="3666"/>
      <c r="K26" s="3666"/>
      <c r="L26" s="3666"/>
      <c r="M26" s="3666"/>
      <c r="N26" s="3666"/>
      <c r="O26" s="3666"/>
      <c r="P26" s="3666"/>
    </row>
    <row r="27" spans="1:16">
      <c r="A27" s="3666"/>
      <c r="B27" s="3666"/>
      <c r="C27" s="3692"/>
      <c r="D27" s="3666"/>
      <c r="E27" s="3666"/>
      <c r="F27" s="3666">
        <v>0.43</v>
      </c>
      <c r="G27" s="3666">
        <f>POWER(F27,1/3)</f>
        <v>0.7547842314287575</v>
      </c>
      <c r="H27" s="3699">
        <f>ROUND(G27^2,2)</f>
        <v>0.56999999999999995</v>
      </c>
      <c r="I27" s="3666"/>
      <c r="J27" s="3666"/>
      <c r="K27" s="3666"/>
      <c r="L27" s="3666"/>
      <c r="M27" s="3666"/>
      <c r="N27" s="3666"/>
      <c r="O27" s="3666"/>
      <c r="P27" s="3666"/>
    </row>
    <row r="28" spans="1:16">
      <c r="A28" s="3666"/>
      <c r="B28" s="3666"/>
      <c r="C28" s="3692"/>
      <c r="D28" s="3666"/>
      <c r="E28" s="3666"/>
      <c r="F28" s="3666"/>
      <c r="G28" s="3666"/>
      <c r="H28" s="3666"/>
      <c r="I28" s="3666"/>
      <c r="J28" s="3666"/>
      <c r="K28" s="3666"/>
      <c r="L28" s="3666"/>
      <c r="M28" s="3666"/>
      <c r="N28" s="3666"/>
      <c r="O28" s="3666"/>
      <c r="P28" s="3666"/>
    </row>
    <row r="29" spans="1:16">
      <c r="A29" s="3666"/>
      <c r="B29" s="3666"/>
      <c r="C29" s="3692"/>
      <c r="D29" s="3666"/>
      <c r="E29" s="3666"/>
      <c r="F29" s="3666"/>
      <c r="G29" s="3666"/>
      <c r="H29" s="3666"/>
      <c r="I29" s="3666"/>
      <c r="J29" s="3666"/>
      <c r="K29" s="3666"/>
      <c r="L29" s="3666"/>
      <c r="M29" s="3666"/>
      <c r="N29" s="3666"/>
      <c r="O29" s="3666"/>
      <c r="P29" s="3666"/>
    </row>
    <row r="30" spans="1:16">
      <c r="A30" s="3666"/>
      <c r="B30" s="3666"/>
      <c r="C30" s="3692"/>
      <c r="D30" s="3666"/>
      <c r="E30" s="3666"/>
      <c r="F30" s="3666"/>
      <c r="G30" s="3666"/>
      <c r="H30" s="3666"/>
      <c r="I30" s="3666"/>
      <c r="J30" s="3666"/>
      <c r="K30" s="3666"/>
      <c r="L30" s="3666"/>
      <c r="M30" s="3666"/>
      <c r="N30" s="3666"/>
      <c r="O30" s="3666"/>
      <c r="P30" s="3666"/>
    </row>
    <row r="31" spans="1:16">
      <c r="A31" s="3666"/>
      <c r="B31" s="3666"/>
      <c r="C31" s="3692"/>
      <c r="D31" s="3666"/>
      <c r="E31" s="3666"/>
      <c r="F31" s="3666"/>
      <c r="G31" s="3666"/>
      <c r="H31" s="3666"/>
      <c r="I31" s="3666"/>
      <c r="J31" s="3666"/>
      <c r="K31" s="3666"/>
      <c r="L31" s="3666"/>
      <c r="M31" s="3666"/>
      <c r="N31" s="3666"/>
      <c r="O31" s="3666"/>
      <c r="P31" s="3666"/>
    </row>
    <row r="32" spans="1:16">
      <c r="A32" s="3666"/>
      <c r="B32" s="3666"/>
      <c r="C32" s="3692"/>
      <c r="D32" s="3666"/>
      <c r="E32" s="3666"/>
      <c r="F32" s="3666"/>
      <c r="G32" s="3666"/>
      <c r="H32" s="3666"/>
      <c r="I32" s="3666"/>
      <c r="J32" s="3666"/>
      <c r="K32" s="3666"/>
      <c r="L32" s="3666"/>
      <c r="M32" s="3666"/>
      <c r="N32" s="3666"/>
      <c r="O32" s="3666"/>
      <c r="P32" s="3666"/>
    </row>
    <row r="33" spans="1:16">
      <c r="A33" s="3666"/>
      <c r="B33" s="3666"/>
      <c r="C33" s="3692"/>
      <c r="D33" s="3666"/>
      <c r="E33" s="3666"/>
      <c r="F33" s="3666"/>
      <c r="G33" s="3666"/>
      <c r="H33" s="3666"/>
      <c r="I33" s="3666"/>
      <c r="J33" s="3666"/>
      <c r="K33" s="3666"/>
      <c r="L33" s="3666"/>
      <c r="M33" s="3666"/>
      <c r="N33" s="3666"/>
      <c r="O33" s="3666"/>
      <c r="P33" s="3666"/>
    </row>
    <row r="34" spans="1:16">
      <c r="A34" s="3666"/>
      <c r="B34" s="3666"/>
      <c r="C34" s="3692"/>
      <c r="D34" s="3666"/>
      <c r="E34" s="3666"/>
      <c r="F34" s="3666"/>
      <c r="G34" s="3666"/>
      <c r="H34" s="3666"/>
      <c r="I34" s="3666"/>
      <c r="J34" s="3666"/>
      <c r="K34" s="3666"/>
      <c r="L34" s="3666"/>
      <c r="M34" s="3666"/>
      <c r="N34" s="3666"/>
      <c r="O34" s="3666"/>
      <c r="P34" s="3666"/>
    </row>
    <row r="35" spans="1:16">
      <c r="A35" s="3666"/>
      <c r="B35" s="3666"/>
      <c r="C35" s="3692"/>
      <c r="D35" s="3666"/>
      <c r="E35" s="3666"/>
      <c r="F35" s="3666"/>
      <c r="G35" s="3666"/>
      <c r="H35" s="3666"/>
      <c r="I35" s="3666"/>
      <c r="J35" s="3666"/>
      <c r="K35" s="3666"/>
      <c r="L35" s="3666"/>
      <c r="M35" s="3666"/>
      <c r="N35" s="3666"/>
      <c r="O35" s="3666"/>
      <c r="P35" s="3666"/>
    </row>
    <row r="36" spans="1:16">
      <c r="A36" s="3666"/>
      <c r="B36" s="3666"/>
      <c r="C36" s="3692"/>
      <c r="D36" s="3666"/>
      <c r="E36" s="3666"/>
      <c r="F36" s="3666"/>
      <c r="G36" s="3666"/>
      <c r="H36" s="3666"/>
      <c r="I36" s="3666"/>
      <c r="J36" s="3666"/>
      <c r="K36" s="3666"/>
      <c r="L36" s="3666"/>
      <c r="M36" s="3666"/>
      <c r="N36" s="3666"/>
      <c r="O36" s="3666"/>
      <c r="P36" s="3666"/>
    </row>
  </sheetData>
  <mergeCells count="8">
    <mergeCell ref="J1:J2"/>
    <mergeCell ref="K1:K2"/>
    <mergeCell ref="A1:A2"/>
    <mergeCell ref="B1:B2"/>
    <mergeCell ref="C1:C2"/>
    <mergeCell ref="F1:G1"/>
    <mergeCell ref="H1:H2"/>
    <mergeCell ref="I1:I2"/>
  </mergeCells>
  <phoneticPr fontId="224"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45382</v>
      </c>
      <c r="H1" s="2417">
        <f>IF(C1&gt;C13,0,MATCH(C1,C$13:C$111,-1))+IF(SUMIF(C13:C111,C1,D13:D111)=0,13,12)</f>
        <v>13</v>
      </c>
      <c r="I1" s="2417">
        <f>MATCH(C2,H3:H7,1)+IF(SUMIF(H3:H7,C2,I3:I7)=0,2,1)</f>
        <v>5</v>
      </c>
      <c r="J1" s="2475">
        <f ca="1">MATCH(C3,H3:H7,1)+IF(SUMIF(H3:H7,C3,J3:J7)=0,2,1)</f>
        <v>4</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1.5</v>
      </c>
      <c r="D2" s="2478" t="s">
        <v>2066</v>
      </c>
      <c r="E2" s="2481">
        <f ca="1">INDIRECT("I"&amp;$I$1)/100</f>
        <v>3.4500000000000003E-2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1</v>
      </c>
      <c r="D3" s="2478" t="s">
        <v>2066</v>
      </c>
      <c r="E3" s="2481">
        <f ca="1">INDIRECT("J"&amp;$J$1)/100</f>
        <v>3.4500000000000003E-2</v>
      </c>
      <c r="G3" s="2421" t="s">
        <v>2069</v>
      </c>
      <c r="H3" s="2422">
        <v>0</v>
      </c>
      <c r="I3" s="2423">
        <f ca="1">INDIRECT("d"&amp;$H$1)</f>
        <v>3.45</v>
      </c>
      <c r="J3" s="2423">
        <f ca="1">INDIRECT("d"&amp;$H$1)</f>
        <v>3.45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3.45</v>
      </c>
      <c r="J4" s="2429">
        <f ca="1">INDIRECT("e"&amp;$H$1)</f>
        <v>3.45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3.45</v>
      </c>
      <c r="J5" s="2429">
        <f ca="1">INDIRECT("f"&amp;$H$1)</f>
        <v>3.45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3.45</v>
      </c>
      <c r="J6" s="2429">
        <f ca="1">INDIRECT("g"&amp;$H$1)</f>
        <v>3.45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4.2</v>
      </c>
      <c r="J7" s="2434">
        <f ca="1">INDIRECT("h"&amp;$H$1)</f>
        <v>4.2</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45159</v>
      </c>
      <c r="D13" s="2465">
        <v>3.45</v>
      </c>
      <c r="E13" s="2465">
        <f>D13</f>
        <v>3.45</v>
      </c>
      <c r="F13" s="2465">
        <f>D13</f>
        <v>3.45</v>
      </c>
      <c r="G13" s="2465">
        <f>D13</f>
        <v>3.45</v>
      </c>
      <c r="H13" s="2465">
        <v>4.2</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45097</v>
      </c>
      <c r="D14" s="2469">
        <v>3.55</v>
      </c>
      <c r="E14" s="2469">
        <f>D14</f>
        <v>3.55</v>
      </c>
      <c r="F14" s="2469">
        <f>D14</f>
        <v>3.55</v>
      </c>
      <c r="G14" s="2469">
        <f>D14</f>
        <v>3.55</v>
      </c>
      <c r="H14" s="2469">
        <v>4.2</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44795</v>
      </c>
      <c r="D15" s="2469">
        <v>3.65</v>
      </c>
      <c r="E15" s="2469">
        <v>3.65</v>
      </c>
      <c r="F15" s="2469">
        <v>3.65</v>
      </c>
      <c r="G15" s="2469">
        <v>3.65</v>
      </c>
      <c r="H15" s="2469">
        <v>4.3</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44701</v>
      </c>
      <c r="D16" s="2469">
        <v>3.7</v>
      </c>
      <c r="E16" s="2469">
        <f>D16</f>
        <v>3.7</v>
      </c>
      <c r="F16" s="2469">
        <f>D16</f>
        <v>3.7</v>
      </c>
      <c r="G16" s="2469">
        <f>D16</f>
        <v>3.7</v>
      </c>
      <c r="H16" s="2469">
        <v>4.45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44581</v>
      </c>
      <c r="D17" s="2469">
        <v>3.7</v>
      </c>
      <c r="E17" s="2469">
        <f>D17</f>
        <v>3.7</v>
      </c>
      <c r="F17" s="2469">
        <f>D17</f>
        <v>3.7</v>
      </c>
      <c r="G17" s="2469">
        <f>D17</f>
        <v>3.7</v>
      </c>
      <c r="H17" s="2469">
        <v>4.5999999999999996</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44550</v>
      </c>
      <c r="D18" s="2469">
        <v>3.8</v>
      </c>
      <c r="E18" s="2469">
        <f>D18</f>
        <v>3.8</v>
      </c>
      <c r="F18" s="2469">
        <f>D18</f>
        <v>3.8</v>
      </c>
      <c r="G18" s="2469">
        <f>D18</f>
        <v>3.8</v>
      </c>
      <c r="H18" s="2469">
        <v>4.6500000000000004</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43941</v>
      </c>
      <c r="D19" s="2469">
        <v>3.85</v>
      </c>
      <c r="E19" s="2469">
        <v>3.85</v>
      </c>
      <c r="F19" s="2469">
        <v>3.85</v>
      </c>
      <c r="G19" s="2469">
        <v>3.85</v>
      </c>
      <c r="H19" s="2469">
        <v>4.6500000000000004</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43881</v>
      </c>
      <c r="D20" s="2469">
        <v>4.05</v>
      </c>
      <c r="E20" s="2469">
        <v>4.05</v>
      </c>
      <c r="F20" s="2469">
        <v>4.05</v>
      </c>
      <c r="G20" s="2469">
        <v>4.05</v>
      </c>
      <c r="H20" s="2469">
        <v>4.75</v>
      </c>
      <c r="I20" s="2469"/>
      <c r="J20" s="2469"/>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9"/>
      <c r="C21" s="2470">
        <v>43789</v>
      </c>
      <c r="D21" s="2469">
        <v>4.1500000000000004</v>
      </c>
      <c r="E21" s="2469">
        <v>4.1500000000000004</v>
      </c>
      <c r="F21" s="2469">
        <v>4.1500000000000004</v>
      </c>
      <c r="G21" s="2469">
        <v>4.1500000000000004</v>
      </c>
      <c r="H21" s="2469">
        <v>4.8</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43728</v>
      </c>
      <c r="D22" s="2469">
        <v>4.2</v>
      </c>
      <c r="E22" s="2469">
        <v>4.2</v>
      </c>
      <c r="F22" s="2469">
        <v>4.2</v>
      </c>
      <c r="G22" s="2469">
        <v>4.2</v>
      </c>
      <c r="H22" s="2469">
        <v>4.8499999999999996</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3"/>
      <c r="B23" s="2463" t="s">
        <v>2290</v>
      </c>
      <c r="C23" s="2471">
        <v>43697</v>
      </c>
      <c r="D23" s="3020">
        <v>4.25</v>
      </c>
      <c r="E23" s="3020">
        <v>4.25</v>
      </c>
      <c r="F23" s="3020">
        <v>4.25</v>
      </c>
      <c r="G23" s="3020">
        <v>4.25</v>
      </c>
      <c r="H23" s="3020">
        <v>4.8499999999999996</v>
      </c>
      <c r="I23" s="3020"/>
      <c r="J23" s="3020"/>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ht="14.25">
      <c r="B24" s="3024"/>
      <c r="C24" s="3025">
        <v>42301</v>
      </c>
      <c r="D24" s="3026">
        <v>4.3499999999999996</v>
      </c>
      <c r="E24" s="3026">
        <v>4.3499999999999996</v>
      </c>
      <c r="F24" s="3026">
        <v>4.75</v>
      </c>
      <c r="G24" s="3026">
        <v>4.75</v>
      </c>
      <c r="H24" s="3026">
        <v>4.9000000000000004</v>
      </c>
      <c r="I24" s="3026"/>
      <c r="J24" s="3026"/>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42242</v>
      </c>
      <c r="D25" s="2469">
        <v>4.5999999999999996</v>
      </c>
      <c r="E25" s="2469">
        <v>4.5999999999999996</v>
      </c>
      <c r="F25" s="2469">
        <v>5</v>
      </c>
      <c r="G25" s="2469">
        <v>5</v>
      </c>
      <c r="H25" s="2469">
        <v>5.15</v>
      </c>
      <c r="I25" s="2469">
        <v>2.75</v>
      </c>
      <c r="J25" s="2469">
        <v>3.25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42183</v>
      </c>
      <c r="D26" s="2469">
        <v>4.8499999999999996</v>
      </c>
      <c r="E26" s="2469">
        <v>4.8499999999999996</v>
      </c>
      <c r="F26" s="2469">
        <v>5.25</v>
      </c>
      <c r="G26" s="2469">
        <v>5.25</v>
      </c>
      <c r="H26" s="2469">
        <v>5.4</v>
      </c>
      <c r="I26" s="2469">
        <v>3</v>
      </c>
      <c r="J26" s="2469">
        <v>3.5</v>
      </c>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42135</v>
      </c>
      <c r="D27" s="2469">
        <v>5.0999999999999996</v>
      </c>
      <c r="E27" s="2469">
        <v>5.0999999999999996</v>
      </c>
      <c r="F27" s="2469">
        <v>5.5</v>
      </c>
      <c r="G27" s="2469">
        <v>5.5</v>
      </c>
      <c r="H27" s="2469">
        <v>5.65</v>
      </c>
      <c r="I27" s="2469">
        <v>3.25</v>
      </c>
      <c r="J27" s="2469">
        <v>3.75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42064</v>
      </c>
      <c r="D28" s="2469">
        <v>5.35</v>
      </c>
      <c r="E28" s="2469">
        <v>5.35</v>
      </c>
      <c r="F28" s="2469">
        <v>5.75</v>
      </c>
      <c r="G28" s="2469">
        <v>5.75</v>
      </c>
      <c r="H28" s="2469">
        <v>5.9</v>
      </c>
      <c r="I28" s="2469"/>
      <c r="J28" s="2469"/>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41965</v>
      </c>
      <c r="D29" s="2469">
        <v>5.6</v>
      </c>
      <c r="E29" s="2469">
        <v>5.6</v>
      </c>
      <c r="F29" s="2469">
        <v>6</v>
      </c>
      <c r="G29" s="2469">
        <v>6</v>
      </c>
      <c r="H29" s="2469">
        <v>6.15</v>
      </c>
      <c r="I29" s="2469"/>
      <c r="J29" s="2469"/>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41096</v>
      </c>
      <c r="D30" s="2469">
        <v>5.6</v>
      </c>
      <c r="E30" s="2469">
        <v>6</v>
      </c>
      <c r="F30" s="2469">
        <v>6.15</v>
      </c>
      <c r="G30" s="2469">
        <v>6.4</v>
      </c>
      <c r="H30" s="2469">
        <v>6.55</v>
      </c>
      <c r="I30" s="2469">
        <v>4</v>
      </c>
      <c r="J30" s="2469">
        <v>4.5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41068</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40731</v>
      </c>
      <c r="D32" s="2469">
        <v>6.1</v>
      </c>
      <c r="E32" s="2469">
        <v>6.56</v>
      </c>
      <c r="F32" s="2469">
        <v>6.65</v>
      </c>
      <c r="G32" s="2469">
        <v>6.9</v>
      </c>
      <c r="H32" s="2469">
        <v>7.05</v>
      </c>
      <c r="I32" s="2469">
        <v>4.45</v>
      </c>
      <c r="J32" s="2469">
        <v>4.9000000000000004</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40639</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40583</v>
      </c>
      <c r="D34" s="2469">
        <v>5.6</v>
      </c>
      <c r="E34" s="2469">
        <v>6.06</v>
      </c>
      <c r="F34" s="2469">
        <v>6.1</v>
      </c>
      <c r="G34" s="2469">
        <v>6.45</v>
      </c>
      <c r="H34" s="2469">
        <v>6.6</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40538</v>
      </c>
      <c r="D35" s="2469">
        <v>5.35</v>
      </c>
      <c r="E35" s="2469">
        <v>5.81</v>
      </c>
      <c r="F35" s="2469">
        <v>5.85</v>
      </c>
      <c r="G35" s="2469">
        <v>6.22</v>
      </c>
      <c r="H35" s="2469">
        <v>6.4</v>
      </c>
      <c r="I35" s="2469">
        <v>3.75</v>
      </c>
      <c r="J35" s="2469">
        <v>4.3</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40471</v>
      </c>
      <c r="D36" s="2469">
        <v>5.0999999999999996</v>
      </c>
      <c r="E36" s="2469">
        <v>5.56</v>
      </c>
      <c r="F36" s="2469">
        <v>5.6</v>
      </c>
      <c r="G36" s="2469">
        <v>5.96</v>
      </c>
      <c r="H36" s="2469">
        <v>6.14</v>
      </c>
      <c r="I36" s="2469">
        <v>3.5</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39805</v>
      </c>
      <c r="D37" s="2469">
        <v>4.8600000000000003</v>
      </c>
      <c r="E37" s="2469">
        <v>5.31</v>
      </c>
      <c r="F37" s="2469">
        <v>5.4</v>
      </c>
      <c r="G37" s="2469">
        <v>5.76</v>
      </c>
      <c r="H37" s="2469">
        <v>5.94</v>
      </c>
      <c r="I37" s="2469">
        <v>3.33</v>
      </c>
      <c r="J37" s="2469">
        <v>3.87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39779</v>
      </c>
      <c r="D38" s="2469">
        <v>5.04</v>
      </c>
      <c r="E38" s="2469">
        <v>5.58</v>
      </c>
      <c r="F38" s="2469">
        <v>5.67</v>
      </c>
      <c r="G38" s="2469">
        <v>5.94</v>
      </c>
      <c r="H38" s="2469">
        <v>6.12</v>
      </c>
      <c r="I38" s="2469">
        <v>3.51</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39751</v>
      </c>
      <c r="D39" s="2469">
        <v>6.03</v>
      </c>
      <c r="E39" s="2469">
        <v>6.66</v>
      </c>
      <c r="F39" s="2469">
        <v>6.75</v>
      </c>
      <c r="G39" s="2469">
        <v>7.02</v>
      </c>
      <c r="H39" s="2469">
        <v>7.2</v>
      </c>
      <c r="I39" s="2469">
        <v>4.05</v>
      </c>
      <c r="J39" s="2469">
        <v>4.59</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1">
        <v>39748</v>
      </c>
      <c r="D40" s="2469">
        <v>6.12</v>
      </c>
      <c r="E40" s="2469">
        <v>6.93</v>
      </c>
      <c r="F40" s="2469">
        <v>7.02</v>
      </c>
      <c r="G40" s="2469">
        <v>7.29</v>
      </c>
      <c r="H40" s="2469">
        <v>7.47</v>
      </c>
      <c r="I40" s="2469">
        <v>4.05</v>
      </c>
      <c r="J40" s="2469">
        <v>4.59</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39730</v>
      </c>
      <c r="D41" s="2469">
        <v>6.12</v>
      </c>
      <c r="E41" s="2469">
        <v>6.93</v>
      </c>
      <c r="F41" s="2469">
        <v>7.02</v>
      </c>
      <c r="G41" s="2469">
        <v>7.29</v>
      </c>
      <c r="H41" s="2469">
        <v>7.47</v>
      </c>
      <c r="I41" s="2469">
        <v>4.32</v>
      </c>
      <c r="J41" s="2469">
        <v>4.8600000000000003</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39707</v>
      </c>
      <c r="D42" s="2469">
        <v>6.21</v>
      </c>
      <c r="E42" s="2469">
        <v>7.2</v>
      </c>
      <c r="F42" s="2469">
        <v>7.29</v>
      </c>
      <c r="G42" s="2469">
        <v>7.56</v>
      </c>
      <c r="H42" s="2469">
        <v>7.74</v>
      </c>
      <c r="I42" s="2469">
        <v>4.59</v>
      </c>
      <c r="J42" s="2469">
        <v>5.13</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39437</v>
      </c>
      <c r="D43" s="2469">
        <v>6.57</v>
      </c>
      <c r="E43" s="2469">
        <v>7.47</v>
      </c>
      <c r="F43" s="2469">
        <v>7.56</v>
      </c>
      <c r="G43" s="2469">
        <v>7.74</v>
      </c>
      <c r="H43" s="2469">
        <v>7.83</v>
      </c>
      <c r="I43" s="2469">
        <v>4.7699999999999996</v>
      </c>
      <c r="J43" s="2469">
        <v>5.22</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39340</v>
      </c>
      <c r="D44" s="2469">
        <v>6.48</v>
      </c>
      <c r="E44" s="2469">
        <v>7.29</v>
      </c>
      <c r="F44" s="2469">
        <v>7.47</v>
      </c>
      <c r="G44" s="2469">
        <v>7.65</v>
      </c>
      <c r="H44" s="2469">
        <v>7.83</v>
      </c>
      <c r="I44" s="2469">
        <v>4.7699999999999996</v>
      </c>
      <c r="J44" s="2469">
        <v>5.22</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39316</v>
      </c>
      <c r="D45" s="2469">
        <v>6.21</v>
      </c>
      <c r="E45" s="2469">
        <v>7.02</v>
      </c>
      <c r="F45" s="2469">
        <v>7.2</v>
      </c>
      <c r="G45" s="2469">
        <v>7.38</v>
      </c>
      <c r="H45" s="2469">
        <v>7.56</v>
      </c>
      <c r="I45" s="2469">
        <v>4.59</v>
      </c>
      <c r="J45" s="2469">
        <v>5.04</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39284</v>
      </c>
      <c r="D46" s="2469">
        <v>6.03</v>
      </c>
      <c r="E46" s="2469">
        <v>6.84</v>
      </c>
      <c r="F46" s="2469">
        <v>7.02</v>
      </c>
      <c r="G46" s="2469">
        <v>7.2</v>
      </c>
      <c r="H46" s="2469">
        <v>7.38</v>
      </c>
      <c r="I46" s="2469">
        <v>4.5</v>
      </c>
      <c r="J46" s="2469">
        <v>4.95</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39221</v>
      </c>
      <c r="D47" s="2469">
        <v>5.85</v>
      </c>
      <c r="E47" s="2469">
        <v>6.57</v>
      </c>
      <c r="F47" s="2469">
        <v>6.75</v>
      </c>
      <c r="G47" s="2469">
        <v>6.93</v>
      </c>
      <c r="H47" s="2469">
        <v>7.2</v>
      </c>
      <c r="I47" s="2469">
        <v>4.41</v>
      </c>
      <c r="J47" s="2469">
        <v>4.8600000000000003</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39159</v>
      </c>
      <c r="D48" s="2469">
        <v>5.67</v>
      </c>
      <c r="E48" s="2469">
        <v>6.39</v>
      </c>
      <c r="F48" s="2469">
        <v>6.57</v>
      </c>
      <c r="G48" s="2469">
        <v>6.75</v>
      </c>
      <c r="H48" s="2469">
        <v>7.11</v>
      </c>
      <c r="I48" s="2469">
        <v>4.32</v>
      </c>
      <c r="J48" s="2469">
        <v>4.7699999999999996</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38948</v>
      </c>
      <c r="D49" s="2469">
        <v>5.58</v>
      </c>
      <c r="E49" s="2469">
        <v>6.12</v>
      </c>
      <c r="F49" s="2469">
        <v>6.3</v>
      </c>
      <c r="G49" s="2469">
        <v>6.48</v>
      </c>
      <c r="H49" s="2469">
        <v>6.84</v>
      </c>
      <c r="I49" s="2469">
        <v>4.1399999999999997</v>
      </c>
      <c r="J49" s="2469">
        <v>4.59</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38835</v>
      </c>
      <c r="D50" s="2469">
        <v>5.4</v>
      </c>
      <c r="E50" s="2469">
        <v>5.85</v>
      </c>
      <c r="F50" s="2469">
        <v>6.03</v>
      </c>
      <c r="G50" s="2469">
        <v>6.12</v>
      </c>
      <c r="H50" s="2469">
        <v>6.39</v>
      </c>
      <c r="I50" s="2469">
        <v>4.1399999999999997</v>
      </c>
      <c r="J50" s="2469">
        <v>4.59</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38428</v>
      </c>
      <c r="D51" s="2469">
        <v>5.22</v>
      </c>
      <c r="E51" s="2469">
        <v>5.58</v>
      </c>
      <c r="F51" s="2469">
        <v>5.76</v>
      </c>
      <c r="G51" s="2469">
        <v>5.85</v>
      </c>
      <c r="H51" s="2469">
        <v>6.12</v>
      </c>
      <c r="I51" s="2469">
        <v>3.96</v>
      </c>
      <c r="J51" s="2469">
        <v>4.41</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38289</v>
      </c>
      <c r="D52" s="2469">
        <v>5.22</v>
      </c>
      <c r="E52" s="2469">
        <v>5.58</v>
      </c>
      <c r="F52" s="2469">
        <v>5.76</v>
      </c>
      <c r="G52" s="2469">
        <v>5.85</v>
      </c>
      <c r="H52" s="2469">
        <v>6.12</v>
      </c>
      <c r="I52" s="2469">
        <v>3.78</v>
      </c>
      <c r="J52" s="2469">
        <v>4.2300000000000004</v>
      </c>
      <c r="L52" s="2469"/>
      <c r="M52" s="2470"/>
      <c r="N52" s="2469"/>
      <c r="O52" s="2469"/>
      <c r="P52" s="2469"/>
      <c r="Q52" s="2469"/>
      <c r="R52" s="2469"/>
      <c r="S52" s="2469"/>
      <c r="T52" s="2469"/>
      <c r="U52" s="2469"/>
      <c r="V52" s="2469"/>
      <c r="W52" s="2469"/>
      <c r="X52" s="2469"/>
      <c r="Y52" s="2469"/>
      <c r="Z52" s="2469"/>
    </row>
    <row r="53" spans="2:26">
      <c r="B53" s="2469"/>
      <c r="C53" s="2470">
        <v>37308</v>
      </c>
      <c r="D53" s="2469">
        <v>5.04</v>
      </c>
      <c r="E53" s="2469">
        <v>5.31</v>
      </c>
      <c r="F53" s="2469">
        <v>5.49</v>
      </c>
      <c r="G53" s="2469">
        <v>5.58</v>
      </c>
      <c r="H53" s="2469">
        <v>5.76</v>
      </c>
      <c r="I53" s="2469">
        <v>3.6</v>
      </c>
      <c r="J53" s="2469">
        <v>4.05</v>
      </c>
      <c r="L53" s="2469"/>
      <c r="M53" s="2470"/>
      <c r="N53" s="2469"/>
      <c r="O53" s="2469"/>
      <c r="P53" s="2469"/>
      <c r="Q53" s="2469"/>
      <c r="R53" s="2469"/>
      <c r="S53" s="2469"/>
      <c r="T53" s="2469"/>
      <c r="U53" s="2469"/>
      <c r="V53" s="2469"/>
      <c r="W53" s="2469"/>
      <c r="X53" s="2469"/>
      <c r="Y53" s="2469"/>
      <c r="Z53" s="2469"/>
    </row>
    <row r="54" spans="2:26">
      <c r="B54" s="2469"/>
      <c r="C54" s="2470">
        <v>36321</v>
      </c>
      <c r="D54" s="2469">
        <v>5.58</v>
      </c>
      <c r="E54" s="2469">
        <v>5.85</v>
      </c>
      <c r="F54" s="2469">
        <v>5.94</v>
      </c>
      <c r="G54" s="2469">
        <v>6.03</v>
      </c>
      <c r="H54" s="2469">
        <v>6.21</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36136</v>
      </c>
      <c r="D55" s="2469">
        <v>6.12</v>
      </c>
      <c r="E55" s="2469">
        <v>6.39</v>
      </c>
      <c r="F55" s="2469">
        <v>6.66</v>
      </c>
      <c r="G55" s="2469">
        <v>7.2</v>
      </c>
      <c r="H55" s="2469">
        <v>7.56</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35977</v>
      </c>
      <c r="D56" s="2469">
        <v>6.57</v>
      </c>
      <c r="E56" s="2469">
        <v>6.93</v>
      </c>
      <c r="F56" s="2469">
        <v>7.11</v>
      </c>
      <c r="G56" s="2469">
        <v>7.65</v>
      </c>
      <c r="H56" s="2469">
        <v>8.01</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35879</v>
      </c>
      <c r="D57" s="2469">
        <v>7.02</v>
      </c>
      <c r="E57" s="2469">
        <v>7.92</v>
      </c>
      <c r="F57" s="2469">
        <v>9</v>
      </c>
      <c r="G57" s="2469">
        <v>9.7200000000000006</v>
      </c>
      <c r="H57" s="2469">
        <v>10.35</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35726</v>
      </c>
      <c r="D58" s="2469">
        <v>7.65</v>
      </c>
      <c r="E58" s="2469">
        <v>8.64</v>
      </c>
      <c r="F58" s="2469">
        <v>9.36</v>
      </c>
      <c r="G58" s="2469">
        <v>9.9</v>
      </c>
      <c r="H58" s="2469">
        <v>10.53</v>
      </c>
      <c r="I58" s="2469">
        <v>0</v>
      </c>
      <c r="J58" s="2469">
        <v>0</v>
      </c>
    </row>
    <row r="59" spans="2:26">
      <c r="B59" s="2469"/>
      <c r="C59" s="2470">
        <v>35300</v>
      </c>
      <c r="D59" s="2469">
        <v>9.18</v>
      </c>
      <c r="E59" s="2469">
        <v>10.08</v>
      </c>
      <c r="F59" s="2469">
        <v>10.98</v>
      </c>
      <c r="G59" s="2469">
        <v>11.7</v>
      </c>
      <c r="H59" s="2469">
        <v>12.42</v>
      </c>
      <c r="I59" s="2469">
        <v>0</v>
      </c>
      <c r="J59" s="2469">
        <v>0</v>
      </c>
    </row>
    <row r="60" spans="2:26">
      <c r="B60" s="2469"/>
      <c r="C60" s="2470">
        <v>35186</v>
      </c>
      <c r="D60" s="2469">
        <v>9.7200000000000006</v>
      </c>
      <c r="E60" s="2469">
        <v>10.98</v>
      </c>
      <c r="F60" s="2469">
        <v>13.14</v>
      </c>
      <c r="G60" s="2469">
        <v>14.94</v>
      </c>
      <c r="H60" s="2469">
        <v>15.12</v>
      </c>
      <c r="I60" s="2469">
        <v>0</v>
      </c>
      <c r="J60" s="2469">
        <v>0</v>
      </c>
    </row>
    <row r="61" spans="2:26">
      <c r="B61" s="2469"/>
      <c r="C61" s="2470">
        <v>34881</v>
      </c>
      <c r="D61" s="2469">
        <v>10.08</v>
      </c>
      <c r="E61" s="2469">
        <v>12.06</v>
      </c>
      <c r="F61" s="2469">
        <v>13.5</v>
      </c>
      <c r="G61" s="2469">
        <v>15.12</v>
      </c>
      <c r="H61" s="2469">
        <v>15.3</v>
      </c>
      <c r="I61" s="2469">
        <v>0</v>
      </c>
      <c r="J61" s="2469">
        <v>0</v>
      </c>
    </row>
    <row r="62" spans="2:26">
      <c r="B62" s="2469"/>
      <c r="C62" s="2470">
        <v>34700</v>
      </c>
      <c r="D62" s="2469">
        <v>9</v>
      </c>
      <c r="E62" s="2469">
        <v>10.98</v>
      </c>
      <c r="F62" s="2469">
        <v>12.96</v>
      </c>
      <c r="G62" s="2469">
        <v>14.58</v>
      </c>
      <c r="H62" s="2469">
        <v>14.76</v>
      </c>
      <c r="I62" s="2469">
        <v>0</v>
      </c>
      <c r="J62" s="2469">
        <v>0</v>
      </c>
    </row>
    <row r="63" spans="2:26">
      <c r="B63" s="2469"/>
      <c r="C63" s="2470">
        <v>34161</v>
      </c>
      <c r="D63" s="2469">
        <v>9</v>
      </c>
      <c r="E63" s="2469">
        <v>10.98</v>
      </c>
      <c r="F63" s="2469">
        <v>12.24</v>
      </c>
      <c r="G63" s="2469">
        <v>13.86</v>
      </c>
      <c r="H63" s="2469">
        <v>14.04</v>
      </c>
      <c r="I63" s="2469">
        <v>0</v>
      </c>
      <c r="J63" s="2469">
        <v>0</v>
      </c>
    </row>
    <row r="64" spans="2:26">
      <c r="B64" s="2469"/>
      <c r="C64" s="2470">
        <v>34104</v>
      </c>
      <c r="D64" s="2469">
        <v>8.82</v>
      </c>
      <c r="E64" s="2469">
        <v>9.36</v>
      </c>
      <c r="F64" s="2469">
        <v>10.8</v>
      </c>
      <c r="G64" s="2469">
        <v>12.06</v>
      </c>
      <c r="H64" s="2469">
        <v>12.24</v>
      </c>
      <c r="I64" s="2469">
        <v>0</v>
      </c>
      <c r="J64" s="2469">
        <v>0</v>
      </c>
    </row>
    <row r="65" spans="2:10">
      <c r="B65" s="2469"/>
      <c r="C65" s="2470">
        <v>33349</v>
      </c>
      <c r="D65" s="2469">
        <v>8.1</v>
      </c>
      <c r="E65" s="2469">
        <v>8.64</v>
      </c>
      <c r="F65" s="2469">
        <v>9</v>
      </c>
      <c r="G65" s="2469">
        <v>9.5399999999999991</v>
      </c>
      <c r="H65" s="2469">
        <v>9.7200000000000006</v>
      </c>
      <c r="I65" s="2469">
        <v>0</v>
      </c>
      <c r="J65" s="2469">
        <v>0</v>
      </c>
    </row>
    <row r="66" spans="2:10">
      <c r="B66" s="2469"/>
      <c r="C66" s="2470">
        <v>33318</v>
      </c>
      <c r="D66" s="2469">
        <v>9</v>
      </c>
      <c r="E66" s="2469">
        <v>10.08</v>
      </c>
      <c r="F66" s="2469">
        <v>10.8</v>
      </c>
      <c r="G66" s="2469">
        <v>11.52</v>
      </c>
      <c r="H66" s="2469">
        <v>11.88</v>
      </c>
      <c r="I66" s="2469" t="s">
        <v>2095</v>
      </c>
      <c r="J66" s="2469" t="s">
        <v>2095</v>
      </c>
    </row>
    <row r="67" spans="2:10">
      <c r="B67" s="2469"/>
      <c r="C67" s="2470">
        <v>33106</v>
      </c>
      <c r="D67" s="2469">
        <v>8.64</v>
      </c>
      <c r="E67" s="2469">
        <v>9.36</v>
      </c>
      <c r="F67" s="2469">
        <v>10.08</v>
      </c>
      <c r="G67" s="2469">
        <v>10.8</v>
      </c>
      <c r="H67" s="2469">
        <v>11.16</v>
      </c>
      <c r="I67" s="2469">
        <v>0</v>
      </c>
      <c r="J67" s="2469">
        <v>0</v>
      </c>
    </row>
    <row r="68" spans="2:10">
      <c r="B68" s="2469"/>
      <c r="C68" s="2470">
        <v>32540</v>
      </c>
      <c r="D68" s="2469">
        <v>11.34</v>
      </c>
      <c r="E68" s="2469">
        <v>11.34</v>
      </c>
      <c r="F68" s="2469">
        <v>12.78</v>
      </c>
      <c r="G68" s="2469">
        <v>14.4</v>
      </c>
      <c r="H68" s="2469">
        <v>19.260000000000002</v>
      </c>
      <c r="I68" s="2469">
        <v>0</v>
      </c>
      <c r="J68" s="2469">
        <v>0</v>
      </c>
    </row>
    <row r="69" spans="2:10">
      <c r="B69" s="2469"/>
      <c r="C69" s="2470"/>
      <c r="D69" s="2469"/>
      <c r="E69" s="2469"/>
      <c r="F69" s="2469"/>
      <c r="G69" s="2469"/>
      <c r="H69" s="2469"/>
      <c r="I69" s="2469"/>
      <c r="J69" s="2469"/>
    </row>
    <row r="70" spans="2:10">
      <c r="B70" s="2472"/>
      <c r="C70" s="2473"/>
      <c r="D70" s="2472"/>
      <c r="E70" s="2472"/>
      <c r="F70" s="2472"/>
      <c r="G70" s="2472"/>
      <c r="H70" s="2472"/>
      <c r="I70" s="2472"/>
      <c r="J70" s="2472"/>
    </row>
    <row r="71" spans="2:10">
      <c r="B71" s="2472"/>
      <c r="C71" s="2473"/>
      <c r="D71" s="2472"/>
      <c r="E71" s="2472"/>
      <c r="F71" s="2472"/>
      <c r="G71" s="2472"/>
      <c r="H71" s="2472"/>
      <c r="I71" s="2472"/>
      <c r="J71" s="2472"/>
    </row>
    <row r="72" spans="2:10">
      <c r="B72" s="2472"/>
      <c r="C72" s="2473"/>
      <c r="D72" s="2472"/>
      <c r="E72" s="2472"/>
      <c r="F72" s="2472"/>
      <c r="G72" s="2472"/>
      <c r="H72" s="2472"/>
      <c r="I72" s="2472"/>
      <c r="J72" s="2472"/>
    </row>
    <row r="73" spans="2:10">
      <c r="B73" s="2420"/>
      <c r="C73" s="2420"/>
      <c r="D73" s="2420"/>
      <c r="E73" s="2420"/>
      <c r="F73" s="2420"/>
      <c r="G73" s="2420"/>
      <c r="H73" s="2420"/>
      <c r="I73" s="2420"/>
      <c r="J73" s="2420"/>
    </row>
    <row r="74" spans="2:10">
      <c r="B74" s="2420"/>
      <c r="C74" s="2420"/>
      <c r="D74" s="2420"/>
      <c r="E74" s="2420"/>
      <c r="F74" s="2420"/>
      <c r="G74" s="2420"/>
      <c r="H74" s="2420"/>
      <c r="I74" s="2420"/>
      <c r="J74"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097" t="s">
        <v>1556</v>
      </c>
      <c r="B1" s="4097"/>
      <c r="C1" s="4097"/>
      <c r="D1" s="4097"/>
      <c r="E1" s="4097"/>
      <c r="F1" s="4097"/>
      <c r="G1" s="4097"/>
      <c r="H1" s="4097"/>
      <c r="I1" s="4097"/>
      <c r="J1" s="4097"/>
      <c r="K1" s="4097"/>
      <c r="L1" s="4097"/>
      <c r="M1" s="4097"/>
      <c r="N1" s="4097"/>
      <c r="O1" s="4097"/>
      <c r="P1" s="4097"/>
      <c r="Q1" s="4097"/>
      <c r="R1" s="4097"/>
    </row>
    <row r="2" spans="1:18">
      <c r="A2" s="1595" t="s">
        <v>1558</v>
      </c>
      <c r="B2" s="1595"/>
      <c r="C2" s="1595"/>
      <c r="D2" s="1595"/>
      <c r="E2" s="1595"/>
      <c r="F2" s="1595"/>
      <c r="G2" s="1595"/>
      <c r="H2" s="1595"/>
      <c r="I2" s="1596"/>
      <c r="J2" s="1596"/>
      <c r="K2" s="1597" t="str">
        <f>"估价期日："&amp;TEXT(项目基本情况!D3,"yyyy年m月d日;;")</f>
        <v>估价期日：2024年3月31日</v>
      </c>
      <c r="L2" s="1595"/>
      <c r="M2" s="1595"/>
      <c r="N2" s="1595"/>
      <c r="O2" s="1595"/>
      <c r="P2" s="1595"/>
      <c r="Q2" s="1595"/>
      <c r="R2" s="1597" t="str">
        <f>"估价期日的国有建设用地使用权性质："&amp;项目基本情况!A17</f>
        <v>估价期日的国有建设用地使用权性质：划拨</v>
      </c>
    </row>
    <row r="3" spans="1:18" ht="23.25" customHeight="1">
      <c r="A3" s="4098" t="s">
        <v>1547</v>
      </c>
      <c r="B3" s="4098" t="s">
        <v>2013</v>
      </c>
      <c r="C3" s="4099" t="s">
        <v>1548</v>
      </c>
      <c r="D3" s="4098" t="s">
        <v>2017</v>
      </c>
      <c r="E3" s="4101" t="s">
        <v>1549</v>
      </c>
      <c r="F3" s="4101"/>
      <c r="G3" s="4101"/>
      <c r="H3" s="4101" t="s">
        <v>1550</v>
      </c>
      <c r="I3" s="4101"/>
      <c r="J3" s="4101"/>
      <c r="K3" s="4099" t="s">
        <v>1551</v>
      </c>
      <c r="L3" s="4099" t="s">
        <v>1552</v>
      </c>
      <c r="M3" s="4098" t="s">
        <v>2014</v>
      </c>
      <c r="N3" s="4100" t="str">
        <f>"（分摊）"&amp;项目基本情况!A17&amp;"国有建设用地使用权面积/㎡"</f>
        <v>（分摊）划拨国有建设用地使用权面积/㎡</v>
      </c>
      <c r="O3" s="4098" t="s">
        <v>1581</v>
      </c>
      <c r="P3" s="4099" t="s">
        <v>1561</v>
      </c>
      <c r="Q3" s="4099" t="s">
        <v>1582</v>
      </c>
      <c r="R3" s="4099" t="s">
        <v>1553</v>
      </c>
    </row>
    <row r="4" spans="1:18" ht="36.75" customHeight="1">
      <c r="A4" s="4098"/>
      <c r="B4" s="4098"/>
      <c r="C4" s="4099"/>
      <c r="D4" s="4098"/>
      <c r="E4" s="2254" t="s">
        <v>1560</v>
      </c>
      <c r="F4" s="2254" t="s">
        <v>2026</v>
      </c>
      <c r="G4" s="2254" t="s">
        <v>1554</v>
      </c>
      <c r="H4" s="2254" t="s">
        <v>1555</v>
      </c>
      <c r="I4" s="2254" t="s">
        <v>2027</v>
      </c>
      <c r="J4" s="2254" t="s">
        <v>1554</v>
      </c>
      <c r="K4" s="4099"/>
      <c r="L4" s="4099"/>
      <c r="M4" s="4098"/>
      <c r="N4" s="4100"/>
      <c r="O4" s="4098"/>
      <c r="P4" s="4099"/>
      <c r="Q4" s="4099"/>
      <c r="R4" s="4099"/>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59218.34</v>
      </c>
      <c r="O5" s="1598">
        <f>项目基本情况!C21</f>
        <v>59218.34</v>
      </c>
      <c r="P5" s="1598">
        <f ca="1">结果表!E42</f>
        <v>4129</v>
      </c>
      <c r="Q5" s="1598">
        <f ca="1">结果表!D42</f>
        <v>4129</v>
      </c>
      <c r="R5" s="1599">
        <f ca="1">结果表!C42</f>
        <v>24451</v>
      </c>
    </row>
    <row r="6" spans="1:18">
      <c r="A6" s="4094" t="str">
        <f>IF(项目基本情况!B9="市场价格","——","抵押价格")</f>
        <v>抵押价格</v>
      </c>
      <c r="B6" s="4095"/>
      <c r="C6" s="4095"/>
      <c r="D6" s="4095"/>
      <c r="E6" s="4095"/>
      <c r="F6" s="4095"/>
      <c r="G6" s="4095"/>
      <c r="H6" s="4095"/>
      <c r="I6" s="4095"/>
      <c r="J6" s="4095"/>
      <c r="K6" s="4095"/>
      <c r="L6" s="4095"/>
      <c r="M6" s="4095"/>
      <c r="N6" s="4095"/>
      <c r="O6" s="4095"/>
      <c r="P6" s="4095"/>
      <c r="Q6" s="4096"/>
      <c r="R6" s="1600" t="str">
        <f>结果表!O39</f>
        <v>——</v>
      </c>
    </row>
    <row r="7" spans="1:18">
      <c r="A7" s="4094" t="str">
        <f>IF(项目基本情况!B9="市场价格","——",IF(项目基本情况!E8="已注销及未注销","抵押担保权已注销时的抵押价格","——"))</f>
        <v>——</v>
      </c>
      <c r="B7" s="4095"/>
      <c r="C7" s="4095"/>
      <c r="D7" s="4095"/>
      <c r="E7" s="4095"/>
      <c r="F7" s="4095"/>
      <c r="G7" s="4095"/>
      <c r="H7" s="4095"/>
      <c r="I7" s="4095"/>
      <c r="J7" s="4095"/>
      <c r="K7" s="4095"/>
      <c r="L7" s="4095"/>
      <c r="M7" s="4095"/>
      <c r="N7" s="4095"/>
      <c r="O7" s="4095"/>
      <c r="P7" s="4095"/>
      <c r="Q7" s="4096"/>
      <c r="R7" s="1600" t="str">
        <f>结果表!O40</f>
        <v>——</v>
      </c>
    </row>
    <row r="8" spans="1:18">
      <c r="A8" s="4094">
        <f>IF(项目基本情况!B9="市场价格","——",项目基本情况!E9)</f>
        <v>0</v>
      </c>
      <c r="B8" s="4095"/>
      <c r="C8" s="4095"/>
      <c r="D8" s="4095"/>
      <c r="E8" s="4095"/>
      <c r="F8" s="4095"/>
      <c r="G8" s="4095"/>
      <c r="H8" s="4095"/>
      <c r="I8" s="4095"/>
      <c r="J8" s="4095"/>
      <c r="K8" s="4095"/>
      <c r="L8" s="4095"/>
      <c r="M8" s="4095"/>
      <c r="N8" s="4095"/>
      <c r="O8" s="4095"/>
      <c r="P8" s="4095"/>
      <c r="Q8" s="4096"/>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4103" t="s">
        <v>1583</v>
      </c>
      <c r="B1" s="4103"/>
      <c r="C1" s="4103"/>
      <c r="D1" s="4103"/>
    </row>
    <row r="2" spans="1:4" ht="47.25" customHeight="1">
      <c r="A2" s="4104" t="str">
        <f>"1.权利限制："&amp;项目基本情况!L24&amp;"未设定租赁等其他他项权利。"</f>
        <v>1.权利限制：根据估价对象《不动产权证书》原件、《国有土地使用权》复印件，截至估价期日，估价对象抵押权未见登记。未设定租赁等其他他项权利。</v>
      </c>
      <c r="B2" s="4104"/>
      <c r="C2" s="4104"/>
      <c r="D2" s="4104"/>
    </row>
    <row r="3" spans="1:4" ht="48" customHeight="1">
      <c r="A3" s="41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103"/>
      <c r="C3" s="4103"/>
      <c r="D3" s="4103"/>
    </row>
    <row r="4" spans="1:4" ht="36.75" customHeight="1">
      <c r="A4" s="4103" t="str">
        <f>"3.估价规划限制条件：详见"&amp;项目基本情况!E21&amp;"。"</f>
        <v>3.估价规划限制条件：详见《建设工程规划许可证》[]、《出让合同》[]。</v>
      </c>
      <c r="B4" s="4103"/>
      <c r="C4" s="4103"/>
      <c r="D4" s="4103"/>
    </row>
    <row r="5" spans="1:4">
      <c r="A5" s="4102" t="s">
        <v>1584</v>
      </c>
      <c r="B5" s="4102"/>
      <c r="C5" s="4102"/>
      <c r="D5" s="4102"/>
    </row>
    <row r="6" spans="1:4">
      <c r="A6" s="4103" t="s">
        <v>1562</v>
      </c>
      <c r="B6" s="4103"/>
      <c r="C6" s="4103"/>
      <c r="D6" s="4103"/>
    </row>
    <row r="7" spans="1:4" ht="33" customHeight="1">
      <c r="A7" s="4103" t="s">
        <v>1857</v>
      </c>
      <c r="B7" s="4103"/>
      <c r="C7" s="4103"/>
      <c r="D7" s="4103"/>
    </row>
    <row r="8" spans="1:4" ht="32.25" customHeight="1">
      <c r="A8" s="41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103"/>
      <c r="C8" s="4103"/>
      <c r="D8" s="4103"/>
    </row>
    <row r="9" spans="1:4" ht="33.75" customHeight="1">
      <c r="A9" s="4103" t="str">
        <f>IF(项目基本情况!B8="抵押","3.抵押双方在办理抵押登记手续时，应使用本公司出具的正式《土地估价报告》，特提请报告使用者注意。","——")</f>
        <v>——</v>
      </c>
      <c r="B9" s="4103"/>
      <c r="C9" s="4103"/>
      <c r="D9" s="4103"/>
    </row>
    <row r="10" spans="1:4">
      <c r="A10" s="4103" t="str">
        <f>IF(项目基本情况!B8="抵押","4.估价师所知悉的法定优先受偿款情况为：","——")</f>
        <v>——</v>
      </c>
      <c r="B10" s="4103"/>
      <c r="C10" s="4103"/>
      <c r="D10" s="4103"/>
    </row>
    <row r="11" spans="1:4" ht="37.5" customHeight="1">
      <c r="A11" s="4105" t="str">
        <f>IF(项目基本情况!B8="抵押","（1）"&amp;CONCATENATE(项目基本情况!L24,项目基本情况!L25,项目基本情况!L26),"——")</f>
        <v>——</v>
      </c>
      <c r="B11" s="4105"/>
      <c r="C11" s="4105"/>
      <c r="D11" s="4105"/>
    </row>
    <row r="12" spans="1:4" ht="168" customHeight="1">
      <c r="A12" s="4102" t="s">
        <v>1586</v>
      </c>
      <c r="B12" s="4102"/>
      <c r="C12" s="4102"/>
      <c r="D12" s="4102"/>
    </row>
    <row r="13" spans="1:4">
      <c r="A13" s="4106" t="s">
        <v>2028</v>
      </c>
      <c r="B13" s="4106"/>
      <c r="C13" s="4106"/>
      <c r="D13" s="4106"/>
    </row>
    <row r="14" spans="1:4">
      <c r="A14" s="4105" t="str">
        <f>IF(项目基本情况!B8="抵押","综上，"&amp;结果表!K47,"——")</f>
        <v>——</v>
      </c>
      <c r="B14" s="4105"/>
      <c r="C14" s="4105"/>
      <c r="D14" s="4105"/>
    </row>
    <row r="15" spans="1:4" ht="58.5" customHeight="1">
      <c r="A15" s="41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103"/>
      <c r="C15" s="4103"/>
      <c r="D15" s="4103"/>
    </row>
    <row r="16" spans="1:4" ht="70.5" customHeight="1">
      <c r="A16" s="41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103"/>
      <c r="C16" s="4103"/>
      <c r="D16" s="4103"/>
    </row>
    <row r="17" spans="1:4">
      <c r="A17" s="4103" t="s">
        <v>1984</v>
      </c>
      <c r="B17" s="4103"/>
      <c r="C17" s="4103"/>
      <c r="D17" s="4103"/>
    </row>
    <row r="18" spans="1:4">
      <c r="A18" s="4103" t="s">
        <v>1976</v>
      </c>
      <c r="B18" s="4103"/>
      <c r="C18" s="4103"/>
      <c r="D18" s="4103"/>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4103" t="s">
        <v>1981</v>
      </c>
      <c r="B23" s="4103"/>
      <c r="C23" s="4103"/>
      <c r="D23" s="4103"/>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4114" t="s">
        <v>27</v>
      </c>
      <c r="B15" s="4115" t="s">
        <v>784</v>
      </c>
      <c r="C15" s="4111"/>
    </row>
    <row r="16" spans="1:7" ht="14.25">
      <c r="A16" s="4114"/>
      <c r="B16" s="4112" t="s">
        <v>28</v>
      </c>
      <c r="C16" s="1070" t="s">
        <v>27</v>
      </c>
    </row>
    <row r="17" spans="1:3" ht="14.25">
      <c r="A17" s="4114"/>
      <c r="B17" s="4112"/>
      <c r="C17" s="1070" t="s">
        <v>29</v>
      </c>
    </row>
    <row r="18" spans="1:3" ht="14.25">
      <c r="A18" s="4114"/>
      <c r="B18" s="4112"/>
      <c r="C18" s="1070" t="s">
        <v>30</v>
      </c>
    </row>
    <row r="19" spans="1:3" ht="14.25">
      <c r="A19" s="4114"/>
      <c r="B19" s="4110" t="s">
        <v>31</v>
      </c>
      <c r="C19" s="4111"/>
    </row>
    <row r="20" spans="1:3" ht="14.25">
      <c r="A20" s="1071" t="s">
        <v>32</v>
      </c>
      <c r="B20" s="1072"/>
      <c r="C20" s="1073"/>
    </row>
    <row r="21" spans="1:3" ht="14.25">
      <c r="A21" s="4113" t="s">
        <v>33</v>
      </c>
      <c r="B21" s="4110" t="s">
        <v>34</v>
      </c>
      <c r="C21" s="4111"/>
    </row>
    <row r="22" spans="1:3" ht="14.25">
      <c r="A22" s="4113"/>
      <c r="B22" s="4110" t="s">
        <v>35</v>
      </c>
      <c r="C22" s="4111"/>
    </row>
    <row r="23" spans="1:3" ht="14.25">
      <c r="A23" s="4113"/>
      <c r="B23" s="4110" t="s">
        <v>36</v>
      </c>
      <c r="C23" s="4111"/>
    </row>
    <row r="24" spans="1:3" ht="14.25">
      <c r="A24" s="4113"/>
      <c r="B24" s="4116" t="s">
        <v>37</v>
      </c>
      <c r="C24" s="1074" t="s">
        <v>775</v>
      </c>
    </row>
    <row r="25" spans="1:3" ht="14.25">
      <c r="A25" s="4113"/>
      <c r="B25" s="4117"/>
      <c r="C25" s="1074" t="s">
        <v>776</v>
      </c>
    </row>
    <row r="26" spans="1:3" ht="14.25">
      <c r="A26" s="4113"/>
      <c r="B26" s="4117"/>
      <c r="C26" s="1074" t="s">
        <v>777</v>
      </c>
    </row>
    <row r="27" spans="1:3" ht="14.25">
      <c r="A27" s="4113"/>
      <c r="B27" s="4117"/>
      <c r="C27" s="1074" t="s">
        <v>778</v>
      </c>
    </row>
    <row r="28" spans="1:3" ht="14.25">
      <c r="A28" s="4113"/>
      <c r="B28" s="4117"/>
      <c r="C28" s="1074" t="s">
        <v>779</v>
      </c>
    </row>
    <row r="29" spans="1:3" ht="14.25">
      <c r="A29" s="4113"/>
      <c r="B29" s="4117"/>
      <c r="C29" s="1074" t="s">
        <v>780</v>
      </c>
    </row>
    <row r="30" spans="1:3" ht="14.25">
      <c r="A30" s="4113"/>
      <c r="B30" s="4117"/>
      <c r="C30" s="1074" t="s">
        <v>781</v>
      </c>
    </row>
    <row r="31" spans="1:3" ht="14.25">
      <c r="A31" s="4113"/>
      <c r="B31" s="4117"/>
      <c r="C31" s="1074" t="s">
        <v>782</v>
      </c>
    </row>
    <row r="32" spans="1:3" ht="14.25">
      <c r="A32" s="4113"/>
      <c r="B32" s="4117"/>
      <c r="C32" s="1074" t="s">
        <v>1181</v>
      </c>
    </row>
    <row r="33" spans="1:3" ht="14.25">
      <c r="A33" s="4113"/>
      <c r="B33" s="4107" t="s">
        <v>1187</v>
      </c>
      <c r="C33" s="1074" t="s">
        <v>1182</v>
      </c>
    </row>
    <row r="34" spans="1:3" ht="14.25">
      <c r="A34" s="4113"/>
      <c r="B34" s="4108"/>
      <c r="C34" s="1079" t="s">
        <v>1183</v>
      </c>
    </row>
    <row r="35" spans="1:3" ht="14.25">
      <c r="A35" s="4113"/>
      <c r="B35" s="4108"/>
      <c r="C35" s="1080" t="s">
        <v>1184</v>
      </c>
    </row>
    <row r="36" spans="1:3" ht="14.25">
      <c r="A36" s="4113"/>
      <c r="B36" s="4108"/>
      <c r="C36" s="1080" t="s">
        <v>1185</v>
      </c>
    </row>
    <row r="37" spans="1:3" ht="14.25">
      <c r="A37" s="4113"/>
      <c r="B37" s="4109"/>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45482</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2451</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4121" t="s">
        <v>1448</v>
      </c>
      <c r="B18" s="4122"/>
      <c r="C18" s="4122"/>
      <c r="D18" s="4122"/>
      <c r="E18" s="4122"/>
      <c r="F18" s="4122"/>
      <c r="G18" s="2777"/>
    </row>
    <row r="19" spans="1:7" ht="20.25" customHeight="1">
      <c r="A19" s="4118" t="s">
        <v>1449</v>
      </c>
      <c r="B19" s="4118"/>
      <c r="C19" s="4119"/>
      <c r="D19" s="4120" t="s">
        <v>1450</v>
      </c>
      <c r="E19" s="4118"/>
      <c r="F19" s="4118"/>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2452</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2763</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2754</v>
      </c>
    </row>
    <row r="8" spans="1:23">
      <c r="A8" s="6" t="s">
        <v>75</v>
      </c>
      <c r="B8" s="6" t="s">
        <v>76</v>
      </c>
      <c r="C8" s="1368" t="s">
        <v>1244</v>
      </c>
      <c r="F8" s="7" t="s">
        <v>121</v>
      </c>
      <c r="H8" s="3337" t="s">
        <v>2748</v>
      </c>
      <c r="I8" s="7" t="s">
        <v>2755</v>
      </c>
    </row>
    <row r="9" spans="1:23">
      <c r="A9" s="6" t="s">
        <v>77</v>
      </c>
      <c r="B9" s="6" t="s">
        <v>122</v>
      </c>
      <c r="C9" s="1368" t="s">
        <v>1245</v>
      </c>
      <c r="F9" s="7" t="s">
        <v>78</v>
      </c>
      <c r="H9" s="7"/>
      <c r="I9" s="7" t="s">
        <v>2756</v>
      </c>
    </row>
    <row r="10" spans="1:23">
      <c r="A10" s="6" t="s">
        <v>79</v>
      </c>
      <c r="B10" s="6" t="s">
        <v>123</v>
      </c>
      <c r="C10" s="1368" t="s">
        <v>1246</v>
      </c>
      <c r="F10" s="3337" t="s">
        <v>2747</v>
      </c>
      <c r="I10" s="7" t="s">
        <v>2757</v>
      </c>
    </row>
    <row r="11" spans="1:23">
      <c r="A11" s="6" t="s">
        <v>80</v>
      </c>
      <c r="B11" s="6" t="s">
        <v>124</v>
      </c>
      <c r="C11" s="1368" t="s">
        <v>1247</v>
      </c>
      <c r="I11" s="7" t="s">
        <v>2758</v>
      </c>
    </row>
    <row r="12" spans="1:23">
      <c r="A12" s="6" t="s">
        <v>81</v>
      </c>
      <c r="B12" s="6" t="s">
        <v>125</v>
      </c>
      <c r="C12" s="1368" t="s">
        <v>1248</v>
      </c>
      <c r="I12" s="7" t="s">
        <v>2759</v>
      </c>
    </row>
    <row r="13" spans="1:23">
      <c r="A13" s="6" t="s">
        <v>82</v>
      </c>
      <c r="B13" s="6" t="s">
        <v>126</v>
      </c>
      <c r="C13" s="1368" t="s">
        <v>1249</v>
      </c>
      <c r="I13" s="7" t="s">
        <v>2760</v>
      </c>
    </row>
    <row r="14" spans="1:23">
      <c r="A14" s="6" t="s">
        <v>83</v>
      </c>
      <c r="B14" s="6" t="s">
        <v>127</v>
      </c>
      <c r="C14" s="1371" t="s">
        <v>1421</v>
      </c>
      <c r="I14" s="7" t="s">
        <v>2761</v>
      </c>
    </row>
    <row r="15" spans="1:23">
      <c r="A15" s="6" t="s">
        <v>84</v>
      </c>
      <c r="B15" s="6" t="s">
        <v>1214</v>
      </c>
      <c r="C15" s="1371"/>
      <c r="I15" s="7" t="s">
        <v>2762</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2443</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1504</v>
      </c>
      <c r="B52" s="1559" t="s">
        <v>1505</v>
      </c>
      <c r="C52" s="1557" t="s">
        <v>1506</v>
      </c>
      <c r="D52" s="1557" t="s">
        <v>1507</v>
      </c>
      <c r="E52" s="1558"/>
    </row>
    <row r="53" spans="1:5">
      <c r="A53" s="4123"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c r="D53" s="1558"/>
      <c r="E53" s="1558"/>
    </row>
    <row r="54" spans="1:5">
      <c r="A54" s="4123"/>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4123"/>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4123"/>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4123"/>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159</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剩余法-待开发</vt:lpstr>
      <vt:lpstr>剩余法-现房</vt:lpstr>
      <vt:lpstr>比较法-住宅、综合</vt:lpstr>
      <vt:lpstr>比较法-工业</vt:lpstr>
      <vt:lpstr>比较法案例（ppt）</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比较法-成本 (搭配划拨)</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成本案例</vt:lpstr>
      <vt:lpstr>存贷款利率</vt:lpstr>
      <vt:lpstr>'比较法-成本 (搭配划拨)'!Print_Area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 (搭配划拨)'!套工工程地质条件</vt:lpstr>
      <vt:lpstr>套工工程地质条件</vt:lpstr>
      <vt:lpstr>套工交易情况</vt:lpstr>
      <vt:lpstr>'比较法-成本 (搭配划拨)'!套工开发程度</vt:lpstr>
      <vt:lpstr>套工开发程度</vt:lpstr>
      <vt:lpstr>'比较法-成本 (搭配划拨)'!套工临街等级</vt:lpstr>
      <vt:lpstr>套工临街等级</vt:lpstr>
      <vt:lpstr>'比较法-成本 (搭配划拨)'!套工土地级别</vt:lpstr>
      <vt:lpstr>套工土地级别</vt:lpstr>
      <vt:lpstr>'比较法-成本 (搭配划拨)'!套工用途</vt:lpstr>
      <vt:lpstr>套工用途</vt:lpstr>
      <vt:lpstr>'比较法-成本 (搭配划拨)'!套工宗地形状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2024-07-09T07:50:17Z</dcterms:modified>
</cp:coreProperties>
</file>