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72" windowWidth="14808" windowHeight="13176"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 sheetId="15" r:id="rId24"/>
    <sheet name="收益法 (元)" sheetId="67" state="hidden"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收益法-车位"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租约" sheetId="79"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2">'收益法（汇总）'!$A$1:$F$13</definedName>
    <definedName name="_xlnm.Print_Area" localSheetId="38">'收益法-车位'!$A$1:$F$43,'收益法-车位'!$H$3:$M$29,'收益法-车位'!$A$46:$F$71,'收益法-车位'!$I$46:$N$65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24" i="1" l="1"/>
  <c r="Z25" i="1"/>
  <c r="Z22" i="1"/>
  <c r="Z23" i="1"/>
  <c r="Z21" i="1"/>
  <c r="X25" i="1"/>
  <c r="G35" i="6"/>
  <c r="D34" i="43"/>
  <c r="U2" i="43"/>
  <c r="Y7" i="1"/>
  <c r="M2" i="79"/>
  <c r="N2" i="79" s="1"/>
  <c r="E2" i="79"/>
  <c r="F16" i="79" s="1"/>
  <c r="H3" i="79"/>
  <c r="H5" i="79"/>
  <c r="H4" i="79"/>
  <c r="D2" i="79"/>
  <c r="D6" i="79"/>
  <c r="E3" i="79"/>
  <c r="I6" i="79"/>
  <c r="E8" i="79"/>
  <c r="H2" i="79" l="1"/>
  <c r="J2" i="79" s="1"/>
  <c r="AM7" i="1"/>
  <c r="AL7" i="1"/>
  <c r="AK7" i="1"/>
  <c r="AF7" i="1"/>
  <c r="G20" i="6" l="1"/>
  <c r="P74" i="80"/>
  <c r="Q72" i="80"/>
  <c r="P61" i="80"/>
  <c r="Q59" i="80"/>
  <c r="K59" i="80"/>
  <c r="F59" i="80"/>
  <c r="Q58" i="80"/>
  <c r="Q51" i="80"/>
  <c r="J51" i="80"/>
  <c r="J50" i="80"/>
  <c r="M47" i="80"/>
  <c r="D46" i="80"/>
  <c r="F34" i="80"/>
  <c r="F33" i="80"/>
  <c r="F61" i="80" s="1"/>
  <c r="F32" i="80"/>
  <c r="F60" i="80" s="1"/>
  <c r="F31" i="80"/>
  <c r="F28" i="80"/>
  <c r="C28" i="80"/>
  <c r="F23" i="80"/>
  <c r="D24" i="80" s="1"/>
  <c r="D23" i="80"/>
  <c r="D22" i="80"/>
  <c r="F21" i="80"/>
  <c r="M20" i="80"/>
  <c r="F20" i="80"/>
  <c r="M19" i="80"/>
  <c r="M18" i="80"/>
  <c r="F18" i="80"/>
  <c r="M17" i="80"/>
  <c r="F17" i="80"/>
  <c r="F15" i="80"/>
  <c r="G1" i="80"/>
  <c r="F19" i="6"/>
  <c r="L7" i="79"/>
  <c r="L26" i="79"/>
  <c r="L25" i="79"/>
  <c r="L24" i="79"/>
  <c r="L23" i="79"/>
  <c r="L22" i="79"/>
  <c r="L21" i="79"/>
  <c r="L20" i="79"/>
  <c r="L19" i="79"/>
  <c r="L18" i="79"/>
  <c r="L17" i="79"/>
  <c r="L16" i="79"/>
  <c r="K6" i="79"/>
  <c r="I13" i="79" s="1"/>
  <c r="I14" i="79" s="1"/>
  <c r="U27" i="1" l="1"/>
  <c r="U28" i="1" s="1"/>
  <c r="F62" i="80"/>
  <c r="K28" i="9"/>
  <c r="B26" i="31"/>
  <c r="B25" i="31"/>
  <c r="X23" i="1"/>
  <c r="X22" i="1"/>
  <c r="U3" i="43"/>
  <c r="D33" i="43"/>
  <c r="V23" i="1"/>
  <c r="V22" i="1"/>
  <c r="V21" i="1"/>
  <c r="V24" i="1" s="1"/>
  <c r="M23" i="80"/>
  <c r="F16" i="80"/>
  <c r="L47" i="80"/>
  <c r="M8" i="80"/>
  <c r="M9" i="80"/>
  <c r="M26" i="80"/>
  <c r="F8" i="80"/>
  <c r="J15" i="80"/>
  <c r="F36" i="80"/>
  <c r="M28" i="80"/>
  <c r="M6" i="80"/>
  <c r="F40" i="80"/>
  <c r="F38" i="80"/>
  <c r="F6" i="80"/>
  <c r="F9" i="80"/>
  <c r="F26" i="80"/>
  <c r="F37" i="80"/>
  <c r="M22" i="80"/>
  <c r="F42" i="80"/>
  <c r="M24" i="80"/>
  <c r="F13" i="80"/>
  <c r="F66" i="80" l="1"/>
  <c r="F65" i="80"/>
  <c r="N59" i="80"/>
  <c r="M59" i="80"/>
  <c r="L59" i="80"/>
  <c r="F51" i="80"/>
  <c r="C27" i="80"/>
  <c r="F68" i="80"/>
  <c r="F64" i="80"/>
  <c r="X24" i="1"/>
  <c r="D29" i="43"/>
  <c r="B24" i="31"/>
  <c r="B35" i="1"/>
  <c r="Y6" i="1"/>
  <c r="N7" i="1"/>
  <c r="B27" i="31"/>
  <c r="B22" i="3"/>
  <c r="B16" i="3"/>
  <c r="A3" i="3" s="1"/>
  <c r="B17" i="3"/>
  <c r="B7" i="4"/>
  <c r="D3" i="4"/>
  <c r="C76" i="80"/>
  <c r="Q71" i="80" l="1"/>
  <c r="Q61" i="80"/>
  <c r="Q74" i="80"/>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Y20" i="71" s="1"/>
  <c r="Z20" i="71" s="1"/>
  <c r="D22" i="71"/>
  <c r="AH20" i="71"/>
  <c r="AG20" i="71"/>
  <c r="AE20" i="71"/>
  <c r="AF20" i="71"/>
  <c r="AD20" i="71"/>
  <c r="AD21" i="71"/>
  <c r="AG21" i="71"/>
  <c r="AH21" i="71"/>
  <c r="AE21" i="71"/>
  <c r="AF21" i="71" s="1"/>
  <c r="N21" i="71"/>
  <c r="Q21" i="71"/>
  <c r="AB20" i="71"/>
  <c r="P21" i="71"/>
  <c r="O21" i="71"/>
  <c r="C21" i="71"/>
  <c r="Q22" i="71"/>
  <c r="F21" i="71"/>
  <c r="F20" i="71" s="1"/>
  <c r="F19" i="71" s="1"/>
  <c r="P22" i="71"/>
  <c r="O22" i="71"/>
  <c r="N22" i="71"/>
  <c r="B21" i="71"/>
  <c r="B20" i="71" s="1"/>
  <c r="B19" i="71"/>
  <c r="B18" i="71" s="1"/>
  <c r="B17" i="71"/>
  <c r="B16" i="71" s="1"/>
  <c r="B15" i="71" s="1"/>
  <c r="B14" i="71" s="1"/>
  <c r="A2" i="53"/>
  <c r="K59" i="67"/>
  <c r="K59" i="15"/>
  <c r="P74" i="15" s="1"/>
  <c r="D116" i="39"/>
  <c r="E116" i="39"/>
  <c r="F116" i="39"/>
  <c r="G116" i="39"/>
  <c r="H116" i="39"/>
  <c r="I116" i="39"/>
  <c r="J116" i="39"/>
  <c r="K116" i="39"/>
  <c r="L116" i="39"/>
  <c r="M116" i="39"/>
  <c r="C116" i="39"/>
  <c r="A21" i="62"/>
  <c r="B67" i="72" s="1"/>
  <c r="A20" i="62"/>
  <c r="B66" i="72" s="1"/>
  <c r="A22" i="51"/>
  <c r="B17" i="72" s="1"/>
  <c r="A21" i="51"/>
  <c r="A20" i="51"/>
  <c r="A14" i="62"/>
  <c r="A13" i="62"/>
  <c r="B59" i="72" s="1"/>
  <c r="A19" i="62"/>
  <c r="B65" i="72" s="1"/>
  <c r="A12" i="62"/>
  <c r="B58" i="72" s="1"/>
  <c r="A120" i="9"/>
  <c r="H2" i="52"/>
  <c r="A1" i="52"/>
  <c r="A3" i="53"/>
  <c r="Q23" i="71"/>
  <c r="P23" i="71"/>
  <c r="O23" i="71"/>
  <c r="N23" i="71"/>
  <c r="X19"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AB8" i="71" s="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2" i="43"/>
  <c r="AA9" i="43"/>
  <c r="AA12" i="43"/>
  <c r="Z9" i="43"/>
  <c r="Z12" i="43" s="1"/>
  <c r="AA10" i="43"/>
  <c r="AC10" i="43"/>
  <c r="AE10" i="43"/>
  <c r="AG10" i="43"/>
  <c r="AI10" i="43"/>
  <c r="Z10" i="43"/>
  <c r="AB10" i="43"/>
  <c r="AJ10" i="43"/>
  <c r="K49" i="9"/>
  <c r="E107" i="9"/>
  <c r="A122" i="9" s="1"/>
  <c r="A8" i="52" s="1"/>
  <c r="B54" i="72" s="1"/>
  <c r="E111" i="9"/>
  <c r="A126" i="9" s="1"/>
  <c r="E109" i="9"/>
  <c r="A124" i="9" s="1"/>
  <c r="B44" i="72"/>
  <c r="B42" i="72"/>
  <c r="B69" i="72"/>
  <c r="B68" i="72"/>
  <c r="B63" i="72"/>
  <c r="B62" i="72"/>
  <c r="B16" i="72"/>
  <c r="B60" i="72"/>
  <c r="B10" i="72"/>
  <c r="C53" i="10"/>
  <c r="B51" i="10"/>
  <c r="B19" i="72"/>
  <c r="A18" i="51"/>
  <c r="B13" i="72" s="1"/>
  <c r="B49" i="48"/>
  <c r="B5" i="72" s="1"/>
  <c r="I19" i="43"/>
  <c r="D86" i="71"/>
  <c r="F85" i="71"/>
  <c r="F84" i="71" s="1"/>
  <c r="F83" i="71" s="1"/>
  <c r="E85" i="71"/>
  <c r="E84" i="71"/>
  <c r="E83" i="71" s="1"/>
  <c r="C85" i="71"/>
  <c r="D85" i="71" s="1"/>
  <c r="B85" i="71"/>
  <c r="B84" i="71" s="1"/>
  <c r="B83" i="71" s="1"/>
  <c r="D82" i="71"/>
  <c r="F81" i="71"/>
  <c r="E81" i="71"/>
  <c r="E80" i="71"/>
  <c r="E79" i="71" s="1"/>
  <c r="C81" i="71"/>
  <c r="B81" i="71"/>
  <c r="B80" i="71" s="1"/>
  <c r="B79" i="71" s="1"/>
  <c r="F80" i="71"/>
  <c r="F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F72" i="71" s="1"/>
  <c r="F71" i="71" s="1"/>
  <c r="V73" i="71"/>
  <c r="E73" i="71"/>
  <c r="U73" i="71" s="1"/>
  <c r="C73" i="71"/>
  <c r="T73" i="71"/>
  <c r="B73" i="71"/>
  <c r="S73" i="71"/>
  <c r="Q72" i="71"/>
  <c r="P72" i="71"/>
  <c r="O72" i="71"/>
  <c r="N72" i="71"/>
  <c r="B72" i="71"/>
  <c r="B71" i="71"/>
  <c r="Q71" i="71"/>
  <c r="P71" i="71"/>
  <c r="O71" i="71"/>
  <c r="N71" i="71"/>
  <c r="Q70" i="71"/>
  <c r="P70" i="71"/>
  <c r="O70" i="71"/>
  <c r="N70" i="71"/>
  <c r="D70" i="71"/>
  <c r="Q69" i="71"/>
  <c r="P69" i="71"/>
  <c r="O69" i="71"/>
  <c r="N69" i="71"/>
  <c r="F69" i="71"/>
  <c r="V69" i="71" s="1"/>
  <c r="E69" i="7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O65" i="71" s="1"/>
  <c r="B65" i="71"/>
  <c r="S65" i="71" s="1"/>
  <c r="F64" i="71"/>
  <c r="F63" i="71" s="1"/>
  <c r="Q62" i="71" s="1"/>
  <c r="Q63" i="71"/>
  <c r="B64" i="71"/>
  <c r="D62" i="71"/>
  <c r="Q61" i="71"/>
  <c r="P61" i="71"/>
  <c r="O61" i="71"/>
  <c r="N61" i="71"/>
  <c r="Q60" i="71"/>
  <c r="P60" i="71"/>
  <c r="O60" i="71"/>
  <c r="N60" i="71"/>
  <c r="Q59" i="71"/>
  <c r="P59" i="71"/>
  <c r="O59" i="71"/>
  <c r="N59" i="71"/>
  <c r="Q58" i="71"/>
  <c r="F59" i="71"/>
  <c r="F60" i="71" s="1"/>
  <c r="F61" i="7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C53" i="71" s="1"/>
  <c r="D53" i="71" s="1"/>
  <c r="N50" i="71"/>
  <c r="B51" i="71" s="1"/>
  <c r="B52" i="7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D42" i="71"/>
  <c r="Q41" i="71"/>
  <c r="P41" i="71"/>
  <c r="O41" i="71"/>
  <c r="N41" i="71"/>
  <c r="Q40" i="71"/>
  <c r="P40" i="71"/>
  <c r="O40" i="71"/>
  <c r="N40" i="71"/>
  <c r="Q39" i="71"/>
  <c r="P39" i="71"/>
  <c r="O39" i="71"/>
  <c r="N39" i="71"/>
  <c r="F39" i="71"/>
  <c r="F40" i="71" s="1"/>
  <c r="F41" i="71" s="1"/>
  <c r="V41" i="71" s="1"/>
  <c r="Q38" i="71"/>
  <c r="P38" i="71"/>
  <c r="E39" i="71" s="1"/>
  <c r="E40" i="71" s="1"/>
  <c r="E41" i="71" s="1"/>
  <c r="U41" i="71" s="1"/>
  <c r="O38" i="71"/>
  <c r="C39" i="71"/>
  <c r="N38" i="71"/>
  <c r="B39" i="71"/>
  <c r="B40" i="71" s="1"/>
  <c r="B41" i="71"/>
  <c r="S41" i="71" s="1"/>
  <c r="D38" i="71"/>
  <c r="Q37" i="71"/>
  <c r="P37" i="71"/>
  <c r="O37" i="71"/>
  <c r="N37" i="71"/>
  <c r="Q36" i="71"/>
  <c r="P36" i="71"/>
  <c r="AA36" i="71" s="1"/>
  <c r="O36" i="71"/>
  <c r="Y36" i="71"/>
  <c r="Z36" i="71" s="1"/>
  <c r="N36" i="71"/>
  <c r="Q35" i="71"/>
  <c r="P35" i="71"/>
  <c r="O35" i="71"/>
  <c r="Y35" i="71"/>
  <c r="Z35" i="71" s="1"/>
  <c r="N35" i="71"/>
  <c r="X35" i="71" s="1"/>
  <c r="F35" i="71"/>
  <c r="F36" i="71"/>
  <c r="Q34" i="71"/>
  <c r="P34" i="71"/>
  <c r="E35" i="71" s="1"/>
  <c r="E36" i="71" s="1"/>
  <c r="E37" i="71" s="1"/>
  <c r="U37" i="71" s="1"/>
  <c r="O34" i="71"/>
  <c r="N34" i="71"/>
  <c r="D34" i="71"/>
  <c r="Q33" i="71"/>
  <c r="AB33" i="71" s="1"/>
  <c r="P33" i="71"/>
  <c r="O33" i="71"/>
  <c r="Y33" i="71"/>
  <c r="Z33" i="71" s="1"/>
  <c r="N33" i="71"/>
  <c r="Q32" i="71"/>
  <c r="AB32" i="71"/>
  <c r="P32" i="71"/>
  <c r="AA32" i="71" s="1"/>
  <c r="O32" i="71"/>
  <c r="Y32" i="71"/>
  <c r="Z32" i="71"/>
  <c r="N32" i="71"/>
  <c r="Q31" i="71"/>
  <c r="P31" i="71"/>
  <c r="O31" i="71"/>
  <c r="Y31" i="71" s="1"/>
  <c r="Z31" i="71" s="1"/>
  <c r="N31" i="71"/>
  <c r="Q30" i="71"/>
  <c r="P30" i="71"/>
  <c r="O30" i="71"/>
  <c r="N30" i="71"/>
  <c r="D30" i="71"/>
  <c r="Q29" i="71"/>
  <c r="P29" i="71"/>
  <c r="AA28" i="71" s="1"/>
  <c r="O29" i="71"/>
  <c r="Y29" i="71" s="1"/>
  <c r="Z29" i="71" s="1"/>
  <c r="N29" i="71"/>
  <c r="Q28" i="71"/>
  <c r="P28" i="71"/>
  <c r="O28" i="71"/>
  <c r="Y28" i="71" s="1"/>
  <c r="Z28" i="71" s="1"/>
  <c r="N28" i="71"/>
  <c r="Q27" i="71"/>
  <c r="AB27" i="71" s="1"/>
  <c r="P27" i="71"/>
  <c r="AA27" i="71" s="1"/>
  <c r="O27" i="71"/>
  <c r="N27" i="71"/>
  <c r="Q26" i="71"/>
  <c r="F27" i="71" s="1"/>
  <c r="F28" i="71" s="1"/>
  <c r="F29" i="71" s="1"/>
  <c r="V29" i="71" s="1"/>
  <c r="P26" i="71"/>
  <c r="O26" i="71"/>
  <c r="C27" i="71" s="1"/>
  <c r="N26" i="71"/>
  <c r="D26" i="71"/>
  <c r="O25" i="71"/>
  <c r="N25" i="71"/>
  <c r="B27" i="71"/>
  <c r="B28" i="71" s="1"/>
  <c r="B29" i="71"/>
  <c r="S29" i="71" s="1"/>
  <c r="B31" i="71"/>
  <c r="B32" i="71" s="1"/>
  <c r="B33" i="71" s="1"/>
  <c r="S33" i="71" s="1"/>
  <c r="AA34" i="71"/>
  <c r="N65" i="71"/>
  <c r="E31" i="71"/>
  <c r="E32" i="71" s="1"/>
  <c r="E33" i="71" s="1"/>
  <c r="U33" i="71" s="1"/>
  <c r="Y26" i="71"/>
  <c r="Z26" i="71" s="1"/>
  <c r="AA29" i="71"/>
  <c r="C31" i="71"/>
  <c r="D31" i="71" s="1"/>
  <c r="C32" i="71"/>
  <c r="C33" i="71" s="1"/>
  <c r="D33" i="71" s="1"/>
  <c r="Y30" i="71"/>
  <c r="Z30" i="71" s="1"/>
  <c r="AA33" i="71"/>
  <c r="C35" i="71"/>
  <c r="Y34" i="71"/>
  <c r="Z34" i="71"/>
  <c r="B25" i="71"/>
  <c r="S25" i="71" s="1"/>
  <c r="C36" i="71"/>
  <c r="C37" i="71" s="1"/>
  <c r="D35" i="71"/>
  <c r="C40" i="71"/>
  <c r="D39" i="71"/>
  <c r="D47" i="71"/>
  <c r="P25" i="71"/>
  <c r="AA25" i="71" s="1"/>
  <c r="E60" i="71"/>
  <c r="E61" i="71" s="1"/>
  <c r="U61" i="71"/>
  <c r="U65" i="71"/>
  <c r="E64" i="71"/>
  <c r="Q25" i="71"/>
  <c r="D51" i="71"/>
  <c r="D55" i="71"/>
  <c r="N64" i="71"/>
  <c r="B63" i="71"/>
  <c r="T65" i="71"/>
  <c r="D65" i="71"/>
  <c r="C64" i="71"/>
  <c r="C63" i="71" s="1"/>
  <c r="Q65" i="71"/>
  <c r="D69" i="71"/>
  <c r="C72" i="71"/>
  <c r="D72" i="71" s="1"/>
  <c r="E72" i="71"/>
  <c r="E71" i="71" s="1"/>
  <c r="D73" i="71"/>
  <c r="E76" i="71"/>
  <c r="E75" i="71" s="1"/>
  <c r="D77" i="71"/>
  <c r="C84" i="71"/>
  <c r="F25" i="71"/>
  <c r="F24" i="71" s="1"/>
  <c r="F23" i="71"/>
  <c r="AB23" i="71"/>
  <c r="O64" i="71"/>
  <c r="C71" i="71"/>
  <c r="D71" i="71" s="1"/>
  <c r="N62" i="71"/>
  <c r="N63" i="71"/>
  <c r="D52" i="71"/>
  <c r="P64" i="71"/>
  <c r="E63" i="71"/>
  <c r="P62" i="71" s="1"/>
  <c r="D32" i="71"/>
  <c r="P63" i="71"/>
  <c r="T33" i="71"/>
  <c r="T53"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AA25" i="40"/>
  <c r="Q29" i="39"/>
  <c r="Z29" i="39" s="1"/>
  <c r="D103" i="39"/>
  <c r="E103" i="39" s="1"/>
  <c r="F29" i="39"/>
  <c r="AA29" i="39" s="1"/>
  <c r="Q18" i="36"/>
  <c r="Z18" i="36"/>
  <c r="D66" i="36"/>
  <c r="E66" i="36"/>
  <c r="F66" i="36" s="1"/>
  <c r="G66" i="36" s="1"/>
  <c r="H18" i="36"/>
  <c r="AB18" i="36" s="1"/>
  <c r="F18" i="36"/>
  <c r="AA18" i="36" s="1"/>
  <c r="C18" i="36"/>
  <c r="Q18" i="35"/>
  <c r="Z18" i="35" s="1"/>
  <c r="D68" i="35"/>
  <c r="E68" i="35"/>
  <c r="F18" i="35"/>
  <c r="AA18" i="35" s="1"/>
  <c r="C18" i="35"/>
  <c r="Z21" i="37"/>
  <c r="Q21" i="37"/>
  <c r="D77" i="37"/>
  <c r="E77" i="37" s="1"/>
  <c r="F77" i="37" s="1"/>
  <c r="G77" i="37" s="1"/>
  <c r="C21" i="37"/>
  <c r="Z21" i="34"/>
  <c r="Q21" i="34"/>
  <c r="D84" i="34"/>
  <c r="E84" i="34"/>
  <c r="F84" i="34" s="1"/>
  <c r="F21" i="34"/>
  <c r="S21" i="34" s="1"/>
  <c r="AA21" i="34"/>
  <c r="C21" i="34"/>
  <c r="Q21" i="33"/>
  <c r="Z21" i="33" s="1"/>
  <c r="D83" i="33"/>
  <c r="E83" i="33" s="1"/>
  <c r="F83" i="33" s="1"/>
  <c r="G83" i="33" s="1"/>
  <c r="C21" i="33"/>
  <c r="C21" i="21"/>
  <c r="Q21" i="21"/>
  <c r="Z21" i="21" s="1"/>
  <c r="H19" i="21"/>
  <c r="D83" i="21"/>
  <c r="F21" i="21"/>
  <c r="AA21" i="21" s="1"/>
  <c r="D81" i="21"/>
  <c r="G20" i="20"/>
  <c r="B86" i="43"/>
  <c r="C22" i="20"/>
  <c r="B75" i="43" s="1"/>
  <c r="B55" i="43"/>
  <c r="C25" i="40"/>
  <c r="C29" i="39"/>
  <c r="S25" i="40"/>
  <c r="S29" i="39"/>
  <c r="S18" i="36"/>
  <c r="U18" i="36"/>
  <c r="F94" i="40"/>
  <c r="H25" i="40"/>
  <c r="G94" i="40"/>
  <c r="J25" i="40"/>
  <c r="F103" i="39"/>
  <c r="H29" i="39"/>
  <c r="U29" i="39" s="1"/>
  <c r="G103" i="39"/>
  <c r="J29" i="39"/>
  <c r="J18" i="36"/>
  <c r="AC18" i="36" s="1"/>
  <c r="F68" i="35"/>
  <c r="H18" i="35"/>
  <c r="U18" i="35" s="1"/>
  <c r="S18" i="35"/>
  <c r="G68" i="35"/>
  <c r="J18" i="35"/>
  <c r="AC18" i="35" s="1"/>
  <c r="H21" i="37"/>
  <c r="F21" i="37"/>
  <c r="S21" i="37" s="1"/>
  <c r="H21" i="34"/>
  <c r="AB21" i="34" s="1"/>
  <c r="H21" i="33"/>
  <c r="U21" i="33" s="1"/>
  <c r="F21" i="33"/>
  <c r="S21" i="33" s="1"/>
  <c r="E83" i="21"/>
  <c r="S21" i="21"/>
  <c r="H1" i="69"/>
  <c r="AC25" i="40"/>
  <c r="W25" i="40"/>
  <c r="AB25" i="40"/>
  <c r="U25" i="40"/>
  <c r="AB29" i="39"/>
  <c r="AC29" i="39"/>
  <c r="W29" i="39"/>
  <c r="AB21" i="37"/>
  <c r="U21" i="37"/>
  <c r="AA21" i="37"/>
  <c r="U21" i="34"/>
  <c r="AB21" i="33"/>
  <c r="AA21" i="33"/>
  <c r="AB18" i="35"/>
  <c r="W18" i="35"/>
  <c r="J21" i="37"/>
  <c r="W21" i="37" s="1"/>
  <c r="G84" i="34"/>
  <c r="J21" i="34"/>
  <c r="W21" i="34" s="1"/>
  <c r="J21" i="33"/>
  <c r="F83" i="21"/>
  <c r="H21" i="21"/>
  <c r="AB21" i="21" s="1"/>
  <c r="F38" i="69"/>
  <c r="E37" i="69"/>
  <c r="F36" i="69"/>
  <c r="F35" i="69"/>
  <c r="F21" i="69"/>
  <c r="F20" i="69"/>
  <c r="F39" i="69" s="1"/>
  <c r="E10" i="69"/>
  <c r="E9" i="69"/>
  <c r="C7" i="69"/>
  <c r="AC21" i="37"/>
  <c r="AC21" i="34"/>
  <c r="AC21" i="33"/>
  <c r="W21" i="33"/>
  <c r="G83" i="21"/>
  <c r="J21" i="21"/>
  <c r="W21" i="21" s="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0" i="43" s="1"/>
  <c r="F99" i="43"/>
  <c r="F108" i="43"/>
  <c r="G99" i="43"/>
  <c r="G108" i="43"/>
  <c r="H99" i="43"/>
  <c r="H108" i="43" s="1"/>
  <c r="I99" i="43"/>
  <c r="I108" i="43"/>
  <c r="J99" i="43"/>
  <c r="J108" i="43" s="1"/>
  <c r="K99" i="43"/>
  <c r="K108" i="43"/>
  <c r="L99" i="43"/>
  <c r="M99" i="43"/>
  <c r="M108" i="43"/>
  <c r="C99" i="43"/>
  <c r="C108" i="43" s="1"/>
  <c r="N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s="1"/>
  <c r="M86" i="43"/>
  <c r="N86" i="43"/>
  <c r="K86" i="43"/>
  <c r="J86" i="43"/>
  <c r="M85" i="43"/>
  <c r="N85" i="43"/>
  <c r="K85" i="43"/>
  <c r="J85" i="43" s="1"/>
  <c r="M84" i="43"/>
  <c r="N84" i="43"/>
  <c r="K84" i="43"/>
  <c r="J84" i="43"/>
  <c r="M83" i="43"/>
  <c r="N83" i="43" s="1"/>
  <c r="K83" i="43"/>
  <c r="J83" i="43" s="1"/>
  <c r="M82" i="43"/>
  <c r="N82" i="43"/>
  <c r="K82" i="43"/>
  <c r="J82" i="43"/>
  <c r="M81" i="43"/>
  <c r="N81" i="43"/>
  <c r="K81" i="43"/>
  <c r="J81" i="43" s="1"/>
  <c r="M78" i="43"/>
  <c r="N78" i="43"/>
  <c r="K78" i="43"/>
  <c r="J78" i="43"/>
  <c r="D78" i="43"/>
  <c r="M77" i="43"/>
  <c r="N77" i="43"/>
  <c r="K77" i="43"/>
  <c r="J77" i="43" s="1"/>
  <c r="D77" i="43"/>
  <c r="M76" i="43"/>
  <c r="N76" i="43"/>
  <c r="K76" i="43"/>
  <c r="J76" i="43"/>
  <c r="D76" i="43"/>
  <c r="M75" i="43"/>
  <c r="N75" i="43" s="1"/>
  <c r="K75" i="43"/>
  <c r="J75" i="43" s="1"/>
  <c r="D75" i="43"/>
  <c r="M74" i="43"/>
  <c r="N74" i="43" s="1"/>
  <c r="K74" i="43"/>
  <c r="J74" i="43" s="1"/>
  <c r="D74" i="43"/>
  <c r="M73" i="43"/>
  <c r="N73" i="43" s="1"/>
  <c r="K73" i="43"/>
  <c r="J73" i="43" s="1"/>
  <c r="D73" i="43"/>
  <c r="M72" i="43"/>
  <c r="N72" i="43" s="1"/>
  <c r="K72" i="43"/>
  <c r="J72" i="43"/>
  <c r="D72" i="43"/>
  <c r="M71" i="43"/>
  <c r="N71" i="43" s="1"/>
  <c r="K71" i="43"/>
  <c r="J71" i="43"/>
  <c r="D71" i="43"/>
  <c r="M70" i="43"/>
  <c r="N70" i="43"/>
  <c r="K70" i="43"/>
  <c r="J70" i="43"/>
  <c r="D70" i="43"/>
  <c r="M67" i="43"/>
  <c r="N67" i="43"/>
  <c r="K67" i="43"/>
  <c r="J67" i="43" s="1"/>
  <c r="M66" i="43"/>
  <c r="N66" i="43" s="1"/>
  <c r="K66" i="43"/>
  <c r="J66" i="43"/>
  <c r="M65" i="43"/>
  <c r="N65" i="43" s="1"/>
  <c r="K65" i="43"/>
  <c r="J65" i="43" s="1"/>
  <c r="M64" i="43"/>
  <c r="N64" i="43" s="1"/>
  <c r="K64" i="43"/>
  <c r="J64" i="43" s="1"/>
  <c r="M63" i="43"/>
  <c r="N63" i="43"/>
  <c r="K63" i="43"/>
  <c r="J63" i="43" s="1"/>
  <c r="M62" i="43"/>
  <c r="N62" i="43" s="1"/>
  <c r="K62" i="43"/>
  <c r="J62" i="43"/>
  <c r="M61" i="43"/>
  <c r="N61" i="43" s="1"/>
  <c r="K61" i="43"/>
  <c r="J61" i="43" s="1"/>
  <c r="M60" i="43"/>
  <c r="N60" i="43" s="1"/>
  <c r="K60" i="43"/>
  <c r="J60" i="43" s="1"/>
  <c r="M59" i="43"/>
  <c r="N59" i="43"/>
  <c r="K59" i="43"/>
  <c r="J59" i="43" s="1"/>
  <c r="M56" i="43"/>
  <c r="N56" i="43" s="1"/>
  <c r="K56" i="43"/>
  <c r="J56" i="43" s="1"/>
  <c r="D56" i="43"/>
  <c r="M55" i="43"/>
  <c r="N55" i="43" s="1"/>
  <c r="K55" i="43"/>
  <c r="J55" i="43" s="1"/>
  <c r="D55" i="43" s="1"/>
  <c r="M54" i="43"/>
  <c r="N54" i="43" s="1"/>
  <c r="K54" i="43"/>
  <c r="M53" i="43"/>
  <c r="N53" i="43" s="1"/>
  <c r="K53" i="43"/>
  <c r="D53" i="43" s="1"/>
  <c r="M52" i="43"/>
  <c r="N52" i="43" s="1"/>
  <c r="K52" i="43"/>
  <c r="M51" i="43"/>
  <c r="N51" i="43"/>
  <c r="K51" i="43"/>
  <c r="D51" i="43" s="1"/>
  <c r="M50" i="43"/>
  <c r="N50" i="43" s="1"/>
  <c r="K50" i="43"/>
  <c r="M49" i="43"/>
  <c r="N49" i="43" s="1"/>
  <c r="K49" i="43"/>
  <c r="D49" i="43" s="1"/>
  <c r="J49" i="43"/>
  <c r="M48" i="43"/>
  <c r="N48" i="43" s="1"/>
  <c r="K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B13" i="1" s="1"/>
  <c r="A6" i="1"/>
  <c r="B11" i="1"/>
  <c r="E11" i="1" s="1"/>
  <c r="K10"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Z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G86" i="3" s="1"/>
  <c r="H86" i="3"/>
  <c r="BT85" i="3"/>
  <c r="BS85" i="3"/>
  <c r="BR85" i="3"/>
  <c r="BQ85" i="3"/>
  <c r="BP85" i="3"/>
  <c r="BO85" i="3"/>
  <c r="BL85" i="3" s="1"/>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A65" i="3" s="1"/>
  <c r="AZ65" i="3" s="1"/>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A62" i="3" s="1"/>
  <c r="AZ62" i="3" s="1"/>
  <c r="BD62" i="3"/>
  <c r="BC62" i="3"/>
  <c r="BB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A57" i="3" s="1"/>
  <c r="BD57" i="3"/>
  <c r="BC57" i="3"/>
  <c r="BB57" i="3"/>
  <c r="AX57" i="3"/>
  <c r="AW57" i="3"/>
  <c r="AV57" i="3"/>
  <c r="AC57" i="3"/>
  <c r="H57" i="3"/>
  <c r="G57" i="3"/>
  <c r="BT56" i="3"/>
  <c r="BS56" i="3"/>
  <c r="BR56" i="3"/>
  <c r="BQ56" i="3"/>
  <c r="BP56" i="3"/>
  <c r="BL56" i="3" s="1"/>
  <c r="BO56" i="3"/>
  <c r="BN56" i="3"/>
  <c r="BM56" i="3"/>
  <c r="BK56" i="3"/>
  <c r="BJ56" i="3"/>
  <c r="BI56" i="3"/>
  <c r="BH56" i="3"/>
  <c r="BA56" i="3" s="1"/>
  <c r="BG56" i="3"/>
  <c r="BF56" i="3"/>
  <c r="BE56" i="3"/>
  <c r="BD56" i="3"/>
  <c r="BC56" i="3"/>
  <c r="BB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L53" i="3" s="1"/>
  <c r="BP53" i="3"/>
  <c r="BO53" i="3"/>
  <c r="BN53" i="3"/>
  <c r="BM53" i="3"/>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L48" i="3" s="1"/>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F46" i="3"/>
  <c r="BE46" i="3"/>
  <c r="BA46" i="3" s="1"/>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A41" i="3" s="1"/>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L37" i="3" s="1"/>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L29" i="3" s="1"/>
  <c r="BO29" i="3"/>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L27" i="3" s="1"/>
  <c r="BR27" i="3"/>
  <c r="BQ27" i="3"/>
  <c r="BP27" i="3"/>
  <c r="BO27" i="3"/>
  <c r="BN27" i="3"/>
  <c r="BM27" i="3"/>
  <c r="BK27" i="3"/>
  <c r="BJ27" i="3"/>
  <c r="BI27" i="3"/>
  <c r="BH27" i="3"/>
  <c r="BG27" i="3"/>
  <c r="BF27" i="3"/>
  <c r="BE27" i="3"/>
  <c r="BD27" i="3"/>
  <c r="BC27" i="3"/>
  <c r="BB27" i="3"/>
  <c r="AX27" i="3"/>
  <c r="AW27" i="3"/>
  <c r="AV27" i="3"/>
  <c r="AC27" i="3"/>
  <c r="H27" i="3"/>
  <c r="G27" i="3" s="1"/>
  <c r="BT26" i="3"/>
  <c r="BS26" i="3"/>
  <c r="BL26" i="3" s="1"/>
  <c r="BR26" i="3"/>
  <c r="BQ26" i="3"/>
  <c r="BP26" i="3"/>
  <c r="BO26" i="3"/>
  <c r="BN26" i="3"/>
  <c r="BM26" i="3"/>
  <c r="BK26" i="3"/>
  <c r="BJ26" i="3"/>
  <c r="BI26" i="3"/>
  <c r="BH26" i="3"/>
  <c r="BG26" i="3"/>
  <c r="BF26" i="3"/>
  <c r="BE26" i="3"/>
  <c r="BD26" i="3"/>
  <c r="BC26" i="3"/>
  <c r="BB26" i="3"/>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L199" i="3" s="1"/>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L185" i="3" s="1"/>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A184" i="3" s="1"/>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A162" i="3" s="1"/>
  <c r="BD162" i="3"/>
  <c r="BC162" i="3"/>
  <c r="BB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G142" i="3" s="1"/>
  <c r="H142" i="3"/>
  <c r="BT141" i="3"/>
  <c r="BS141" i="3"/>
  <c r="BR141" i="3"/>
  <c r="BQ141" i="3"/>
  <c r="BP141" i="3"/>
  <c r="BO141" i="3"/>
  <c r="BL141" i="3" s="1"/>
  <c r="BN141" i="3"/>
  <c r="BM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A140" i="3" s="1"/>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G122" i="3" s="1"/>
  <c r="H122" i="3"/>
  <c r="BT121" i="3"/>
  <c r="BS121" i="3"/>
  <c r="BR121" i="3"/>
  <c r="BQ121" i="3"/>
  <c r="BP121" i="3"/>
  <c r="BO121" i="3"/>
  <c r="BL121" i="3" s="1"/>
  <c r="BN121" i="3"/>
  <c r="BM121" i="3"/>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A120" i="3" s="1"/>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L118" i="3" s="1"/>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L113" i="3" s="1"/>
  <c r="BR113" i="3"/>
  <c r="BQ113" i="3"/>
  <c r="BP113" i="3"/>
  <c r="BO113" i="3"/>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A301" i="3" s="1"/>
  <c r="BG301" i="3"/>
  <c r="BF301" i="3"/>
  <c r="BE301" i="3"/>
  <c r="BD301" i="3"/>
  <c r="BC301" i="3"/>
  <c r="BB301" i="3"/>
  <c r="AX301" i="3"/>
  <c r="AW301" i="3"/>
  <c r="AV301" i="3"/>
  <c r="AC301" i="3"/>
  <c r="G301" i="3" s="1"/>
  <c r="H301" i="3"/>
  <c r="BT300" i="3"/>
  <c r="BS300" i="3"/>
  <c r="BL300" i="3" s="1"/>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L298" i="3" s="1"/>
  <c r="BO298" i="3"/>
  <c r="BN298" i="3"/>
  <c r="BM298" i="3"/>
  <c r="BK298" i="3"/>
  <c r="BJ298" i="3"/>
  <c r="BI298" i="3"/>
  <c r="BH298" i="3"/>
  <c r="BA298" i="3" s="1"/>
  <c r="AZ298" i="3" s="1"/>
  <c r="BG298" i="3"/>
  <c r="BF298" i="3"/>
  <c r="BE298" i="3"/>
  <c r="BD298" i="3"/>
  <c r="BC298" i="3"/>
  <c r="BB298" i="3"/>
  <c r="AX298" i="3"/>
  <c r="AW298" i="3"/>
  <c r="AV298" i="3"/>
  <c r="AC298" i="3"/>
  <c r="G298" i="3" s="1"/>
  <c r="H298" i="3"/>
  <c r="BT297" i="3"/>
  <c r="BS297" i="3"/>
  <c r="BL297" i="3" s="1"/>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L289" i="3" s="1"/>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c r="BT285" i="3"/>
  <c r="BS285" i="3"/>
  <c r="BR285" i="3"/>
  <c r="BQ285" i="3"/>
  <c r="BP285" i="3"/>
  <c r="BL285" i="3" s="1"/>
  <c r="BO285" i="3"/>
  <c r="BN285" i="3"/>
  <c r="BM285" i="3"/>
  <c r="BK285" i="3"/>
  <c r="BJ285" i="3"/>
  <c r="BI285" i="3"/>
  <c r="BH285" i="3"/>
  <c r="BA285" i="3" s="1"/>
  <c r="AZ285" i="3" s="1"/>
  <c r="BG285" i="3"/>
  <c r="BF285" i="3"/>
  <c r="BE285" i="3"/>
  <c r="BD285" i="3"/>
  <c r="BC285" i="3"/>
  <c r="BB285" i="3"/>
  <c r="AX285" i="3"/>
  <c r="AW285" i="3"/>
  <c r="AV285" i="3"/>
  <c r="AC285" i="3"/>
  <c r="G285" i="3" s="1"/>
  <c r="H285" i="3"/>
  <c r="BT284" i="3"/>
  <c r="BS284" i="3"/>
  <c r="BL284" i="3" s="1"/>
  <c r="BR284" i="3"/>
  <c r="BQ284" i="3"/>
  <c r="BP284" i="3"/>
  <c r="BO284" i="3"/>
  <c r="BN284" i="3"/>
  <c r="BM284" i="3"/>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L282" i="3" s="1"/>
  <c r="AZ282" i="3" s="1"/>
  <c r="BO282" i="3"/>
  <c r="BN282" i="3"/>
  <c r="BM282" i="3"/>
  <c r="BK282" i="3"/>
  <c r="BJ282" i="3"/>
  <c r="BI282" i="3"/>
  <c r="BH282" i="3"/>
  <c r="BA282" i="3" s="1"/>
  <c r="BG282" i="3"/>
  <c r="BF282" i="3"/>
  <c r="BE282" i="3"/>
  <c r="BD282" i="3"/>
  <c r="BC282" i="3"/>
  <c r="BB282" i="3"/>
  <c r="AX282" i="3"/>
  <c r="AW282" i="3"/>
  <c r="AV282" i="3"/>
  <c r="AC282" i="3"/>
  <c r="G282" i="3" s="1"/>
  <c r="H282" i="3"/>
  <c r="BT281" i="3"/>
  <c r="BS281" i="3"/>
  <c r="BL281" i="3" s="1"/>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A280" i="3" s="1"/>
  <c r="BD280" i="3"/>
  <c r="BC280" i="3"/>
  <c r="BB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G277" i="3" s="1"/>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L268" i="3" s="1"/>
  <c r="BR268" i="3"/>
  <c r="BQ268" i="3"/>
  <c r="BP268" i="3"/>
  <c r="BO268" i="3"/>
  <c r="BN268" i="3"/>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A266" i="3" s="1"/>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G264" i="3" s="1"/>
  <c r="H264" i="3"/>
  <c r="BT263" i="3"/>
  <c r="BS263" i="3"/>
  <c r="BR263" i="3"/>
  <c r="BQ263" i="3"/>
  <c r="BP263" i="3"/>
  <c r="BO263" i="3"/>
  <c r="BL263" i="3" s="1"/>
  <c r="BN263" i="3"/>
  <c r="BM263" i="3"/>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L258" i="3" s="1"/>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A256" i="3" s="1"/>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A249" i="3" s="1"/>
  <c r="BG249" i="3"/>
  <c r="BF249" i="3"/>
  <c r="BE249" i="3"/>
  <c r="BD249" i="3"/>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A239" i="3" s="1"/>
  <c r="AZ239" i="3" s="1"/>
  <c r="BG239" i="3"/>
  <c r="BF239" i="3"/>
  <c r="BE239" i="3"/>
  <c r="BD239" i="3"/>
  <c r="BC239" i="3"/>
  <c r="BB239" i="3"/>
  <c r="AX239" i="3"/>
  <c r="AW239" i="3"/>
  <c r="AV239" i="3"/>
  <c r="AC239" i="3"/>
  <c r="H239" i="3"/>
  <c r="G239" i="3"/>
  <c r="BT238" i="3"/>
  <c r="BS238" i="3"/>
  <c r="BL238" i="3" s="1"/>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A232" i="3" s="1"/>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A229" i="3" s="1"/>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A218" i="3" s="1"/>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L210" i="3" s="1"/>
  <c r="BO210" i="3"/>
  <c r="BN210" i="3"/>
  <c r="BM210" i="3"/>
  <c r="BK210" i="3"/>
  <c r="BJ210" i="3"/>
  <c r="BI210" i="3"/>
  <c r="BH210" i="3"/>
  <c r="BA210" i="3" s="1"/>
  <c r="BG210" i="3"/>
  <c r="BF210" i="3"/>
  <c r="BE210" i="3"/>
  <c r="BD210" i="3"/>
  <c r="BC210" i="3"/>
  <c r="BB210" i="3"/>
  <c r="AX210" i="3"/>
  <c r="AW210" i="3"/>
  <c r="AV210" i="3"/>
  <c r="AC210" i="3"/>
  <c r="H210" i="3"/>
  <c r="G210" i="3"/>
  <c r="BT209" i="3"/>
  <c r="BS209" i="3"/>
  <c r="BL209" i="3" s="1"/>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A395" i="3" s="1"/>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A490" i="3" s="1"/>
  <c r="BF490" i="3"/>
  <c r="BE490" i="3"/>
  <c r="BD490" i="3"/>
  <c r="BC490" i="3"/>
  <c r="BB490" i="3"/>
  <c r="AX490" i="3"/>
  <c r="AW490" i="3"/>
  <c r="AV490" i="3"/>
  <c r="AC490" i="3"/>
  <c r="G490" i="3" s="1"/>
  <c r="H490" i="3"/>
  <c r="BT489" i="3"/>
  <c r="BS489" i="3"/>
  <c r="BR489" i="3"/>
  <c r="BQ489" i="3"/>
  <c r="BL489" i="3" s="1"/>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G482" i="3" s="1"/>
  <c r="H482" i="3"/>
  <c r="BT481" i="3"/>
  <c r="BS481" i="3"/>
  <c r="BR481" i="3"/>
  <c r="BQ481" i="3"/>
  <c r="BL481" i="3" s="1"/>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A471" i="3" s="1"/>
  <c r="BE471" i="3"/>
  <c r="BD471" i="3"/>
  <c r="BC471" i="3"/>
  <c r="BB471" i="3"/>
  <c r="AX471" i="3"/>
  <c r="AW471" i="3"/>
  <c r="AV471" i="3"/>
  <c r="AC471" i="3"/>
  <c r="G471" i="3" s="1"/>
  <c r="H471" i="3"/>
  <c r="BT470" i="3"/>
  <c r="BS470" i="3"/>
  <c r="BR470" i="3"/>
  <c r="BQ470" i="3"/>
  <c r="BL470" i="3" s="1"/>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A460" i="3" s="1"/>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L456" i="3" s="1"/>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A454" i="3" s="1"/>
  <c r="BG454" i="3"/>
  <c r="BF454" i="3"/>
  <c r="BE454" i="3"/>
  <c r="BD454" i="3"/>
  <c r="BC454" i="3"/>
  <c r="BB454" i="3"/>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L450" i="3" s="1"/>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A446" i="3" s="1"/>
  <c r="BG446" i="3"/>
  <c r="BF446" i="3"/>
  <c r="BE446" i="3"/>
  <c r="BD446" i="3"/>
  <c r="BC446" i="3"/>
  <c r="BB446" i="3"/>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L434" i="3" s="1"/>
  <c r="BP434" i="3"/>
  <c r="BO434" i="3"/>
  <c r="BN434" i="3"/>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A429" i="3" s="1"/>
  <c r="BG429" i="3"/>
  <c r="BF429" i="3"/>
  <c r="BE429" i="3"/>
  <c r="BD429" i="3"/>
  <c r="BC429" i="3"/>
  <c r="BB429" i="3"/>
  <c r="AX429" i="3"/>
  <c r="AW429" i="3"/>
  <c r="AV429" i="3"/>
  <c r="AC429" i="3"/>
  <c r="H429" i="3"/>
  <c r="G429" i="3"/>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A426" i="3" s="1"/>
  <c r="BG426" i="3"/>
  <c r="BF426" i="3"/>
  <c r="BE426" i="3"/>
  <c r="BD426" i="3"/>
  <c r="BC426" i="3"/>
  <c r="BB426" i="3"/>
  <c r="AX426" i="3"/>
  <c r="AW426" i="3"/>
  <c r="AV426" i="3"/>
  <c r="AC426" i="3"/>
  <c r="H426" i="3"/>
  <c r="G426" i="3"/>
  <c r="BT425" i="3"/>
  <c r="BS425" i="3"/>
  <c r="BL425" i="3" s="1"/>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L420" i="3" s="1"/>
  <c r="BP420" i="3"/>
  <c r="BO420" i="3"/>
  <c r="BN420" i="3"/>
  <c r="BM420" i="3"/>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L417" i="3" s="1"/>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A415" i="3" s="1"/>
  <c r="BG415" i="3"/>
  <c r="BF415" i="3"/>
  <c r="BE415" i="3"/>
  <c r="BD415" i="3"/>
  <c r="BC415" i="3"/>
  <c r="BB415" i="3"/>
  <c r="AX415" i="3"/>
  <c r="AW415" i="3"/>
  <c r="AV415" i="3"/>
  <c r="AC415" i="3"/>
  <c r="H415" i="3"/>
  <c r="G415" i="3"/>
  <c r="BT414" i="3"/>
  <c r="BS414" i="3"/>
  <c r="BL414" i="3" s="1"/>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A404" i="3" s="1"/>
  <c r="BE404" i="3"/>
  <c r="BD404" i="3"/>
  <c r="BC404" i="3"/>
  <c r="BB404" i="3"/>
  <c r="AX404" i="3"/>
  <c r="AW404" i="3"/>
  <c r="AV404" i="3"/>
  <c r="AC404" i="3"/>
  <c r="G404" i="3" s="1"/>
  <c r="H404" i="3"/>
  <c r="BT403" i="3"/>
  <c r="BS403" i="3"/>
  <c r="BR403" i="3"/>
  <c r="BL403" i="3" s="1"/>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A401" i="3" s="1"/>
  <c r="BG401" i="3"/>
  <c r="BF401" i="3"/>
  <c r="BE401" i="3"/>
  <c r="BD401" i="3"/>
  <c r="BC401" i="3"/>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c r="H63" i="39"/>
  <c r="I63" i="39" s="1"/>
  <c r="C63" i="39" s="1"/>
  <c r="H62" i="39"/>
  <c r="I62" i="39"/>
  <c r="C62" i="39" s="1"/>
  <c r="C145" i="21"/>
  <c r="K139" i="21"/>
  <c r="J142" i="21"/>
  <c r="J140" i="21"/>
  <c r="M87" i="21"/>
  <c r="L87" i="21"/>
  <c r="K87" i="21"/>
  <c r="J87" i="21"/>
  <c r="I87" i="21"/>
  <c r="H87" i="21"/>
  <c r="G87" i="21"/>
  <c r="F87" i="21"/>
  <c r="E87" i="21"/>
  <c r="D87" i="21"/>
  <c r="G2" i="43"/>
  <c r="X7" i="43" s="1"/>
  <c r="R28" i="31"/>
  <c r="R29" i="31"/>
  <c r="R30" i="31"/>
  <c r="S30" i="31" s="1"/>
  <c r="R31" i="31"/>
  <c r="S31" i="31" s="1"/>
  <c r="R32" i="31"/>
  <c r="R33" i="31"/>
  <c r="S33" i="31" s="1"/>
  <c r="R34" i="31"/>
  <c r="R35" i="31"/>
  <c r="R36" i="31"/>
  <c r="R37" i="31"/>
  <c r="R38" i="31"/>
  <c r="S38" i="31" s="1"/>
  <c r="R39" i="31"/>
  <c r="S39" i="31" s="1"/>
  <c r="R40" i="31"/>
  <c r="R41" i="31"/>
  <c r="S41" i="31" s="1"/>
  <c r="R42" i="31"/>
  <c r="R43" i="31"/>
  <c r="R44" i="31"/>
  <c r="R45" i="31"/>
  <c r="R46" i="31"/>
  <c r="S46" i="31" s="1"/>
  <c r="R47" i="31"/>
  <c r="S47" i="31" s="1"/>
  <c r="R48" i="31"/>
  <c r="R49" i="31"/>
  <c r="S49" i="31" s="1"/>
  <c r="R50" i="31"/>
  <c r="R51" i="31"/>
  <c r="R52" i="31"/>
  <c r="R53" i="31"/>
  <c r="R54" i="31"/>
  <c r="S54" i="31" s="1"/>
  <c r="R55" i="31"/>
  <c r="S55" i="31" s="1"/>
  <c r="R56" i="31"/>
  <c r="R57" i="31"/>
  <c r="S57" i="31" s="1"/>
  <c r="R58" i="31"/>
  <c r="R59" i="31"/>
  <c r="R60" i="31"/>
  <c r="R61" i="31"/>
  <c r="R62" i="31"/>
  <c r="S62" i="31" s="1"/>
  <c r="R63" i="31"/>
  <c r="S63" i="31" s="1"/>
  <c r="R64" i="31"/>
  <c r="R65" i="31"/>
  <c r="S65" i="31" s="1"/>
  <c r="R66" i="31"/>
  <c r="R67" i="31"/>
  <c r="R68" i="31"/>
  <c r="R69" i="31"/>
  <c r="R70" i="31"/>
  <c r="S70" i="31" s="1"/>
  <c r="R71" i="31"/>
  <c r="S71" i="31" s="1"/>
  <c r="R72" i="31"/>
  <c r="R73" i="31"/>
  <c r="S73" i="31" s="1"/>
  <c r="R74" i="31"/>
  <c r="R75" i="31"/>
  <c r="R76" i="31"/>
  <c r="R77" i="31"/>
  <c r="R78" i="31"/>
  <c r="S78" i="31" s="1"/>
  <c r="R79" i="31"/>
  <c r="S79" i="31" s="1"/>
  <c r="R80" i="31"/>
  <c r="R81" i="31"/>
  <c r="S81" i="31" s="1"/>
  <c r="R82" i="31"/>
  <c r="R83" i="31"/>
  <c r="R84" i="31"/>
  <c r="R85" i="31"/>
  <c r="R86" i="31"/>
  <c r="S86" i="31" s="1"/>
  <c r="R87" i="31"/>
  <c r="S87" i="31" s="1"/>
  <c r="R88" i="31"/>
  <c r="R89" i="31"/>
  <c r="S89" i="31" s="1"/>
  <c r="R90" i="31"/>
  <c r="R91" i="31"/>
  <c r="R92" i="31"/>
  <c r="R93" i="31"/>
  <c r="R94" i="31"/>
  <c r="S94" i="31" s="1"/>
  <c r="R95" i="31"/>
  <c r="S95" i="31" s="1"/>
  <c r="R96" i="31"/>
  <c r="R97" i="31"/>
  <c r="R98" i="31"/>
  <c r="R99" i="31"/>
  <c r="R100" i="31"/>
  <c r="R101" i="31"/>
  <c r="R102" i="31"/>
  <c r="S102" i="31" s="1"/>
  <c r="R103" i="31"/>
  <c r="S103" i="31" s="1"/>
  <c r="R104" i="31"/>
  <c r="R105" i="31"/>
  <c r="S105" i="31" s="1"/>
  <c r="R106" i="31"/>
  <c r="R107" i="31"/>
  <c r="R108" i="31"/>
  <c r="R109" i="31"/>
  <c r="R110" i="31"/>
  <c r="S110" i="31" s="1"/>
  <c r="R111" i="31"/>
  <c r="S111" i="31" s="1"/>
  <c r="R112" i="31"/>
  <c r="R113" i="31"/>
  <c r="R114" i="31"/>
  <c r="R115" i="31"/>
  <c r="R116" i="31"/>
  <c r="R117" i="31"/>
  <c r="R118" i="31"/>
  <c r="S118" i="31" s="1"/>
  <c r="R119" i="31"/>
  <c r="S119" i="31" s="1"/>
  <c r="R120" i="31"/>
  <c r="R121" i="31"/>
  <c r="S121" i="31" s="1"/>
  <c r="R122" i="31"/>
  <c r="R123" i="31"/>
  <c r="R124" i="31"/>
  <c r="R125" i="31"/>
  <c r="R126" i="31"/>
  <c r="S126" i="31" s="1"/>
  <c r="R127" i="31"/>
  <c r="S127" i="31" s="1"/>
  <c r="R128" i="31"/>
  <c r="R129" i="31"/>
  <c r="R130" i="31"/>
  <c r="R131" i="31"/>
  <c r="R132" i="31"/>
  <c r="R133" i="31"/>
  <c r="R134" i="31"/>
  <c r="S134" i="31" s="1"/>
  <c r="R135" i="31"/>
  <c r="S135" i="31" s="1"/>
  <c r="R136" i="31"/>
  <c r="R137" i="31"/>
  <c r="S137" i="31" s="1"/>
  <c r="R138" i="31"/>
  <c r="R139" i="31"/>
  <c r="R140" i="31"/>
  <c r="R141" i="31"/>
  <c r="R142" i="31"/>
  <c r="S142" i="31" s="1"/>
  <c r="R143" i="31"/>
  <c r="S143" i="31" s="1"/>
  <c r="R144" i="31"/>
  <c r="R145" i="31"/>
  <c r="S145" i="31" s="1"/>
  <c r="R146" i="31"/>
  <c r="R147" i="31"/>
  <c r="R148" i="31"/>
  <c r="R149" i="31"/>
  <c r="R150" i="31"/>
  <c r="S150" i="31" s="1"/>
  <c r="R151" i="31"/>
  <c r="S151" i="31" s="1"/>
  <c r="R152" i="31"/>
  <c r="R153" i="31"/>
  <c r="R154" i="31"/>
  <c r="R155" i="31"/>
  <c r="R156" i="31"/>
  <c r="R157" i="31"/>
  <c r="R158" i="31"/>
  <c r="S158" i="31" s="1"/>
  <c r="R159" i="31"/>
  <c r="S159" i="31" s="1"/>
  <c r="R160" i="31"/>
  <c r="R161" i="31"/>
  <c r="R162" i="31"/>
  <c r="R163" i="31"/>
  <c r="R164" i="31"/>
  <c r="R165" i="31"/>
  <c r="R166" i="31"/>
  <c r="S166" i="31" s="1"/>
  <c r="R167" i="31"/>
  <c r="S167" i="31" s="1"/>
  <c r="R168" i="31"/>
  <c r="R169" i="31"/>
  <c r="S169" i="31" s="1"/>
  <c r="R170" i="31"/>
  <c r="R171" i="31"/>
  <c r="R172" i="31"/>
  <c r="R173" i="31"/>
  <c r="R174" i="31"/>
  <c r="S174" i="31" s="1"/>
  <c r="R175" i="31"/>
  <c r="S175" i="31" s="1"/>
  <c r="R176" i="31"/>
  <c r="R177" i="31"/>
  <c r="S177" i="31" s="1"/>
  <c r="R178" i="31"/>
  <c r="R179" i="31"/>
  <c r="R180" i="31"/>
  <c r="R181" i="31"/>
  <c r="R182" i="31"/>
  <c r="S182" i="31" s="1"/>
  <c r="R183" i="31"/>
  <c r="S183" i="31" s="1"/>
  <c r="R184" i="31"/>
  <c r="R185" i="31"/>
  <c r="S185" i="31" s="1"/>
  <c r="R186" i="31"/>
  <c r="R187" i="31"/>
  <c r="R188" i="31"/>
  <c r="R189" i="31"/>
  <c r="R190" i="31"/>
  <c r="S190" i="31" s="1"/>
  <c r="R191" i="31"/>
  <c r="S191" i="31" s="1"/>
  <c r="R192" i="31"/>
  <c r="R193" i="31"/>
  <c r="S193" i="31" s="1"/>
  <c r="R194" i="31"/>
  <c r="R195" i="31"/>
  <c r="R196" i="31"/>
  <c r="R197" i="31"/>
  <c r="R198" i="31"/>
  <c r="S198" i="31" s="1"/>
  <c r="R199" i="31"/>
  <c r="S199" i="31" s="1"/>
  <c r="R200" i="31"/>
  <c r="R201" i="31"/>
  <c r="S201" i="31" s="1"/>
  <c r="R202" i="31"/>
  <c r="R203" i="31"/>
  <c r="R204" i="31"/>
  <c r="R205" i="31"/>
  <c r="R206" i="31"/>
  <c r="S206" i="31" s="1"/>
  <c r="R207" i="31"/>
  <c r="S207" i="31" s="1"/>
  <c r="R208" i="31"/>
  <c r="R209" i="31"/>
  <c r="S209" i="31" s="1"/>
  <c r="R210" i="31"/>
  <c r="R211" i="31"/>
  <c r="R212" i="31"/>
  <c r="R213" i="31"/>
  <c r="R214" i="31"/>
  <c r="S214" i="31" s="1"/>
  <c r="R215" i="31"/>
  <c r="S215" i="31" s="1"/>
  <c r="R216" i="31"/>
  <c r="R217" i="31"/>
  <c r="S217" i="31" s="1"/>
  <c r="R218" i="31"/>
  <c r="R219" i="31"/>
  <c r="R220" i="31"/>
  <c r="R221" i="31"/>
  <c r="R222" i="31"/>
  <c r="S222" i="31" s="1"/>
  <c r="R223" i="31"/>
  <c r="S223" i="31" s="1"/>
  <c r="R224" i="31"/>
  <c r="R225" i="31"/>
  <c r="S225" i="31" s="1"/>
  <c r="R226" i="31"/>
  <c r="R227" i="31"/>
  <c r="R228" i="31"/>
  <c r="R229" i="31"/>
  <c r="R230" i="31"/>
  <c r="S230" i="31" s="1"/>
  <c r="R231" i="31"/>
  <c r="S231" i="31" s="1"/>
  <c r="R232" i="31"/>
  <c r="R233" i="31"/>
  <c r="S233" i="31" s="1"/>
  <c r="R234" i="31"/>
  <c r="R235" i="31"/>
  <c r="R236" i="31"/>
  <c r="R237" i="31"/>
  <c r="R238" i="31"/>
  <c r="S238" i="31" s="1"/>
  <c r="R239" i="31"/>
  <c r="S239" i="31" s="1"/>
  <c r="R240" i="31"/>
  <c r="R241" i="31"/>
  <c r="R242" i="31"/>
  <c r="R243" i="31"/>
  <c r="R244" i="31"/>
  <c r="R245" i="31"/>
  <c r="R246" i="31"/>
  <c r="S246" i="31" s="1"/>
  <c r="R247" i="31"/>
  <c r="S247" i="31" s="1"/>
  <c r="R248" i="31"/>
  <c r="R249" i="31"/>
  <c r="R250" i="3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R427" i="31"/>
  <c r="R428" i="31"/>
  <c r="R429" i="31"/>
  <c r="R430" i="31"/>
  <c r="S430" i="31" s="1"/>
  <c r="R431" i="31"/>
  <c r="S431" i="31" s="1"/>
  <c r="R432" i="31"/>
  <c r="R433" i="31"/>
  <c r="S433" i="31" s="1"/>
  <c r="R434" i="31"/>
  <c r="R435" i="31"/>
  <c r="R436" i="31"/>
  <c r="R437" i="31"/>
  <c r="R438" i="31"/>
  <c r="S438" i="31" s="1"/>
  <c r="R439" i="31"/>
  <c r="S439" i="31" s="1"/>
  <c r="R440" i="31"/>
  <c r="R441" i="31"/>
  <c r="S441" i="31" s="1"/>
  <c r="R442" i="31"/>
  <c r="R443" i="31"/>
  <c r="R444" i="31"/>
  <c r="R445" i="31"/>
  <c r="R446" i="31"/>
  <c r="S446" i="31" s="1"/>
  <c r="R447" i="31"/>
  <c r="S447" i="31" s="1"/>
  <c r="R448" i="31"/>
  <c r="R449" i="31"/>
  <c r="S449" i="31" s="1"/>
  <c r="R450" i="31"/>
  <c r="R451" i="31"/>
  <c r="R452" i="31"/>
  <c r="R453" i="31"/>
  <c r="S453" i="31" s="1"/>
  <c r="R454" i="31"/>
  <c r="S454" i="31" s="1"/>
  <c r="R455" i="31"/>
  <c r="S455" i="31" s="1"/>
  <c r="R456" i="31"/>
  <c r="R457" i="31"/>
  <c r="S457" i="31" s="1"/>
  <c r="R458" i="31"/>
  <c r="R459" i="31"/>
  <c r="R460" i="31"/>
  <c r="R461" i="31"/>
  <c r="R462" i="31"/>
  <c r="S462" i="31" s="1"/>
  <c r="R463" i="31"/>
  <c r="S463" i="31" s="1"/>
  <c r="R464" i="31"/>
  <c r="R465" i="31"/>
  <c r="R466" i="31"/>
  <c r="R467" i="31"/>
  <c r="R468" i="31"/>
  <c r="S468" i="31" s="1"/>
  <c r="R469" i="31"/>
  <c r="S469" i="31" s="1"/>
  <c r="R470" i="31"/>
  <c r="S470" i="31" s="1"/>
  <c r="R471" i="31"/>
  <c r="S471" i="31" s="1"/>
  <c r="R472" i="31"/>
  <c r="S472" i="31" s="1"/>
  <c r="R473" i="31"/>
  <c r="S473" i="31" s="1"/>
  <c r="R474" i="31"/>
  <c r="S474" i="31" s="1"/>
  <c r="R475" i="31"/>
  <c r="R476" i="31"/>
  <c r="S476" i="31" s="1"/>
  <c r="R477" i="31"/>
  <c r="R478" i="31"/>
  <c r="S478" i="31" s="1"/>
  <c r="R479" i="31"/>
  <c r="S479" i="31" s="1"/>
  <c r="R480" i="31"/>
  <c r="S480" i="31" s="1"/>
  <c r="R481" i="31"/>
  <c r="S481" i="31" s="1"/>
  <c r="R482" i="31"/>
  <c r="S482" i="31" s="1"/>
  <c r="R483" i="31"/>
  <c r="R484" i="31"/>
  <c r="S484" i="31" s="1"/>
  <c r="R485" i="3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R499" i="31"/>
  <c r="R500" i="31"/>
  <c r="S500" i="31" s="1"/>
  <c r="R501" i="31"/>
  <c r="R502" i="31"/>
  <c r="S502" i="31" s="1"/>
  <c r="R503" i="31"/>
  <c r="S503" i="31" s="1"/>
  <c r="R504" i="31"/>
  <c r="S504" i="31" s="1"/>
  <c r="R505" i="31"/>
  <c r="S505" i="31" s="1"/>
  <c r="R506" i="31"/>
  <c r="R507" i="31"/>
  <c r="R508" i="31"/>
  <c r="S508" i="31" s="1"/>
  <c r="R509" i="31"/>
  <c r="R510" i="31"/>
  <c r="S510" i="31" s="1"/>
  <c r="R511" i="31"/>
  <c r="S511" i="31" s="1"/>
  <c r="R512" i="31"/>
  <c r="S512" i="31" s="1"/>
  <c r="R513" i="31"/>
  <c r="S513" i="31" s="1"/>
  <c r="R514" i="31"/>
  <c r="S514" i="31" s="1"/>
  <c r="R515" i="31"/>
  <c r="R516" i="31"/>
  <c r="S516" i="31" s="1"/>
  <c r="R517" i="31"/>
  <c r="R518" i="31"/>
  <c r="S518" i="31" s="1"/>
  <c r="R519" i="31"/>
  <c r="S519" i="31" s="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7" i="1" s="1"/>
  <c r="E15" i="4"/>
  <c r="D15" i="4"/>
  <c r="L21" i="4"/>
  <c r="F19" i="4"/>
  <c r="F2" i="52"/>
  <c r="B50" i="72" s="1"/>
  <c r="D2" i="52"/>
  <c r="B46" i="72"/>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L16" i="3" s="1"/>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62" i="31"/>
  <c r="S354" i="31"/>
  <c r="S348" i="31"/>
  <c r="S346" i="31"/>
  <c r="S344" i="31"/>
  <c r="S340" i="31"/>
  <c r="S338" i="31"/>
  <c r="S336" i="31"/>
  <c r="S332" i="31"/>
  <c r="S330" i="31"/>
  <c r="S328" i="31"/>
  <c r="S324"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3" i="31"/>
  <c r="S252" i="31"/>
  <c r="S251" i="31"/>
  <c r="S250" i="31"/>
  <c r="S249" i="31"/>
  <c r="S248" i="31"/>
  <c r="S245" i="31"/>
  <c r="S244" i="31"/>
  <c r="S243" i="31"/>
  <c r="S242" i="31"/>
  <c r="S241" i="31"/>
  <c r="S240" i="31"/>
  <c r="S237" i="31"/>
  <c r="S236" i="31"/>
  <c r="S235" i="31"/>
  <c r="S234" i="31"/>
  <c r="S232" i="31"/>
  <c r="S229" i="31"/>
  <c r="S228" i="31"/>
  <c r="S227" i="31"/>
  <c r="S226" i="31"/>
  <c r="S224" i="31"/>
  <c r="S429" i="31"/>
  <c r="S428" i="31"/>
  <c r="S427" i="31"/>
  <c r="S426" i="31"/>
  <c r="S425" i="31"/>
  <c r="S221" i="31"/>
  <c r="S220" i="31"/>
  <c r="S219" i="31"/>
  <c r="S218" i="31"/>
  <c r="S216" i="31"/>
  <c r="S213" i="31"/>
  <c r="S212" i="31"/>
  <c r="S211" i="31"/>
  <c r="S210" i="31"/>
  <c r="S208" i="31"/>
  <c r="S205" i="31"/>
  <c r="S204" i="31"/>
  <c r="S203" i="31"/>
  <c r="S202" i="31"/>
  <c r="S200" i="31"/>
  <c r="S197" i="31"/>
  <c r="S196" i="31"/>
  <c r="S195" i="31"/>
  <c r="S194" i="31"/>
  <c r="S192" i="31"/>
  <c r="S189" i="31"/>
  <c r="S188" i="31"/>
  <c r="S187" i="31"/>
  <c r="S186" i="31"/>
  <c r="S184" i="31"/>
  <c r="S181" i="31"/>
  <c r="S180" i="31"/>
  <c r="S179" i="31"/>
  <c r="S178" i="31"/>
  <c r="S176" i="31"/>
  <c r="S173" i="31"/>
  <c r="S172" i="31"/>
  <c r="S171" i="31"/>
  <c r="S170" i="31"/>
  <c r="S168" i="31"/>
  <c r="S165" i="31"/>
  <c r="S164" i="31"/>
  <c r="S163" i="31"/>
  <c r="S162" i="31"/>
  <c r="S161" i="31"/>
  <c r="S160" i="31"/>
  <c r="S157" i="31"/>
  <c r="S156" i="31"/>
  <c r="S155" i="31"/>
  <c r="S154" i="31"/>
  <c r="S153" i="31"/>
  <c r="S152" i="31"/>
  <c r="S149" i="31"/>
  <c r="S148" i="31"/>
  <c r="S147" i="31"/>
  <c r="S146" i="31"/>
  <c r="S144" i="31"/>
  <c r="S141" i="31"/>
  <c r="S140" i="31"/>
  <c r="S139" i="31"/>
  <c r="S138" i="31"/>
  <c r="S136" i="31"/>
  <c r="S133" i="31"/>
  <c r="S132" i="31"/>
  <c r="S131" i="31"/>
  <c r="S130" i="31"/>
  <c r="S129" i="31"/>
  <c r="S128" i="31"/>
  <c r="S125" i="31"/>
  <c r="S124" i="31"/>
  <c r="S123" i="31"/>
  <c r="S491" i="31"/>
  <c r="S485" i="31"/>
  <c r="S483" i="31"/>
  <c r="S477" i="31"/>
  <c r="S475" i="31"/>
  <c r="S444" i="31"/>
  <c r="S443" i="31"/>
  <c r="S442" i="31"/>
  <c r="S440" i="31"/>
  <c r="S437" i="31"/>
  <c r="S436" i="31"/>
  <c r="S435" i="31"/>
  <c r="S434" i="31"/>
  <c r="S432" i="31"/>
  <c r="S122" i="31"/>
  <c r="S120" i="31"/>
  <c r="S117" i="31"/>
  <c r="S116" i="31"/>
  <c r="S115" i="31"/>
  <c r="S114" i="31"/>
  <c r="S113" i="31"/>
  <c r="S112" i="31"/>
  <c r="S506" i="31"/>
  <c r="S498" i="31"/>
  <c r="S467" i="31"/>
  <c r="S466" i="31"/>
  <c r="S465" i="31"/>
  <c r="S464" i="31"/>
  <c r="S461" i="31"/>
  <c r="S460" i="31"/>
  <c r="S459" i="31"/>
  <c r="S458" i="31"/>
  <c r="S456" i="31"/>
  <c r="S452" i="31"/>
  <c r="S451" i="31"/>
  <c r="S450" i="31"/>
  <c r="S53" i="31"/>
  <c r="S52" i="31"/>
  <c r="S51" i="31"/>
  <c r="S50" i="31"/>
  <c r="S48" i="31"/>
  <c r="S45" i="31"/>
  <c r="S44" i="31"/>
  <c r="S43" i="31"/>
  <c r="S42" i="31"/>
  <c r="S40" i="31"/>
  <c r="S37" i="31"/>
  <c r="S36" i="31"/>
  <c r="S35" i="31"/>
  <c r="S34" i="31"/>
  <c r="S32" i="31"/>
  <c r="S77" i="31"/>
  <c r="S76" i="31"/>
  <c r="S75" i="31"/>
  <c r="S74" i="31"/>
  <c r="S72" i="31"/>
  <c r="S69" i="31"/>
  <c r="S68" i="31"/>
  <c r="S67" i="31"/>
  <c r="S66" i="31"/>
  <c r="S64" i="31"/>
  <c r="S61" i="31"/>
  <c r="S60" i="31"/>
  <c r="S59" i="31"/>
  <c r="S58" i="31"/>
  <c r="S56" i="31"/>
  <c r="S97" i="31"/>
  <c r="S96" i="31"/>
  <c r="S93" i="31"/>
  <c r="S92" i="31"/>
  <c r="S91" i="31"/>
  <c r="S90" i="31"/>
  <c r="S88" i="31"/>
  <c r="S85" i="31"/>
  <c r="S84" i="31"/>
  <c r="S83" i="31"/>
  <c r="S82" i="31"/>
  <c r="S80" i="31"/>
  <c r="S29" i="31"/>
  <c r="S98" i="31"/>
  <c r="S99" i="31"/>
  <c r="S100" i="31"/>
  <c r="S101" i="31"/>
  <c r="S104" i="31"/>
  <c r="S106" i="31"/>
  <c r="S107" i="31"/>
  <c r="S108" i="31"/>
  <c r="S109" i="31"/>
  <c r="S445" i="31"/>
  <c r="S448" i="31"/>
  <c r="S507" i="31"/>
  <c r="S509" i="31"/>
  <c r="I48" i="37"/>
  <c r="J48" i="37"/>
  <c r="G48" i="37"/>
  <c r="H48" i="37" s="1"/>
  <c r="E48" i="37"/>
  <c r="F48" i="37"/>
  <c r="I55" i="34"/>
  <c r="J55" i="34"/>
  <c r="G55" i="34"/>
  <c r="H55" i="34"/>
  <c r="E55" i="34"/>
  <c r="F55" i="34" s="1"/>
  <c r="I48" i="40"/>
  <c r="J48" i="40"/>
  <c r="G48" i="40"/>
  <c r="H48" i="40"/>
  <c r="E48" i="40"/>
  <c r="F48" i="40"/>
  <c r="I53" i="39"/>
  <c r="J53" i="39" s="1"/>
  <c r="G53" i="39"/>
  <c r="H53" i="39"/>
  <c r="E53" i="39"/>
  <c r="F53" i="39"/>
  <c r="I42" i="36"/>
  <c r="J42" i="36"/>
  <c r="G42" i="36"/>
  <c r="H42" i="36" s="1"/>
  <c r="E42" i="36"/>
  <c r="F42" i="36"/>
  <c r="I44" i="35"/>
  <c r="J44" i="35"/>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L550" i="3" s="1"/>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A563" i="3" s="1"/>
  <c r="BJ563" i="3"/>
  <c r="BK563" i="3"/>
  <c r="BM563" i="3"/>
  <c r="BN563" i="3"/>
  <c r="BO563" i="3"/>
  <c r="BP563" i="3"/>
  <c r="BR563" i="3"/>
  <c r="BS563" i="3"/>
  <c r="BL563" i="3" s="1"/>
  <c r="BT563" i="3"/>
  <c r="H564" i="3"/>
  <c r="AC564" i="3"/>
  <c r="BB564" i="3"/>
  <c r="BC564" i="3"/>
  <c r="BD564" i="3"/>
  <c r="BE564" i="3"/>
  <c r="BF564" i="3"/>
  <c r="BA564" i="3" s="1"/>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A566" i="3" s="1"/>
  <c r="BI566" i="3"/>
  <c r="BJ566" i="3"/>
  <c r="BK566" i="3"/>
  <c r="BM566" i="3"/>
  <c r="BN566" i="3"/>
  <c r="BO566" i="3"/>
  <c r="BP566" i="3"/>
  <c r="BQ566" i="3"/>
  <c r="BL566" i="3" s="1"/>
  <c r="BR566" i="3"/>
  <c r="BS566" i="3"/>
  <c r="BT566" i="3"/>
  <c r="H567" i="3"/>
  <c r="AC567" i="3"/>
  <c r="BB567" i="3"/>
  <c r="BC567" i="3"/>
  <c r="BD567" i="3"/>
  <c r="BA567" i="3" s="1"/>
  <c r="AZ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A568" i="3" s="1"/>
  <c r="BJ568" i="3"/>
  <c r="BK568" i="3"/>
  <c r="BM568" i="3"/>
  <c r="BN568" i="3"/>
  <c r="BO568" i="3"/>
  <c r="BP568" i="3"/>
  <c r="BQ568" i="3"/>
  <c r="BR568" i="3"/>
  <c r="BL568" i="3" s="1"/>
  <c r="BS568" i="3"/>
  <c r="BT568" i="3"/>
  <c r="H569" i="3"/>
  <c r="AC569" i="3"/>
  <c r="BB569" i="3"/>
  <c r="BC569" i="3"/>
  <c r="BD569" i="3"/>
  <c r="BE569" i="3"/>
  <c r="BA569" i="3" s="1"/>
  <c r="AZ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L570" i="3" s="1"/>
  <c r="BS570" i="3"/>
  <c r="BT570" i="3"/>
  <c r="H571" i="3"/>
  <c r="AC571" i="3"/>
  <c r="BB571" i="3"/>
  <c r="BC571" i="3"/>
  <c r="BD571" i="3"/>
  <c r="BE571" i="3"/>
  <c r="BA571" i="3" s="1"/>
  <c r="BF571" i="3"/>
  <c r="BG571" i="3"/>
  <c r="BH571" i="3"/>
  <c r="BI571" i="3"/>
  <c r="BJ571" i="3"/>
  <c r="BK571" i="3"/>
  <c r="BM571" i="3"/>
  <c r="BN571" i="3"/>
  <c r="BL571" i="3" s="1"/>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K5" i="3" s="1"/>
  <c r="BM574" i="3"/>
  <c r="BN574" i="3"/>
  <c r="BO574" i="3"/>
  <c r="BP574" i="3"/>
  <c r="BQ574" i="3"/>
  <c r="BR574" i="3"/>
  <c r="BS574" i="3"/>
  <c r="BT574" i="3"/>
  <c r="BL574" i="3" s="1"/>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A576" i="3" s="1"/>
  <c r="AZ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A577" i="3" s="1"/>
  <c r="BI577" i="3"/>
  <c r="BJ577" i="3"/>
  <c r="BK577" i="3"/>
  <c r="BM577" i="3"/>
  <c r="BN577" i="3"/>
  <c r="BO577" i="3"/>
  <c r="BP577" i="3"/>
  <c r="BR577" i="3"/>
  <c r="BL577" i="3" s="1"/>
  <c r="BS577" i="3"/>
  <c r="BT577" i="3"/>
  <c r="H578" i="3"/>
  <c r="AC578" i="3"/>
  <c r="G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A579" i="3" s="1"/>
  <c r="BI579" i="3"/>
  <c r="BJ579" i="3"/>
  <c r="BK579" i="3"/>
  <c r="BM579" i="3"/>
  <c r="BN579" i="3"/>
  <c r="BO579" i="3"/>
  <c r="BP579" i="3"/>
  <c r="BR579" i="3"/>
  <c r="BL579" i="3" s="1"/>
  <c r="BS579" i="3"/>
  <c r="BT579" i="3"/>
  <c r="H580" i="3"/>
  <c r="AC580" i="3"/>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A581" i="3" s="1"/>
  <c r="BJ581" i="3"/>
  <c r="BK581" i="3"/>
  <c r="BM581" i="3"/>
  <c r="BN581" i="3"/>
  <c r="BO581" i="3"/>
  <c r="BP581" i="3"/>
  <c r="BR581" i="3"/>
  <c r="BS581" i="3"/>
  <c r="BT581" i="3"/>
  <c r="H582" i="3"/>
  <c r="G582" i="3" s="1"/>
  <c r="AC582" i="3"/>
  <c r="BB582" i="3"/>
  <c r="BC582" i="3"/>
  <c r="BD582" i="3"/>
  <c r="BE582" i="3"/>
  <c r="BF582" i="3"/>
  <c r="BA582" i="3" s="1"/>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BL583" i="3" s="1"/>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10" i="39"/>
  <c r="B112" i="39"/>
  <c r="J30" i="36"/>
  <c r="H30" i="36"/>
  <c r="F30" i="36"/>
  <c r="AA30" i="36" s="1"/>
  <c r="C26" i="35"/>
  <c r="J31" i="35"/>
  <c r="W31" i="35" s="1"/>
  <c r="H31" i="35"/>
  <c r="AB31" i="35" s="1"/>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c r="F112" i="34" s="1"/>
  <c r="G112" i="34" s="1"/>
  <c r="H112" i="34" s="1"/>
  <c r="I112" i="34" s="1"/>
  <c r="J112" i="34" s="1"/>
  <c r="K112" i="34" s="1"/>
  <c r="L112" i="34" s="1"/>
  <c r="M112" i="34" s="1"/>
  <c r="F40" i="33"/>
  <c r="J41" i="33"/>
  <c r="D113" i="33"/>
  <c r="F37" i="33"/>
  <c r="D111" i="33"/>
  <c r="E111" i="33" s="1"/>
  <c r="F111" i="33"/>
  <c r="S515" i="31"/>
  <c r="S517" i="31"/>
  <c r="S521" i="31"/>
  <c r="S523"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c r="Q39" i="40"/>
  <c r="Z39" i="40"/>
  <c r="Q38" i="40"/>
  <c r="Z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c r="L124" i="39" s="1"/>
  <c r="M124" i="39" s="1"/>
  <c r="D120" i="39"/>
  <c r="E120" i="39"/>
  <c r="F120" i="39" s="1"/>
  <c r="G120" i="39"/>
  <c r="H120" i="39" s="1"/>
  <c r="I120" i="39"/>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s="1"/>
  <c r="Q34" i="39"/>
  <c r="Z34" i="39"/>
  <c r="Q32" i="39"/>
  <c r="Z32" i="39"/>
  <c r="Q31" i="39"/>
  <c r="Z31" i="39"/>
  <c r="Q27" i="39"/>
  <c r="Z27" i="39" s="1"/>
  <c r="Q25" i="39"/>
  <c r="Z25" i="39"/>
  <c r="Q23" i="39"/>
  <c r="Z23" i="39"/>
  <c r="Q21" i="39"/>
  <c r="Z21" i="39"/>
  <c r="Q19" i="39"/>
  <c r="Z19" i="39" s="1"/>
  <c r="Q17" i="39"/>
  <c r="Z17" i="39"/>
  <c r="Q15" i="39"/>
  <c r="Z15" i="39"/>
  <c r="Q14" i="39"/>
  <c r="Z14" i="39"/>
  <c r="Q13" i="39"/>
  <c r="Z13" i="39" s="1"/>
  <c r="Q12" i="39"/>
  <c r="Z12" i="39"/>
  <c r="Q11" i="39"/>
  <c r="Z11" i="39"/>
  <c r="Q10" i="39"/>
  <c r="Z10" i="39"/>
  <c r="Q9" i="39"/>
  <c r="Z9" i="39" s="1"/>
  <c r="J9" i="39"/>
  <c r="AC9" i="39"/>
  <c r="H9" i="39"/>
  <c r="AB9" i="39"/>
  <c r="F9" i="39"/>
  <c r="AA9" i="39"/>
  <c r="J8" i="39"/>
  <c r="AC8" i="39" s="1"/>
  <c r="H8" i="39"/>
  <c r="U8" i="39"/>
  <c r="F8" i="39"/>
  <c r="AA8" i="39"/>
  <c r="C20" i="36"/>
  <c r="C20" i="35"/>
  <c r="C16" i="36"/>
  <c r="C16" i="35"/>
  <c r="C14" i="36"/>
  <c r="C14" i="35"/>
  <c r="B80" i="37"/>
  <c r="F25" i="37" s="1"/>
  <c r="AA25" i="37" s="1"/>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S8" i="37" s="1"/>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s="1"/>
  <c r="F83" i="36" s="1"/>
  <c r="G83" i="36" s="1"/>
  <c r="H83" i="36" s="1"/>
  <c r="I83" i="36" s="1"/>
  <c r="J83" i="36" s="1"/>
  <c r="K83" i="36"/>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c r="F68" i="36" s="1"/>
  <c r="G68" i="36" s="1"/>
  <c r="D64" i="36"/>
  <c r="E64" i="36" s="1"/>
  <c r="F64" i="36"/>
  <c r="G64" i="36"/>
  <c r="J16" i="36"/>
  <c r="W16" i="36"/>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s="1"/>
  <c r="Q30" i="36"/>
  <c r="Z30" i="36"/>
  <c r="AC30" i="36"/>
  <c r="Q29" i="36"/>
  <c r="Z29" i="36"/>
  <c r="Q28" i="36"/>
  <c r="Z28" i="36"/>
  <c r="J28" i="36"/>
  <c r="AC28" i="36" s="1"/>
  <c r="Q27" i="36"/>
  <c r="Z27" i="36" s="1"/>
  <c r="Q26" i="36"/>
  <c r="Z26" i="36"/>
  <c r="H26" i="36"/>
  <c r="AB26" i="36" s="1"/>
  <c r="Q25" i="36"/>
  <c r="Z25" i="36" s="1"/>
  <c r="Q24" i="36"/>
  <c r="Z24" i="36" s="1"/>
  <c r="Q23" i="36"/>
  <c r="Z23" i="36"/>
  <c r="J23" i="36"/>
  <c r="AC23" i="36" s="1"/>
  <c r="H23" i="36"/>
  <c r="AB23" i="36" s="1"/>
  <c r="F23" i="36"/>
  <c r="AA23" i="36" s="1"/>
  <c r="Q22" i="36"/>
  <c r="Z22" i="36"/>
  <c r="J22" i="36"/>
  <c r="AC22" i="36" s="1"/>
  <c r="Q20" i="36"/>
  <c r="Z20" i="36"/>
  <c r="Q16" i="36"/>
  <c r="Z16" i="36" s="1"/>
  <c r="Q14" i="36"/>
  <c r="Z14" i="36"/>
  <c r="Q13" i="36"/>
  <c r="Z13" i="36" s="1"/>
  <c r="Q12" i="36"/>
  <c r="Z12" i="36" s="1"/>
  <c r="H12" i="36"/>
  <c r="U12" i="36" s="1"/>
  <c r="Q11" i="36"/>
  <c r="Z11" i="36" s="1"/>
  <c r="Q10" i="36"/>
  <c r="Z10" i="36" s="1"/>
  <c r="F10" i="36"/>
  <c r="AA10" i="36"/>
  <c r="Q9" i="36"/>
  <c r="Z9" i="36"/>
  <c r="J9" i="36"/>
  <c r="AC9" i="36" s="1"/>
  <c r="H9" i="36"/>
  <c r="AB9" i="36" s="1"/>
  <c r="F9" i="36"/>
  <c r="AA9" i="36"/>
  <c r="J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B101" i="35"/>
  <c r="H36" i="35" s="1"/>
  <c r="AB36" i="35" s="1"/>
  <c r="B99" i="35"/>
  <c r="B97" i="35"/>
  <c r="B77" i="35"/>
  <c r="B75" i="35"/>
  <c r="J24" i="35" s="1"/>
  <c r="AC24" i="35" s="1"/>
  <c r="B73" i="35"/>
  <c r="H23" i="35" s="1"/>
  <c r="U23" i="35" s="1"/>
  <c r="B57" i="35"/>
  <c r="B61" i="35"/>
  <c r="B59" i="35"/>
  <c r="F12" i="35" s="1"/>
  <c r="S12" i="35" s="1"/>
  <c r="B131" i="34"/>
  <c r="B129" i="34"/>
  <c r="B127" i="34"/>
  <c r="B99" i="34"/>
  <c r="B97" i="34"/>
  <c r="B95" i="34"/>
  <c r="B93" i="34"/>
  <c r="B75" i="34"/>
  <c r="B73" i="34"/>
  <c r="B71" i="34"/>
  <c r="B130" i="33"/>
  <c r="B128" i="33"/>
  <c r="B126" i="33"/>
  <c r="B98" i="33"/>
  <c r="B96" i="33"/>
  <c r="B94" i="33"/>
  <c r="B74" i="33"/>
  <c r="B72" i="33"/>
  <c r="B70" i="33"/>
  <c r="J12" i="33" s="1"/>
  <c r="D96" i="35"/>
  <c r="E96" i="35"/>
  <c r="F96" i="35"/>
  <c r="G96" i="35" s="1"/>
  <c r="D94" i="35"/>
  <c r="E94" i="35"/>
  <c r="F94" i="35" s="1"/>
  <c r="G94" i="35" s="1"/>
  <c r="H94" i="35" s="1"/>
  <c r="I94" i="35" s="1"/>
  <c r="J94" i="35"/>
  <c r="K94" i="35" s="1"/>
  <c r="L94" i="35" s="1"/>
  <c r="M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c r="D70" i="35"/>
  <c r="E70" i="35" s="1"/>
  <c r="F70" i="35"/>
  <c r="G70" i="35" s="1"/>
  <c r="D66" i="35"/>
  <c r="E66" i="35" s="1"/>
  <c r="F66" i="35" s="1"/>
  <c r="G66" i="35" s="1"/>
  <c r="D64" i="35"/>
  <c r="E64" i="35"/>
  <c r="F64" i="35" s="1"/>
  <c r="G64" i="35" s="1"/>
  <c r="J14" i="35"/>
  <c r="W14" i="35" s="1"/>
  <c r="F56" i="35"/>
  <c r="G56" i="35"/>
  <c r="H56" i="35"/>
  <c r="I56" i="35"/>
  <c r="C53" i="35"/>
  <c r="J9" i="35"/>
  <c r="P39" i="35"/>
  <c r="P38" i="35"/>
  <c r="V37" i="35"/>
  <c r="T37" i="35"/>
  <c r="R37" i="35"/>
  <c r="P37" i="35"/>
  <c r="Q36" i="35"/>
  <c r="Z36" i="35"/>
  <c r="J36" i="35"/>
  <c r="AC36" i="35" s="1"/>
  <c r="Q35" i="35"/>
  <c r="Z35" i="35"/>
  <c r="Q34" i="35"/>
  <c r="Z34" i="35"/>
  <c r="H34" i="35"/>
  <c r="Q33" i="35"/>
  <c r="Z33" i="35"/>
  <c r="Q32" i="35"/>
  <c r="Z32" i="35" s="1"/>
  <c r="H32" i="35"/>
  <c r="AB32" i="35"/>
  <c r="F32" i="35"/>
  <c r="AA32" i="35"/>
  <c r="Q31" i="35"/>
  <c r="Z31" i="35"/>
  <c r="AC31" i="35"/>
  <c r="AA31" i="35"/>
  <c r="Q30" i="35"/>
  <c r="Z30" i="35" s="1"/>
  <c r="Q29" i="35"/>
  <c r="Z29" i="35" s="1"/>
  <c r="Q28" i="35"/>
  <c r="Z28" i="35"/>
  <c r="J28" i="35"/>
  <c r="H28" i="35"/>
  <c r="AB28" i="35" s="1"/>
  <c r="F28" i="35"/>
  <c r="AA28" i="35" s="1"/>
  <c r="Q27" i="35"/>
  <c r="Z27" i="35"/>
  <c r="Q26" i="35"/>
  <c r="Z26" i="35"/>
  <c r="Q25" i="35"/>
  <c r="Z25" i="35" s="1"/>
  <c r="Q24" i="35"/>
  <c r="Z24" i="35" s="1"/>
  <c r="Q23" i="35"/>
  <c r="Z23" i="35" s="1"/>
  <c r="Q22" i="35"/>
  <c r="Z22" i="35" s="1"/>
  <c r="Q20" i="35"/>
  <c r="Z20" i="35"/>
  <c r="Q16" i="35"/>
  <c r="Z16" i="35" s="1"/>
  <c r="Q14" i="35"/>
  <c r="Z14" i="35"/>
  <c r="Q13" i="35"/>
  <c r="Z13" i="35" s="1"/>
  <c r="Q12" i="35"/>
  <c r="Z12" i="35" s="1"/>
  <c r="J12" i="35"/>
  <c r="W12" i="35" s="1"/>
  <c r="H12" i="35"/>
  <c r="U12" i="35" s="1"/>
  <c r="Q11" i="35"/>
  <c r="Z11" i="35"/>
  <c r="Q10" i="35"/>
  <c r="Z10" i="35"/>
  <c r="Q9" i="35"/>
  <c r="Z9" i="35" s="1"/>
  <c r="J8" i="35"/>
  <c r="W8" i="35" s="1"/>
  <c r="H8" i="35"/>
  <c r="AB8" i="35"/>
  <c r="F8" i="35"/>
  <c r="AA8" i="35" s="1"/>
  <c r="D120" i="34"/>
  <c r="E120" i="34"/>
  <c r="F120" i="34" s="1"/>
  <c r="G120" i="34" s="1"/>
  <c r="H120" i="34" s="1"/>
  <c r="I120" i="34" s="1"/>
  <c r="J120" i="34" s="1"/>
  <c r="K120" i="34"/>
  <c r="L120" i="34" s="1"/>
  <c r="M120" i="34" s="1"/>
  <c r="D90" i="34"/>
  <c r="E90" i="34" s="1"/>
  <c r="F90" i="34" s="1"/>
  <c r="G90" i="34" s="1"/>
  <c r="H90" i="34" s="1"/>
  <c r="I90" i="34" s="1"/>
  <c r="J90" i="34" s="1"/>
  <c r="K90" i="34" s="1"/>
  <c r="L90" i="34" s="1"/>
  <c r="M90" i="34" s="1"/>
  <c r="C15" i="34"/>
  <c r="F67" i="34"/>
  <c r="G67" i="34" s="1"/>
  <c r="D126" i="34"/>
  <c r="E126" i="34"/>
  <c r="F126" i="34"/>
  <c r="G126" i="34" s="1"/>
  <c r="D124" i="34"/>
  <c r="E124" i="34"/>
  <c r="F124" i="34" s="1"/>
  <c r="G124" i="34" s="1"/>
  <c r="H124" i="34" s="1"/>
  <c r="I124" i="34" s="1"/>
  <c r="J124" i="34"/>
  <c r="K124" i="34" s="1"/>
  <c r="L124" i="34" s="1"/>
  <c r="M124" i="34" s="1"/>
  <c r="H43" i="34"/>
  <c r="AB43" i="34" s="1"/>
  <c r="D118" i="34"/>
  <c r="E118" i="34"/>
  <c r="F118" i="34"/>
  <c r="G118" i="34"/>
  <c r="D116" i="34"/>
  <c r="E116" i="34"/>
  <c r="F116" i="34" s="1"/>
  <c r="G116" i="34" s="1"/>
  <c r="H116" i="34" s="1"/>
  <c r="I116" i="34" s="1"/>
  <c r="J116" i="34" s="1"/>
  <c r="K116" i="34" s="1"/>
  <c r="L116" i="34" s="1"/>
  <c r="M116" i="34" s="1"/>
  <c r="F110" i="34"/>
  <c r="E110" i="34"/>
  <c r="D110" i="34"/>
  <c r="C110" i="34"/>
  <c r="D109" i="34"/>
  <c r="E109" i="34"/>
  <c r="F109" i="34" s="1"/>
  <c r="G109" i="34"/>
  <c r="H109" i="34" s="1"/>
  <c r="I109" i="34"/>
  <c r="J109" i="34"/>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c r="H102" i="34"/>
  <c r="I102" i="34" s="1"/>
  <c r="J102" i="34"/>
  <c r="K102" i="34" s="1"/>
  <c r="L102" i="34" s="1"/>
  <c r="M102" i="34" s="1"/>
  <c r="D92" i="34"/>
  <c r="E92" i="34"/>
  <c r="F92" i="34"/>
  <c r="G92" i="34"/>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c r="H34" i="34"/>
  <c r="AB34" i="34"/>
  <c r="F34" i="34"/>
  <c r="AA34" i="34"/>
  <c r="Q33" i="34"/>
  <c r="Z33" i="34" s="1"/>
  <c r="Q32" i="34"/>
  <c r="Z32" i="34"/>
  <c r="Q31" i="34"/>
  <c r="Z31" i="34"/>
  <c r="Q30" i="34"/>
  <c r="Z30" i="34"/>
  <c r="Q29" i="34"/>
  <c r="Z29" i="34" s="1"/>
  <c r="Q28" i="34"/>
  <c r="Z28" i="34"/>
  <c r="Q27" i="34"/>
  <c r="Z27" i="34"/>
  <c r="Q25" i="34"/>
  <c r="Z25" i="34"/>
  <c r="Q23" i="34"/>
  <c r="Z23" i="34" s="1"/>
  <c r="C23" i="34"/>
  <c r="Q19" i="34"/>
  <c r="Z19" i="34"/>
  <c r="C19" i="34"/>
  <c r="Q17" i="34"/>
  <c r="Z17" i="34"/>
  <c r="C17" i="34"/>
  <c r="Q15" i="34"/>
  <c r="Z15" i="34" s="1"/>
  <c r="Q14" i="34"/>
  <c r="Z14" i="34"/>
  <c r="Q13" i="34"/>
  <c r="Z13" i="34" s="1"/>
  <c r="Q12" i="34"/>
  <c r="Z12" i="34" s="1"/>
  <c r="Q11" i="34"/>
  <c r="Z11" i="34"/>
  <c r="Q10" i="34"/>
  <c r="Z10" i="34" s="1"/>
  <c r="F10" i="34"/>
  <c r="AA10" i="34" s="1"/>
  <c r="Q9" i="34"/>
  <c r="Z9" i="34"/>
  <c r="J8" i="34"/>
  <c r="AC8" i="34"/>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F85" i="33" s="1"/>
  <c r="D81" i="33"/>
  <c r="E81" i="33" s="1"/>
  <c r="D79" i="33"/>
  <c r="E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c r="J39" i="33"/>
  <c r="AC39" i="33" s="1"/>
  <c r="Q38" i="33"/>
  <c r="Z38" i="33" s="1"/>
  <c r="J38" i="33"/>
  <c r="AC38" i="33"/>
  <c r="H38" i="33"/>
  <c r="AB38" i="33"/>
  <c r="F38" i="33"/>
  <c r="AA38" i="33" s="1"/>
  <c r="Q37" i="33"/>
  <c r="Z37" i="33" s="1"/>
  <c r="Q36" i="33"/>
  <c r="Z36" i="33"/>
  <c r="Q35" i="33"/>
  <c r="Z35" i="33"/>
  <c r="H35" i="33"/>
  <c r="AB35" i="33" s="1"/>
  <c r="Q34" i="33"/>
  <c r="Z34" i="33" s="1"/>
  <c r="Q33" i="33"/>
  <c r="Z33" i="33"/>
  <c r="J33" i="33"/>
  <c r="AC33" i="33"/>
  <c r="H33" i="33"/>
  <c r="F33" i="33"/>
  <c r="AA33" i="33" s="1"/>
  <c r="Q32" i="33"/>
  <c r="Z32" i="33"/>
  <c r="Q31" i="33"/>
  <c r="Z31" i="33"/>
  <c r="Q30" i="33"/>
  <c r="Z30" i="33" s="1"/>
  <c r="Q29" i="33"/>
  <c r="Z29" i="33" s="1"/>
  <c r="Q28" i="33"/>
  <c r="Z28" i="33"/>
  <c r="Q27" i="33"/>
  <c r="Z27" i="33"/>
  <c r="Q26" i="33"/>
  <c r="Z26" i="33" s="1"/>
  <c r="Q25" i="33"/>
  <c r="Z25" i="33" s="1"/>
  <c r="Q23" i="33"/>
  <c r="Z23" i="33"/>
  <c r="Q19" i="33"/>
  <c r="Z19" i="33"/>
  <c r="Q17" i="33"/>
  <c r="Z17" i="33" s="1"/>
  <c r="Q15" i="33"/>
  <c r="Z15" i="33" s="1"/>
  <c r="F15" i="33"/>
  <c r="AA15" i="33"/>
  <c r="Q14" i="33"/>
  <c r="Z14" i="33"/>
  <c r="Q13" i="33"/>
  <c r="Z13" i="33" s="1"/>
  <c r="Q12" i="33"/>
  <c r="Z12" i="33" s="1"/>
  <c r="Q11" i="33"/>
  <c r="Z11" i="33"/>
  <c r="Q10" i="33"/>
  <c r="Z10" i="33" s="1"/>
  <c r="Q9" i="33"/>
  <c r="Z9" i="33" s="1"/>
  <c r="J9" i="33"/>
  <c r="AC9" i="33"/>
  <c r="H9" i="33"/>
  <c r="AB9" i="33"/>
  <c r="F9" i="33"/>
  <c r="AA9" i="33" s="1"/>
  <c r="J8" i="33"/>
  <c r="AC8" i="33" s="1"/>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s="1"/>
  <c r="C15" i="20"/>
  <c r="B70" i="43" s="1"/>
  <c r="E54" i="21"/>
  <c r="F54" i="2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c r="I115" i="21" s="1"/>
  <c r="J115" i="21"/>
  <c r="K115" i="21"/>
  <c r="L115" i="21" s="1"/>
  <c r="M115" i="21" s="1"/>
  <c r="D113" i="21"/>
  <c r="E113" i="21"/>
  <c r="F113" i="21"/>
  <c r="G113" i="21" s="1"/>
  <c r="H113" i="21" s="1"/>
  <c r="D110" i="21"/>
  <c r="E110" i="21" s="1"/>
  <c r="F110" i="21" s="1"/>
  <c r="G110" i="21" s="1"/>
  <c r="H110" i="21" s="1"/>
  <c r="I110" i="21"/>
  <c r="J110" i="21" s="1"/>
  <c r="K110" i="2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s="1"/>
  <c r="F69" i="21" s="1"/>
  <c r="G69" i="21"/>
  <c r="H69" i="21" s="1"/>
  <c r="I69" i="21"/>
  <c r="J69" i="21"/>
  <c r="K69" i="21" s="1"/>
  <c r="L69" i="21" s="1"/>
  <c r="M69" i="21" s="1"/>
  <c r="D66" i="21"/>
  <c r="E66" i="21"/>
  <c r="F66" i="21" s="1"/>
  <c r="G66" i="21" s="1"/>
  <c r="H66" i="21" s="1"/>
  <c r="I66" i="21" s="1"/>
  <c r="D111" i="21"/>
  <c r="E111" i="21"/>
  <c r="F111" i="21"/>
  <c r="C111" i="21"/>
  <c r="D79" i="21"/>
  <c r="E79" i="21"/>
  <c r="F79" i="21" s="1"/>
  <c r="G79" i="21" s="1"/>
  <c r="D85" i="21"/>
  <c r="F19" i="21"/>
  <c r="AA19" i="21"/>
  <c r="E81" i="21"/>
  <c r="F81" i="21" s="1"/>
  <c r="G81" i="21" s="1"/>
  <c r="D77" i="21"/>
  <c r="E77" i="21" s="1"/>
  <c r="B130" i="21"/>
  <c r="B128" i="21"/>
  <c r="J45" i="21"/>
  <c r="W45" i="21"/>
  <c r="B126" i="21"/>
  <c r="B98" i="21"/>
  <c r="H31" i="21" s="1"/>
  <c r="AB31" i="21" s="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s="1"/>
  <c r="Q40" i="21"/>
  <c r="Z40" i="2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G19" i="6" s="1"/>
  <c r="G27" i="6" s="1"/>
  <c r="I4" i="6"/>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L587" i="3" s="1"/>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U14" i="37"/>
  <c r="F29" i="36"/>
  <c r="AA29" i="36"/>
  <c r="F16" i="36"/>
  <c r="AA16" i="36" s="1"/>
  <c r="U9" i="36"/>
  <c r="S30" i="36"/>
  <c r="AC31" i="36"/>
  <c r="W31" i="36"/>
  <c r="U31" i="36"/>
  <c r="J33" i="36"/>
  <c r="W33" i="36"/>
  <c r="H22" i="35"/>
  <c r="AB22" i="35"/>
  <c r="AC27" i="35"/>
  <c r="U31" i="35"/>
  <c r="S31" i="35"/>
  <c r="F36" i="34"/>
  <c r="J35" i="34"/>
  <c r="S34" i="34"/>
  <c r="U34" i="34"/>
  <c r="H39" i="33"/>
  <c r="AB39" i="33"/>
  <c r="U35" i="33"/>
  <c r="S40" i="33"/>
  <c r="W33" i="33"/>
  <c r="H39" i="37"/>
  <c r="AB39" i="37"/>
  <c r="S27" i="35"/>
  <c r="F11" i="40"/>
  <c r="AA11" i="40"/>
  <c r="H11" i="40"/>
  <c r="AB11" i="40" s="1"/>
  <c r="W8" i="40"/>
  <c r="AC40" i="40"/>
  <c r="AA9" i="40"/>
  <c r="AC9" i="40"/>
  <c r="U9" i="40"/>
  <c r="S34" i="40"/>
  <c r="S40" i="40"/>
  <c r="W31" i="40"/>
  <c r="U34" i="40"/>
  <c r="U40" i="40"/>
  <c r="F42" i="39"/>
  <c r="AA42" i="39" s="1"/>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c r="F21" i="40"/>
  <c r="J21" i="40"/>
  <c r="W21" i="40" s="1"/>
  <c r="H42" i="39"/>
  <c r="AB42" i="39" s="1"/>
  <c r="J34" i="39"/>
  <c r="AC34" i="39"/>
  <c r="F109" i="39"/>
  <c r="G109" i="39" s="1"/>
  <c r="H109" i="39" s="1"/>
  <c r="I109" i="39" s="1"/>
  <c r="J109" i="39" s="1"/>
  <c r="K109" i="39" s="1"/>
  <c r="L109" i="39" s="1"/>
  <c r="M109" i="39"/>
  <c r="J31" i="39"/>
  <c r="F101" i="39"/>
  <c r="H27" i="39"/>
  <c r="U27" i="39" s="1"/>
  <c r="J19" i="39"/>
  <c r="AC19" i="39" s="1"/>
  <c r="J17" i="39"/>
  <c r="J27" i="39"/>
  <c r="AC27" i="39" s="1"/>
  <c r="F27" i="39"/>
  <c r="F11" i="21"/>
  <c r="S11" i="21" s="1"/>
  <c r="S40" i="21"/>
  <c r="S34" i="21"/>
  <c r="C25" i="39"/>
  <c r="C27" i="39"/>
  <c r="C21" i="39"/>
  <c r="H11" i="39"/>
  <c r="S40" i="39"/>
  <c r="C15" i="39"/>
  <c r="H32" i="33"/>
  <c r="AB32" i="33"/>
  <c r="H11" i="21"/>
  <c r="U11" i="21"/>
  <c r="J11" i="21"/>
  <c r="W11" i="21" s="1"/>
  <c r="H37" i="40"/>
  <c r="U37" i="40" s="1"/>
  <c r="H36" i="40"/>
  <c r="AB36" i="40"/>
  <c r="F35" i="40"/>
  <c r="AA35" i="40"/>
  <c r="H23" i="40"/>
  <c r="AB23" i="40" s="1"/>
  <c r="H17" i="40"/>
  <c r="U17" i="40" s="1"/>
  <c r="J15" i="40"/>
  <c r="W15" i="40"/>
  <c r="J11" i="40"/>
  <c r="AC11" i="40" s="1"/>
  <c r="W11" i="40"/>
  <c r="AB8" i="39"/>
  <c r="AB12" i="35"/>
  <c r="AB12" i="36"/>
  <c r="W32" i="40"/>
  <c r="S44" i="39"/>
  <c r="F37" i="39"/>
  <c r="AA37" i="39" s="1"/>
  <c r="J34" i="36"/>
  <c r="W34" i="36" s="1"/>
  <c r="U30" i="36"/>
  <c r="J30" i="35"/>
  <c r="W30" i="35"/>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S12" i="36" s="1"/>
  <c r="F24" i="36"/>
  <c r="F34" i="36"/>
  <c r="S34" i="36" s="1"/>
  <c r="S10" i="36"/>
  <c r="AB8" i="36"/>
  <c r="S8" i="36"/>
  <c r="U8" i="35"/>
  <c r="F14" i="35"/>
  <c r="AA14" i="35" s="1"/>
  <c r="F23" i="35"/>
  <c r="AA23" i="35" s="1"/>
  <c r="J32" i="35"/>
  <c r="AC32" i="35" s="1"/>
  <c r="J16" i="35"/>
  <c r="AC16" i="35" s="1"/>
  <c r="H16" i="35"/>
  <c r="U16" i="35" s="1"/>
  <c r="F16" i="35"/>
  <c r="S16" i="35" s="1"/>
  <c r="H14" i="35"/>
  <c r="AB14" i="35" s="1"/>
  <c r="J29" i="35"/>
  <c r="H33" i="35"/>
  <c r="U33" i="35" s="1"/>
  <c r="AB33" i="35"/>
  <c r="AC8" i="35"/>
  <c r="J20" i="35"/>
  <c r="W20" i="35" s="1"/>
  <c r="F35" i="37"/>
  <c r="S35" i="37" s="1"/>
  <c r="E101" i="37"/>
  <c r="F101" i="37"/>
  <c r="G101" i="37"/>
  <c r="H101" i="37" s="1"/>
  <c r="I101" i="37" s="1"/>
  <c r="J101" i="37" s="1"/>
  <c r="K101" i="37" s="1"/>
  <c r="L101" i="37" s="1"/>
  <c r="M101" i="37"/>
  <c r="J34" i="37"/>
  <c r="S10" i="37"/>
  <c r="AB34" i="37"/>
  <c r="J33" i="37"/>
  <c r="AC33" i="37" s="1"/>
  <c r="U42" i="34"/>
  <c r="H40" i="34"/>
  <c r="U40" i="34"/>
  <c r="E114" i="34"/>
  <c r="H36" i="34"/>
  <c r="U36" i="34" s="1"/>
  <c r="F37" i="34"/>
  <c r="AA37" i="34" s="1"/>
  <c r="S35" i="34"/>
  <c r="F28" i="34"/>
  <c r="AA28" i="34" s="1"/>
  <c r="F27" i="34"/>
  <c r="AA27" i="34" s="1"/>
  <c r="F25" i="34"/>
  <c r="S25" i="34"/>
  <c r="H23" i="34"/>
  <c r="U23" i="34"/>
  <c r="J23" i="34"/>
  <c r="F19" i="34"/>
  <c r="H17" i="34"/>
  <c r="U17" i="34" s="1"/>
  <c r="F15" i="34"/>
  <c r="J15" i="34"/>
  <c r="H15" i="34"/>
  <c r="AB15"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c r="U40" i="33"/>
  <c r="W40" i="33"/>
  <c r="U8" i="33"/>
  <c r="S8" i="33"/>
  <c r="F37" i="40"/>
  <c r="AA37" i="40" s="1"/>
  <c r="F36" i="40"/>
  <c r="AA36" i="40" s="1"/>
  <c r="H28" i="40"/>
  <c r="U28" i="40"/>
  <c r="F23" i="40"/>
  <c r="AA23" i="40" s="1"/>
  <c r="F17" i="40"/>
  <c r="AA17" i="40" s="1"/>
  <c r="J17" i="40"/>
  <c r="W17" i="40"/>
  <c r="F15" i="40"/>
  <c r="S15" i="40" s="1"/>
  <c r="H15" i="40"/>
  <c r="AB15" i="40" s="1"/>
  <c r="AA12" i="36"/>
  <c r="AB30" i="36"/>
  <c r="AC34" i="36"/>
  <c r="U30" i="35"/>
  <c r="F29" i="35"/>
  <c r="S29" i="35" s="1"/>
  <c r="H29" i="35"/>
  <c r="AB29" i="35"/>
  <c r="H33" i="37"/>
  <c r="U33" i="37" s="1"/>
  <c r="AB33" i="37"/>
  <c r="F33" i="37"/>
  <c r="AA33" i="37" s="1"/>
  <c r="U34" i="37"/>
  <c r="W33" i="37"/>
  <c r="S34" i="37"/>
  <c r="AA34" i="37"/>
  <c r="J43" i="34"/>
  <c r="AB42" i="34"/>
  <c r="J40" i="34"/>
  <c r="F114" i="34"/>
  <c r="G114" i="34" s="1"/>
  <c r="H114" i="34" s="1"/>
  <c r="I114" i="34" s="1"/>
  <c r="J114" i="34"/>
  <c r="K114" i="34" s="1"/>
  <c r="L114" i="34" s="1"/>
  <c r="M114" i="34" s="1"/>
  <c r="H38" i="34"/>
  <c r="J36" i="34"/>
  <c r="W36" i="34" s="1"/>
  <c r="H37" i="34"/>
  <c r="U37" i="34" s="1"/>
  <c r="H25" i="34"/>
  <c r="AB25" i="34" s="1"/>
  <c r="J25" i="34"/>
  <c r="AC25" i="34" s="1"/>
  <c r="AB23" i="34"/>
  <c r="F23" i="34"/>
  <c r="AA23" i="34"/>
  <c r="J19" i="34"/>
  <c r="AC19" i="34" s="1"/>
  <c r="F17" i="34"/>
  <c r="AA17" i="34" s="1"/>
  <c r="J17" i="34"/>
  <c r="W17" i="34" s="1"/>
  <c r="AA15" i="34"/>
  <c r="S15" i="34"/>
  <c r="S41" i="33"/>
  <c r="H37" i="33"/>
  <c r="AB37" i="33"/>
  <c r="H15" i="33"/>
  <c r="AB15" i="33" s="1"/>
  <c r="H11" i="33"/>
  <c r="AB11" i="33"/>
  <c r="F28" i="40"/>
  <c r="AA28" i="40" s="1"/>
  <c r="AA29" i="35"/>
  <c r="AA42" i="34"/>
  <c r="S42" i="34"/>
  <c r="AC38" i="34"/>
  <c r="AA38" i="34"/>
  <c r="J37" i="34"/>
  <c r="AC37" i="34"/>
  <c r="J11" i="33"/>
  <c r="W11" i="33" s="1"/>
  <c r="S28" i="34"/>
  <c r="U23" i="40"/>
  <c r="I123" i="21"/>
  <c r="J123" i="21" s="1"/>
  <c r="K123" i="21" s="1"/>
  <c r="L123" i="21" s="1"/>
  <c r="M123" i="21" s="1"/>
  <c r="J42" i="21"/>
  <c r="AC42" i="21" s="1"/>
  <c r="H42" i="21"/>
  <c r="U42" i="21"/>
  <c r="J44" i="34"/>
  <c r="F44" i="34"/>
  <c r="AA44" i="34" s="1"/>
  <c r="J10" i="35"/>
  <c r="W10" i="35" s="1"/>
  <c r="J14" i="21"/>
  <c r="W14" i="21"/>
  <c r="F14" i="21"/>
  <c r="S14" i="21"/>
  <c r="H14" i="21"/>
  <c r="U14" i="21" s="1"/>
  <c r="H28" i="21"/>
  <c r="AB28" i="21" s="1"/>
  <c r="F28" i="21"/>
  <c r="AA28" i="21"/>
  <c r="J28" i="21"/>
  <c r="AC28" i="21" s="1"/>
  <c r="W28" i="21"/>
  <c r="H30" i="21"/>
  <c r="U30" i="21" s="1"/>
  <c r="F30" i="21"/>
  <c r="S30" i="21" s="1"/>
  <c r="J30" i="21"/>
  <c r="AC30" i="21"/>
  <c r="J44" i="21"/>
  <c r="AC44" i="21"/>
  <c r="H44" i="21"/>
  <c r="U44" i="21" s="1"/>
  <c r="F44" i="21"/>
  <c r="AA44" i="21" s="1"/>
  <c r="H46" i="21"/>
  <c r="U46" i="21"/>
  <c r="J46" i="21"/>
  <c r="W46" i="21" s="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c r="F30" i="35"/>
  <c r="S30" i="35" s="1"/>
  <c r="E89" i="35"/>
  <c r="F89" i="35"/>
  <c r="G89" i="35" s="1"/>
  <c r="H89" i="35" s="1"/>
  <c r="I89" i="35" s="1"/>
  <c r="J89" i="35" s="1"/>
  <c r="K89" i="35" s="1"/>
  <c r="L89" i="35"/>
  <c r="M89" i="35"/>
  <c r="H10" i="36"/>
  <c r="AB10" i="36" s="1"/>
  <c r="J14" i="36"/>
  <c r="AC14" i="36"/>
  <c r="H14" i="36"/>
  <c r="U14" i="36" s="1"/>
  <c r="F28" i="36"/>
  <c r="AA28" i="36"/>
  <c r="J13" i="21"/>
  <c r="AC13" i="21" s="1"/>
  <c r="H27" i="21"/>
  <c r="AB27" i="21"/>
  <c r="F27" i="21"/>
  <c r="AA27" i="21" s="1"/>
  <c r="H29" i="21"/>
  <c r="U29" i="21"/>
  <c r="J31" i="21"/>
  <c r="AC31" i="21" s="1"/>
  <c r="F31" i="21"/>
  <c r="S31" i="21"/>
  <c r="F45" i="21"/>
  <c r="AA45" i="21"/>
  <c r="F27" i="33"/>
  <c r="AA27" i="33" s="1"/>
  <c r="J29" i="33"/>
  <c r="W29" i="33" s="1"/>
  <c r="H29" i="33"/>
  <c r="U29" i="33" s="1"/>
  <c r="F29" i="33"/>
  <c r="S29" i="33" s="1"/>
  <c r="J31" i="33"/>
  <c r="W31" i="33"/>
  <c r="H31" i="33"/>
  <c r="F31" i="33"/>
  <c r="H45" i="33"/>
  <c r="U45" i="33"/>
  <c r="J45" i="33"/>
  <c r="W45" i="33" s="1"/>
  <c r="F45" i="33"/>
  <c r="AA45" i="33"/>
  <c r="J14" i="34"/>
  <c r="W14" i="34" s="1"/>
  <c r="F14" i="34"/>
  <c r="S14" i="34" s="1"/>
  <c r="H14" i="34"/>
  <c r="H30" i="34"/>
  <c r="F30" i="34"/>
  <c r="S30" i="34"/>
  <c r="J30" i="34"/>
  <c r="W30" i="34" s="1"/>
  <c r="H32" i="34"/>
  <c r="F32" i="34"/>
  <c r="J32" i="34"/>
  <c r="W32" i="34" s="1"/>
  <c r="H11" i="35"/>
  <c r="J11" i="35"/>
  <c r="AC11" i="35" s="1"/>
  <c r="F11" i="35"/>
  <c r="S11" i="35" s="1"/>
  <c r="J26" i="36"/>
  <c r="W26" i="36"/>
  <c r="H28" i="36"/>
  <c r="U28" i="36"/>
  <c r="H32" i="36"/>
  <c r="AB32" i="36" s="1"/>
  <c r="J32" i="36"/>
  <c r="W32" i="36"/>
  <c r="J11" i="36"/>
  <c r="W11" i="36" s="1"/>
  <c r="H11" i="36"/>
  <c r="AB11" i="36" s="1"/>
  <c r="U11" i="36"/>
  <c r="F11" i="36"/>
  <c r="AA11" i="36" s="1"/>
  <c r="H13" i="36"/>
  <c r="AB13" i="36" s="1"/>
  <c r="J13" i="36"/>
  <c r="W13" i="36" s="1"/>
  <c r="F13" i="36"/>
  <c r="S13" i="36" s="1"/>
  <c r="E89" i="37"/>
  <c r="F89" i="37" s="1"/>
  <c r="G89" i="37" s="1"/>
  <c r="H89" i="37"/>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c r="H40" i="37"/>
  <c r="AB40" i="37" s="1"/>
  <c r="U40" i="37"/>
  <c r="J40" i="37"/>
  <c r="AC40" i="37" s="1"/>
  <c r="F40" i="37"/>
  <c r="AA40" i="37" s="1"/>
  <c r="AC12" i="40"/>
  <c r="W12" i="40"/>
  <c r="H14" i="33"/>
  <c r="U14" i="33"/>
  <c r="F14" i="33"/>
  <c r="J14" i="33"/>
  <c r="H30" i="33"/>
  <c r="AB30" i="33"/>
  <c r="F30" i="33"/>
  <c r="J30" i="33"/>
  <c r="H44" i="33"/>
  <c r="J44" i="33"/>
  <c r="F44" i="33"/>
  <c r="S44" i="33" s="1"/>
  <c r="J46" i="33"/>
  <c r="AC46" i="33" s="1"/>
  <c r="F46" i="33"/>
  <c r="AA46" i="33"/>
  <c r="H46" i="33"/>
  <c r="U46" i="33" s="1"/>
  <c r="AB46" i="33"/>
  <c r="H13" i="34"/>
  <c r="U13" i="34" s="1"/>
  <c r="J13" i="34"/>
  <c r="W13" i="34"/>
  <c r="F13" i="34"/>
  <c r="AA13" i="34" s="1"/>
  <c r="J29" i="34"/>
  <c r="F29" i="34"/>
  <c r="H29" i="34"/>
  <c r="AB29" i="34"/>
  <c r="J31" i="34"/>
  <c r="AC31" i="34"/>
  <c r="H31" i="34"/>
  <c r="AB31" i="34" s="1"/>
  <c r="F31" i="34"/>
  <c r="S31" i="34" s="1"/>
  <c r="H45" i="34"/>
  <c r="U45" i="34"/>
  <c r="J45" i="34"/>
  <c r="W45" i="34" s="1"/>
  <c r="F45" i="34"/>
  <c r="S45" i="34" s="1"/>
  <c r="H47" i="34"/>
  <c r="U47" i="34" s="1"/>
  <c r="F47" i="34"/>
  <c r="S47" i="34"/>
  <c r="J47" i="34"/>
  <c r="F13" i="35"/>
  <c r="S13" i="35"/>
  <c r="J13" i="35"/>
  <c r="AC13" i="35" s="1"/>
  <c r="H13" i="35"/>
  <c r="U13" i="35"/>
  <c r="J25" i="35"/>
  <c r="W25" i="35" s="1"/>
  <c r="F25" i="35"/>
  <c r="S25" i="35" s="1"/>
  <c r="H25" i="35"/>
  <c r="AB25" i="35" s="1"/>
  <c r="J35" i="35"/>
  <c r="AC35" i="35"/>
  <c r="F35" i="35"/>
  <c r="AA35" i="35"/>
  <c r="H35" i="35"/>
  <c r="J25" i="36"/>
  <c r="W25" i="36" s="1"/>
  <c r="F25" i="36"/>
  <c r="S25" i="36"/>
  <c r="H25" i="36"/>
  <c r="AB25" i="36"/>
  <c r="H13" i="37"/>
  <c r="U13" i="37" s="1"/>
  <c r="F13" i="37"/>
  <c r="S13" i="37" s="1"/>
  <c r="J13" i="37"/>
  <c r="W13" i="37"/>
  <c r="F28" i="37"/>
  <c r="AA28" i="37" s="1"/>
  <c r="J28" i="37"/>
  <c r="AC28" i="37"/>
  <c r="H28" i="37"/>
  <c r="U28" i="37" s="1"/>
  <c r="H38" i="37"/>
  <c r="AB38" i="37"/>
  <c r="J38" i="37"/>
  <c r="AC38" i="37" s="1"/>
  <c r="F38" i="37"/>
  <c r="S38" i="37"/>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c r="J13" i="40"/>
  <c r="W13" i="40" s="1"/>
  <c r="F13" i="40"/>
  <c r="AA13" i="40"/>
  <c r="F14" i="37"/>
  <c r="AA14" i="37" s="1"/>
  <c r="F27" i="37"/>
  <c r="AA27" i="37" s="1"/>
  <c r="F13" i="39"/>
  <c r="J13" i="39"/>
  <c r="W13" i="39" s="1"/>
  <c r="H13" i="39"/>
  <c r="H14" i="40"/>
  <c r="U14" i="40" s="1"/>
  <c r="AB14" i="40"/>
  <c r="J14" i="40"/>
  <c r="W14" i="40" s="1"/>
  <c r="F14" i="40"/>
  <c r="AA14" i="40" s="1"/>
  <c r="J14" i="37"/>
  <c r="AC14" i="37"/>
  <c r="J27" i="37"/>
  <c r="AC27" i="37"/>
  <c r="AA44" i="33"/>
  <c r="AA13" i="35"/>
  <c r="U31" i="34"/>
  <c r="J36" i="37"/>
  <c r="AC36" i="37"/>
  <c r="J10" i="36"/>
  <c r="AB30" i="21"/>
  <c r="W31" i="34"/>
  <c r="AC13" i="36"/>
  <c r="S11" i="36"/>
  <c r="AA14" i="34"/>
  <c r="S45" i="33"/>
  <c r="AB45" i="33"/>
  <c r="S44" i="34"/>
  <c r="BA586" i="3"/>
  <c r="BA585" i="3"/>
  <c r="AZ585" i="3" s="1"/>
  <c r="F17" i="21"/>
  <c r="AA17" i="21" s="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54" i="3"/>
  <c r="BL546" i="3"/>
  <c r="BL542" i="3"/>
  <c r="BL538" i="3"/>
  <c r="BL534" i="3"/>
  <c r="BL530" i="3"/>
  <c r="BL526" i="3"/>
  <c r="BL522" i="3"/>
  <c r="BL516" i="3"/>
  <c r="BL512" i="3"/>
  <c r="BL506" i="3"/>
  <c r="BL502" i="3"/>
  <c r="BL498" i="3"/>
  <c r="AZ498" i="3" s="1"/>
  <c r="BL494" i="3"/>
  <c r="BL556" i="3"/>
  <c r="AZ556" i="3" s="1"/>
  <c r="BL552" i="3"/>
  <c r="BL544" i="3"/>
  <c r="BL540" i="3"/>
  <c r="BL536" i="3"/>
  <c r="G533" i="3"/>
  <c r="BL532" i="3"/>
  <c r="G529" i="3"/>
  <c r="BL528" i="3"/>
  <c r="G525" i="3"/>
  <c r="BL524" i="3"/>
  <c r="AZ524" i="3" s="1"/>
  <c r="BL518" i="3"/>
  <c r="BL514" i="3"/>
  <c r="BL510" i="3"/>
  <c r="BL504" i="3"/>
  <c r="BL500" i="3"/>
  <c r="BL496" i="3"/>
  <c r="G493" i="3"/>
  <c r="BA574" i="3"/>
  <c r="AZ574" i="3" s="1"/>
  <c r="AZ566" i="3"/>
  <c r="BA556" i="3"/>
  <c r="BA554" i="3"/>
  <c r="AZ554" i="3" s="1"/>
  <c r="BA552" i="3"/>
  <c r="AZ552" i="3" s="1"/>
  <c r="BA548" i="3"/>
  <c r="BA546" i="3"/>
  <c r="AZ546" i="3" s="1"/>
  <c r="BA544" i="3"/>
  <c r="AZ544" i="3" s="1"/>
  <c r="BA542" i="3"/>
  <c r="AZ542" i="3" s="1"/>
  <c r="BA540" i="3"/>
  <c r="AZ540" i="3" s="1"/>
  <c r="BA538" i="3"/>
  <c r="AZ538" i="3" s="1"/>
  <c r="BA536" i="3"/>
  <c r="AZ536" i="3" s="1"/>
  <c r="BA534" i="3"/>
  <c r="BA532" i="3"/>
  <c r="AZ532" i="3"/>
  <c r="BA530" i="3"/>
  <c r="AZ530" i="3" s="1"/>
  <c r="BA528" i="3"/>
  <c r="BA526" i="3"/>
  <c r="AZ526" i="3" s="1"/>
  <c r="BA524" i="3"/>
  <c r="BA522" i="3"/>
  <c r="BA520" i="3"/>
  <c r="AZ520" i="3" s="1"/>
  <c r="BA518" i="3"/>
  <c r="AZ518" i="3" s="1"/>
  <c r="BA516" i="3"/>
  <c r="BA514" i="3"/>
  <c r="BA512" i="3"/>
  <c r="AZ512" i="3" s="1"/>
  <c r="BA510" i="3"/>
  <c r="AZ510" i="3"/>
  <c r="BA508" i="3"/>
  <c r="AZ508" i="3" s="1"/>
  <c r="BA506" i="3"/>
  <c r="BA504" i="3"/>
  <c r="AZ504" i="3" s="1"/>
  <c r="BA502" i="3"/>
  <c r="BA500" i="3"/>
  <c r="BA498" i="3"/>
  <c r="BA496" i="3"/>
  <c r="BA494" i="3"/>
  <c r="AZ494" i="3" s="1"/>
  <c r="BA555" i="3"/>
  <c r="BA553" i="3"/>
  <c r="BA549" i="3"/>
  <c r="AZ549" i="3" s="1"/>
  <c r="BA547" i="3"/>
  <c r="AZ547" i="3" s="1"/>
  <c r="BA545" i="3"/>
  <c r="BA543" i="3"/>
  <c r="BA541" i="3"/>
  <c r="AZ541" i="3" s="1"/>
  <c r="BA539" i="3"/>
  <c r="BA537" i="3"/>
  <c r="BA535" i="3"/>
  <c r="BA533" i="3"/>
  <c r="AZ533" i="3" s="1"/>
  <c r="BA531" i="3"/>
  <c r="BA529" i="3"/>
  <c r="AZ529" i="3" s="1"/>
  <c r="BA527" i="3"/>
  <c r="BA525" i="3"/>
  <c r="BA523" i="3"/>
  <c r="BA519" i="3"/>
  <c r="BA517" i="3"/>
  <c r="BA515" i="3"/>
  <c r="AZ515" i="3" s="1"/>
  <c r="BA513" i="3"/>
  <c r="BA511" i="3"/>
  <c r="AZ511" i="3" s="1"/>
  <c r="BA507" i="3"/>
  <c r="BA505" i="3"/>
  <c r="BA503" i="3"/>
  <c r="BA501" i="3"/>
  <c r="BA499" i="3"/>
  <c r="BA497" i="3"/>
  <c r="BA495" i="3"/>
  <c r="AZ495" i="3" s="1"/>
  <c r="BA493" i="3"/>
  <c r="G583" i="3"/>
  <c r="G575" i="3"/>
  <c r="G573" i="3"/>
  <c r="G571" i="3"/>
  <c r="G569" i="3"/>
  <c r="G567" i="3"/>
  <c r="G565" i="3"/>
  <c r="BA557" i="3"/>
  <c r="AZ557" i="3" s="1"/>
  <c r="AC557" i="3"/>
  <c r="G557" i="3"/>
  <c r="BQ557" i="3"/>
  <c r="BL557" i="3" s="1"/>
  <c r="BQ583" i="3"/>
  <c r="BQ581" i="3"/>
  <c r="BL581" i="3" s="1"/>
  <c r="BQ579" i="3"/>
  <c r="BQ577" i="3"/>
  <c r="BQ575" i="3"/>
  <c r="BQ573" i="3"/>
  <c r="BQ571" i="3"/>
  <c r="BQ569" i="3"/>
  <c r="BQ567" i="3"/>
  <c r="BQ565" i="3"/>
  <c r="BL565" i="3" s="1"/>
  <c r="BQ563" i="3"/>
  <c r="BQ561" i="3"/>
  <c r="BQ559" i="3"/>
  <c r="G555" i="3"/>
  <c r="G553" i="3"/>
  <c r="G549" i="3"/>
  <c r="G547" i="3"/>
  <c r="G545" i="3"/>
  <c r="G543" i="3"/>
  <c r="G541" i="3"/>
  <c r="G539" i="3"/>
  <c r="G537" i="3"/>
  <c r="BQ555" i="3"/>
  <c r="BL555" i="3" s="1"/>
  <c r="AZ555" i="3" s="1"/>
  <c r="BQ553" i="3"/>
  <c r="BL553" i="3"/>
  <c r="AZ553" i="3"/>
  <c r="BQ551" i="3"/>
  <c r="BL551" i="3" s="1"/>
  <c r="BQ549" i="3"/>
  <c r="BQ547" i="3"/>
  <c r="BL547" i="3"/>
  <c r="BQ545" i="3"/>
  <c r="BL545" i="3"/>
  <c r="AZ545" i="3"/>
  <c r="BQ543" i="3"/>
  <c r="BL543" i="3" s="1"/>
  <c r="BQ541" i="3"/>
  <c r="BL541" i="3"/>
  <c r="BQ539" i="3"/>
  <c r="BL539" i="3"/>
  <c r="AZ539" i="3"/>
  <c r="BQ537" i="3"/>
  <c r="BL537" i="3" s="1"/>
  <c r="AZ537" i="3" s="1"/>
  <c r="BQ535" i="3"/>
  <c r="BL535" i="3"/>
  <c r="AZ535" i="3" s="1"/>
  <c r="BQ533" i="3"/>
  <c r="BL533" i="3"/>
  <c r="BQ531" i="3"/>
  <c r="BL531" i="3"/>
  <c r="BQ529" i="3"/>
  <c r="BL529" i="3"/>
  <c r="BQ527" i="3"/>
  <c r="BL527" i="3"/>
  <c r="BQ525" i="3"/>
  <c r="BL525" i="3" s="1"/>
  <c r="BQ523" i="3"/>
  <c r="BL523" i="3"/>
  <c r="AZ523" i="3" s="1"/>
  <c r="BA521" i="3"/>
  <c r="AC521" i="3"/>
  <c r="G521" i="3"/>
  <c r="BQ521" i="3"/>
  <c r="BL521" i="3" s="1"/>
  <c r="BL520" i="3"/>
  <c r="G519" i="3"/>
  <c r="G517" i="3"/>
  <c r="G515" i="3"/>
  <c r="G513" i="3"/>
  <c r="G511" i="3"/>
  <c r="BQ519" i="3"/>
  <c r="BL519" i="3" s="1"/>
  <c r="AZ519" i="3" s="1"/>
  <c r="BQ517" i="3"/>
  <c r="BL517" i="3" s="1"/>
  <c r="AZ517" i="3" s="1"/>
  <c r="BQ515" i="3"/>
  <c r="BL515" i="3"/>
  <c r="BQ513" i="3"/>
  <c r="BL513" i="3" s="1"/>
  <c r="BQ511" i="3"/>
  <c r="BL511" i="3"/>
  <c r="BA509" i="3"/>
  <c r="AZ509" i="3" s="1"/>
  <c r="AC509" i="3"/>
  <c r="BQ509" i="3"/>
  <c r="BL509" i="3" s="1"/>
  <c r="BL508" i="3"/>
  <c r="G507" i="3"/>
  <c r="G505" i="3"/>
  <c r="G503" i="3"/>
  <c r="G501" i="3"/>
  <c r="G499" i="3"/>
  <c r="G497" i="3"/>
  <c r="G495" i="3"/>
  <c r="BQ507" i="3"/>
  <c r="BL507" i="3"/>
  <c r="AZ507" i="3" s="1"/>
  <c r="BQ505" i="3"/>
  <c r="BL505" i="3"/>
  <c r="AZ505" i="3" s="1"/>
  <c r="BQ503" i="3"/>
  <c r="BL503" i="3" s="1"/>
  <c r="BQ501" i="3"/>
  <c r="BL501" i="3" s="1"/>
  <c r="BQ499" i="3"/>
  <c r="BL499" i="3"/>
  <c r="BQ497" i="3"/>
  <c r="BQ5" i="3" s="1"/>
  <c r="BL497" i="3"/>
  <c r="BQ495" i="3"/>
  <c r="BL495" i="3" s="1"/>
  <c r="BQ493" i="3"/>
  <c r="S501" i="31"/>
  <c r="S499" i="31"/>
  <c r="O27" i="31"/>
  <c r="O28" i="31"/>
  <c r="O26" i="31"/>
  <c r="M27" i="31"/>
  <c r="M28" i="31"/>
  <c r="M26" i="31"/>
  <c r="I26" i="31"/>
  <c r="I25" i="31"/>
  <c r="Q26" i="31"/>
  <c r="K26" i="31"/>
  <c r="I27" i="31"/>
  <c r="Q27" i="31"/>
  <c r="K27" i="31"/>
  <c r="I28" i="31"/>
  <c r="Q28" i="31"/>
  <c r="K28" i="31"/>
  <c r="AA12" i="21"/>
  <c r="H25" i="21"/>
  <c r="U25" i="21" s="1"/>
  <c r="F25" i="21"/>
  <c r="S25" i="21"/>
  <c r="J25" i="21"/>
  <c r="AC25" i="21" s="1"/>
  <c r="E125" i="33"/>
  <c r="F125" i="33" s="1"/>
  <c r="G125" i="33" s="1"/>
  <c r="H43" i="33"/>
  <c r="AB43" i="33"/>
  <c r="H17" i="37"/>
  <c r="U17" i="37" s="1"/>
  <c r="AB27" i="37"/>
  <c r="U32" i="33"/>
  <c r="AA36" i="39"/>
  <c r="F39" i="33"/>
  <c r="AA39" i="33" s="1"/>
  <c r="E123" i="33"/>
  <c r="F123" i="33" s="1"/>
  <c r="G123" i="33" s="1"/>
  <c r="F42" i="33"/>
  <c r="AA42" i="33" s="1"/>
  <c r="H28" i="34"/>
  <c r="AB28" i="34" s="1"/>
  <c r="F14" i="36"/>
  <c r="S14" i="36" s="1"/>
  <c r="AA14" i="36"/>
  <c r="F22" i="36"/>
  <c r="S22" i="36" s="1"/>
  <c r="F26" i="36"/>
  <c r="S26" i="36" s="1"/>
  <c r="H27" i="34"/>
  <c r="AB27" i="34" s="1"/>
  <c r="H35" i="34"/>
  <c r="U35" i="34"/>
  <c r="F41" i="34"/>
  <c r="H41" i="34"/>
  <c r="U41" i="34"/>
  <c r="J41" i="34"/>
  <c r="AC41" i="34" s="1"/>
  <c r="F10" i="35"/>
  <c r="S10" i="35"/>
  <c r="F24" i="35"/>
  <c r="AA24" i="35" s="1"/>
  <c r="H24" i="35"/>
  <c r="AB24" i="35" s="1"/>
  <c r="H23" i="37"/>
  <c r="AB23" i="37" s="1"/>
  <c r="J32" i="37"/>
  <c r="AC32" i="37" s="1"/>
  <c r="F36" i="37"/>
  <c r="AA36" i="37"/>
  <c r="F37" i="37"/>
  <c r="AA37" i="37" s="1"/>
  <c r="F31" i="40"/>
  <c r="AA31" i="40" s="1"/>
  <c r="H31" i="40"/>
  <c r="U31" i="40" s="1"/>
  <c r="F32" i="40"/>
  <c r="S32" i="40"/>
  <c r="H32" i="40"/>
  <c r="U32" i="40" s="1"/>
  <c r="J36" i="40"/>
  <c r="W36" i="40" s="1"/>
  <c r="H19" i="37"/>
  <c r="AB19" i="37" s="1"/>
  <c r="H123" i="33"/>
  <c r="I123" i="33" s="1"/>
  <c r="J123" i="33" s="1"/>
  <c r="K123" i="33" s="1"/>
  <c r="L123" i="33" s="1"/>
  <c r="M123" i="33" s="1"/>
  <c r="H42" i="33"/>
  <c r="AB42" i="33" s="1"/>
  <c r="J43" i="33"/>
  <c r="U43" i="33"/>
  <c r="S28" i="31"/>
  <c r="AC32" i="36"/>
  <c r="AC33" i="36"/>
  <c r="AA12" i="35"/>
  <c r="W14" i="37"/>
  <c r="U39" i="37"/>
  <c r="W26" i="37"/>
  <c r="AC8" i="37"/>
  <c r="U26" i="37"/>
  <c r="AB13" i="34"/>
  <c r="W37" i="34"/>
  <c r="AB37" i="34"/>
  <c r="AC36" i="34"/>
  <c r="AC31" i="33"/>
  <c r="AC45" i="33"/>
  <c r="U11" i="33"/>
  <c r="U19" i="21"/>
  <c r="W44" i="21"/>
  <c r="U26" i="21"/>
  <c r="AC46" i="21"/>
  <c r="U12" i="21"/>
  <c r="AB38" i="21"/>
  <c r="F43" i="33"/>
  <c r="AA43" i="33"/>
  <c r="W15" i="34"/>
  <c r="AC15" i="34"/>
  <c r="W16" i="35"/>
  <c r="W40" i="37"/>
  <c r="H37" i="21"/>
  <c r="U37" i="21" s="1"/>
  <c r="S42" i="21"/>
  <c r="H19" i="34"/>
  <c r="AB19" i="34"/>
  <c r="F36" i="35"/>
  <c r="S36" i="35"/>
  <c r="J9" i="37"/>
  <c r="AC9" i="37" s="1"/>
  <c r="H9" i="37"/>
  <c r="AB9" i="37" s="1"/>
  <c r="F9" i="37"/>
  <c r="S9" i="37" s="1"/>
  <c r="J12" i="37"/>
  <c r="W12" i="37"/>
  <c r="H12" i="37"/>
  <c r="U12" i="37" s="1"/>
  <c r="AB12" i="37"/>
  <c r="F12" i="37"/>
  <c r="S12" i="37" s="1"/>
  <c r="E71" i="37"/>
  <c r="F71" i="37" s="1"/>
  <c r="G71" i="37" s="1"/>
  <c r="F15" i="37"/>
  <c r="AA15" i="37" s="1"/>
  <c r="E94" i="37"/>
  <c r="F31" i="37"/>
  <c r="S31" i="37" s="1"/>
  <c r="F12" i="39"/>
  <c r="S12" i="39" s="1"/>
  <c r="J42" i="39"/>
  <c r="AC42" i="39" s="1"/>
  <c r="H21" i="40"/>
  <c r="AB21" i="40"/>
  <c r="AC12" i="37"/>
  <c r="F94" i="37"/>
  <c r="G94" i="37" s="1"/>
  <c r="H94" i="37" s="1"/>
  <c r="I94" i="37" s="1"/>
  <c r="J94" i="37" s="1"/>
  <c r="K94" i="37" s="1"/>
  <c r="L94" i="37" s="1"/>
  <c r="M94" i="37" s="1"/>
  <c r="H31" i="37"/>
  <c r="J15" i="37"/>
  <c r="W15" i="37" s="1"/>
  <c r="AT6" i="3"/>
  <c r="AA25" i="21"/>
  <c r="C12" i="43"/>
  <c r="H19" i="40"/>
  <c r="U19" i="40" s="1"/>
  <c r="F88" i="40"/>
  <c r="G88" i="40"/>
  <c r="F19" i="40"/>
  <c r="S19" i="40" s="1"/>
  <c r="S14" i="40"/>
  <c r="AB33" i="40"/>
  <c r="W23" i="39"/>
  <c r="AC43" i="39"/>
  <c r="W43" i="39"/>
  <c r="U45" i="39"/>
  <c r="AB45" i="39"/>
  <c r="AB44" i="39"/>
  <c r="U44" i="39"/>
  <c r="G101" i="39"/>
  <c r="H37" i="39"/>
  <c r="U37" i="39" s="1"/>
  <c r="AC37" i="39"/>
  <c r="W37" i="39"/>
  <c r="H25" i="39"/>
  <c r="J25" i="39"/>
  <c r="F25" i="39"/>
  <c r="AA25" i="39" s="1"/>
  <c r="F15" i="39"/>
  <c r="AA15" i="39" s="1"/>
  <c r="H15" i="39"/>
  <c r="U15" i="39"/>
  <c r="J15" i="39"/>
  <c r="W15" i="39" s="1"/>
  <c r="H41" i="39"/>
  <c r="W27" i="39"/>
  <c r="AB34" i="39"/>
  <c r="U40" i="39"/>
  <c r="S42" i="39"/>
  <c r="W14" i="39"/>
  <c r="AA41" i="39"/>
  <c r="W9" i="39"/>
  <c r="W8" i="39"/>
  <c r="J19" i="40"/>
  <c r="AC19" i="40" s="1"/>
  <c r="J50" i="40"/>
  <c r="H103" i="9"/>
  <c r="B16" i="53"/>
  <c r="B33" i="72" s="1"/>
  <c r="C7" i="37"/>
  <c r="C7" i="34"/>
  <c r="C7" i="36"/>
  <c r="W35" i="40"/>
  <c r="A118" i="9"/>
  <c r="A4" i="52"/>
  <c r="B41" i="72" s="1"/>
  <c r="J11" i="39"/>
  <c r="AC11" i="39" s="1"/>
  <c r="F11" i="39"/>
  <c r="AA11" i="39" s="1"/>
  <c r="A12" i="52"/>
  <c r="B56" i="72" s="1"/>
  <c r="S11" i="39"/>
  <c r="G4" i="4"/>
  <c r="I4" i="4"/>
  <c r="A2" i="9"/>
  <c r="F59" i="4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s="1"/>
  <c r="BL136" i="3"/>
  <c r="G137" i="3"/>
  <c r="BA139" i="3"/>
  <c r="AZ139" i="3" s="1"/>
  <c r="BL140" i="3"/>
  <c r="AZ140" i="3" s="1"/>
  <c r="G141" i="3"/>
  <c r="BA143" i="3"/>
  <c r="AZ143" i="3" s="1"/>
  <c r="BL144" i="3"/>
  <c r="G145" i="3"/>
  <c r="BA147" i="3"/>
  <c r="AZ147" i="3" s="1"/>
  <c r="BL148" i="3"/>
  <c r="AZ148" i="3"/>
  <c r="G149" i="3"/>
  <c r="BA151" i="3"/>
  <c r="BL152" i="3"/>
  <c r="AZ152" i="3" s="1"/>
  <c r="G153" i="3"/>
  <c r="BA155" i="3"/>
  <c r="AZ155" i="3" s="1"/>
  <c r="BL156" i="3"/>
  <c r="AZ156" i="3" s="1"/>
  <c r="G157" i="3"/>
  <c r="BA159" i="3"/>
  <c r="AZ159" i="3"/>
  <c r="BL160" i="3"/>
  <c r="AZ160" i="3" s="1"/>
  <c r="G161" i="3"/>
  <c r="BA163" i="3"/>
  <c r="AZ163" i="3"/>
  <c r="BL164" i="3"/>
  <c r="G165" i="3"/>
  <c r="BA167" i="3"/>
  <c r="AZ167" i="3" s="1"/>
  <c r="BL168" i="3"/>
  <c r="G169" i="3"/>
  <c r="BA171" i="3"/>
  <c r="BL172" i="3"/>
  <c r="AZ172" i="3" s="1"/>
  <c r="G173" i="3"/>
  <c r="BA175" i="3"/>
  <c r="AZ175" i="3" s="1"/>
  <c r="BL176" i="3"/>
  <c r="G177" i="3"/>
  <c r="BA179" i="3"/>
  <c r="AZ179" i="3" s="1"/>
  <c r="BL180" i="3"/>
  <c r="AZ180" i="3"/>
  <c r="G181" i="3"/>
  <c r="BA183" i="3"/>
  <c r="BL184" i="3"/>
  <c r="AZ184" i="3" s="1"/>
  <c r="G185" i="3"/>
  <c r="BA187" i="3"/>
  <c r="AZ187" i="3" s="1"/>
  <c r="BL188" i="3"/>
  <c r="AZ188" i="3"/>
  <c r="G189" i="3"/>
  <c r="BA191" i="3"/>
  <c r="AZ191" i="3"/>
  <c r="BL192" i="3"/>
  <c r="G193" i="3"/>
  <c r="BA195" i="3"/>
  <c r="AZ195" i="3"/>
  <c r="BL196" i="3"/>
  <c r="G197" i="3"/>
  <c r="BA199" i="3"/>
  <c r="AZ199" i="3" s="1"/>
  <c r="BL200" i="3"/>
  <c r="G201" i="3"/>
  <c r="BA203" i="3"/>
  <c r="BL204" i="3"/>
  <c r="AZ204" i="3" s="1"/>
  <c r="AZ39" i="3"/>
  <c r="AZ43" i="3"/>
  <c r="AZ51" i="3"/>
  <c r="AZ67" i="3"/>
  <c r="AZ75" i="3"/>
  <c r="AZ79" i="3"/>
  <c r="AZ83" i="3"/>
  <c r="AZ136" i="3"/>
  <c r="AZ144" i="3"/>
  <c r="AZ168" i="3"/>
  <c r="AZ176" i="3"/>
  <c r="AZ200" i="3"/>
  <c r="AZ85" i="3"/>
  <c r="AZ97" i="3"/>
  <c r="AZ105"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BA321" i="3"/>
  <c r="BL321" i="3"/>
  <c r="G322" i="3"/>
  <c r="G325" i="3"/>
  <c r="BL326" i="3"/>
  <c r="BA328" i="3"/>
  <c r="BA329" i="3"/>
  <c r="BL329" i="3"/>
  <c r="AZ329" i="3"/>
  <c r="G330" i="3"/>
  <c r="G333" i="3"/>
  <c r="BL334" i="3"/>
  <c r="BA336" i="3"/>
  <c r="AZ336" i="3" s="1"/>
  <c r="BA337" i="3"/>
  <c r="AZ337" i="3" s="1"/>
  <c r="BL337" i="3"/>
  <c r="G338" i="3"/>
  <c r="G341" i="3"/>
  <c r="BA342" i="3"/>
  <c r="BL342" i="3"/>
  <c r="AZ342" i="3" s="1"/>
  <c r="BA344" i="3"/>
  <c r="BL344" i="3"/>
  <c r="AZ344" i="3"/>
  <c r="BA346" i="3"/>
  <c r="BA347" i="3"/>
  <c r="AZ347" i="3"/>
  <c r="BL347" i="3"/>
  <c r="G350" i="3"/>
  <c r="BA351" i="3"/>
  <c r="BL351" i="3"/>
  <c r="AZ351" i="3" s="1"/>
  <c r="G352" i="3"/>
  <c r="G354" i="3"/>
  <c r="BA355" i="3"/>
  <c r="AZ355" i="3" s="1"/>
  <c r="BA356" i="3"/>
  <c r="BL356" i="3"/>
  <c r="G357" i="3"/>
  <c r="G360" i="3"/>
  <c r="BL361" i="3"/>
  <c r="BA363" i="3"/>
  <c r="AZ363" i="3"/>
  <c r="BA364" i="3"/>
  <c r="AZ364" i="3" s="1"/>
  <c r="BL364" i="3"/>
  <c r="G365" i="3"/>
  <c r="G368" i="3"/>
  <c r="BL369" i="3"/>
  <c r="AZ369" i="3" s="1"/>
  <c r="BA371" i="3"/>
  <c r="AZ371" i="3" s="1"/>
  <c r="BA372" i="3"/>
  <c r="AZ372" i="3" s="1"/>
  <c r="BL372" i="3"/>
  <c r="G373" i="3"/>
  <c r="G376" i="3"/>
  <c r="BL377" i="3"/>
  <c r="BL379" i="3"/>
  <c r="BA381" i="3"/>
  <c r="AZ381" i="3"/>
  <c r="BA382" i="3"/>
  <c r="BL382" i="3"/>
  <c r="G383" i="3"/>
  <c r="G386" i="3"/>
  <c r="BL387" i="3"/>
  <c r="AZ387" i="3" s="1"/>
  <c r="BA389" i="3"/>
  <c r="AZ389" i="3" s="1"/>
  <c r="BA390" i="3"/>
  <c r="BL390" i="3"/>
  <c r="G391" i="3"/>
  <c r="G394" i="3"/>
  <c r="AZ138" i="3"/>
  <c r="AZ142" i="3"/>
  <c r="AZ146" i="3"/>
  <c r="AZ150" i="3"/>
  <c r="AZ154" i="3"/>
  <c r="AZ158" i="3"/>
  <c r="AZ162" i="3"/>
  <c r="AZ166" i="3"/>
  <c r="AZ174" i="3"/>
  <c r="AZ182" i="3"/>
  <c r="AZ190" i="3"/>
  <c r="AZ194" i="3"/>
  <c r="AZ202" i="3"/>
  <c r="AZ500" i="3"/>
  <c r="BA16" i="3"/>
  <c r="AZ16" i="3" s="1"/>
  <c r="BL303" i="3"/>
  <c r="G304" i="3"/>
  <c r="BA306" i="3"/>
  <c r="BL307" i="3"/>
  <c r="AZ307" i="3"/>
  <c r="G308" i="3"/>
  <c r="BA310" i="3"/>
  <c r="AZ310" i="3"/>
  <c r="BL311" i="3"/>
  <c r="AZ311" i="3" s="1"/>
  <c r="G312" i="3"/>
  <c r="BA314" i="3"/>
  <c r="AZ314" i="3"/>
  <c r="BL315" i="3"/>
  <c r="G316" i="3"/>
  <c r="BA318" i="3"/>
  <c r="AZ318" i="3" s="1"/>
  <c r="BL319" i="3"/>
  <c r="G320" i="3"/>
  <c r="BA322" i="3"/>
  <c r="AZ322" i="3" s="1"/>
  <c r="BL323" i="3"/>
  <c r="G324" i="3"/>
  <c r="BA326" i="3"/>
  <c r="AZ326" i="3" s="1"/>
  <c r="BL327" i="3"/>
  <c r="G328" i="3"/>
  <c r="BA330" i="3"/>
  <c r="AZ330" i="3"/>
  <c r="BL331" i="3"/>
  <c r="G332" i="3"/>
  <c r="BA334" i="3"/>
  <c r="AZ334" i="3" s="1"/>
  <c r="BL335" i="3"/>
  <c r="AZ335" i="3" s="1"/>
  <c r="G336" i="3"/>
  <c r="BA338" i="3"/>
  <c r="AZ338" i="3" s="1"/>
  <c r="BL339" i="3"/>
  <c r="G340" i="3"/>
  <c r="BL343" i="3"/>
  <c r="AZ343" i="3" s="1"/>
  <c r="G344" i="3"/>
  <c r="G348" i="3"/>
  <c r="G355" i="3"/>
  <c r="AZ209" i="3"/>
  <c r="AZ218" i="3"/>
  <c r="AZ303" i="3"/>
  <c r="AZ319" i="3"/>
  <c r="G342" i="3"/>
  <c r="BL345" i="3"/>
  <c r="AZ345" i="3" s="1"/>
  <c r="G346" i="3"/>
  <c r="BL349" i="3"/>
  <c r="AZ349" i="3" s="1"/>
  <c r="BL352" i="3"/>
  <c r="G353" i="3"/>
  <c r="BA357" i="3"/>
  <c r="AZ357" i="3" s="1"/>
  <c r="BL358" i="3"/>
  <c r="AZ358" i="3"/>
  <c r="G359" i="3"/>
  <c r="BA361" i="3"/>
  <c r="AZ361" i="3" s="1"/>
  <c r="BL362" i="3"/>
  <c r="G363" i="3"/>
  <c r="BA365" i="3"/>
  <c r="BL366" i="3"/>
  <c r="G367" i="3"/>
  <c r="BA369" i="3"/>
  <c r="BL370" i="3"/>
  <c r="AZ370" i="3" s="1"/>
  <c r="G371" i="3"/>
  <c r="BA373" i="3"/>
  <c r="AZ373" i="3"/>
  <c r="BL374" i="3"/>
  <c r="G375" i="3"/>
  <c r="BA377" i="3"/>
  <c r="AZ377" i="3" s="1"/>
  <c r="AZ229" i="3"/>
  <c r="AZ241" i="3"/>
  <c r="AZ245" i="3"/>
  <c r="AZ257" i="3"/>
  <c r="AZ261" i="3"/>
  <c r="AZ265" i="3"/>
  <c r="AZ269" i="3"/>
  <c r="AZ273" i="3"/>
  <c r="BA379" i="3"/>
  <c r="AZ379" i="3"/>
  <c r="BL380" i="3"/>
  <c r="G381" i="3"/>
  <c r="BA383" i="3"/>
  <c r="BL384" i="3"/>
  <c r="G385" i="3"/>
  <c r="BA387" i="3"/>
  <c r="BL388" i="3"/>
  <c r="G389" i="3"/>
  <c r="BA391" i="3"/>
  <c r="AZ391" i="3"/>
  <c r="BL392" i="3"/>
  <c r="G393" i="3"/>
  <c r="AZ263" i="3"/>
  <c r="AZ275" i="3"/>
  <c r="AZ279" i="3"/>
  <c r="AZ283" i="3"/>
  <c r="AZ287" i="3"/>
  <c r="AZ291" i="3"/>
  <c r="AZ295" i="3"/>
  <c r="AZ299" i="3"/>
  <c r="AZ309" i="3"/>
  <c r="AZ333" i="3"/>
  <c r="AZ506" i="3"/>
  <c r="G548" i="3"/>
  <c r="G538" i="3"/>
  <c r="G520" i="3"/>
  <c r="G502" i="3"/>
  <c r="BN5" i="3"/>
  <c r="G17" i="3"/>
  <c r="BA17" i="3"/>
  <c r="AZ356" i="3"/>
  <c r="BA15" i="3"/>
  <c r="AZ380" i="3"/>
  <c r="AZ394" i="3"/>
  <c r="AZ499" i="3"/>
  <c r="BL493" i="3"/>
  <c r="AZ493" i="3" s="1"/>
  <c r="AZ491" i="3"/>
  <c r="AZ390" i="3"/>
  <c r="AZ382" i="3"/>
  <c r="U36" i="40"/>
  <c r="F36" i="43"/>
  <c r="F81" i="43"/>
  <c r="H83" i="43" s="1"/>
  <c r="H113" i="43"/>
  <c r="F70" i="43"/>
  <c r="H73" i="43" s="1"/>
  <c r="M11" i="43"/>
  <c r="D17" i="43"/>
  <c r="F39" i="43"/>
  <c r="I17" i="43"/>
  <c r="F35" i="43"/>
  <c r="J17" i="43"/>
  <c r="F6" i="1"/>
  <c r="U17" i="39"/>
  <c r="S14" i="35"/>
  <c r="U43" i="21"/>
  <c r="U35" i="21"/>
  <c r="AC35" i="21"/>
  <c r="U10" i="21"/>
  <c r="G8" i="1"/>
  <c r="G10" i="1"/>
  <c r="AZ563" i="3"/>
  <c r="AZ501" i="3"/>
  <c r="W37" i="37"/>
  <c r="S15" i="37"/>
  <c r="U12" i="40"/>
  <c r="AA12" i="40"/>
  <c r="J37" i="33"/>
  <c r="W37" i="33" s="1"/>
  <c r="AC17" i="34"/>
  <c r="F106" i="33"/>
  <c r="G106" i="33"/>
  <c r="H106" i="33" s="1"/>
  <c r="I106" i="33" s="1"/>
  <c r="J106" i="33"/>
  <c r="K106" i="33" s="1"/>
  <c r="L106" i="33" s="1"/>
  <c r="M106" i="33" s="1"/>
  <c r="J34" i="33"/>
  <c r="W34" i="33"/>
  <c r="F33" i="34"/>
  <c r="S33" i="34" s="1"/>
  <c r="W12" i="36"/>
  <c r="AC12" i="36"/>
  <c r="H20" i="36"/>
  <c r="U20" i="36" s="1"/>
  <c r="J20" i="36"/>
  <c r="W20" i="36" s="1"/>
  <c r="W24" i="36"/>
  <c r="J27" i="36"/>
  <c r="W27" i="36"/>
  <c r="AB25" i="37"/>
  <c r="AC33" i="40"/>
  <c r="F111" i="40"/>
  <c r="G111" i="40"/>
  <c r="H111" i="40"/>
  <c r="I111" i="40" s="1"/>
  <c r="J111" i="40" s="1"/>
  <c r="K111" i="40" s="1"/>
  <c r="L111" i="40" s="1"/>
  <c r="M111" i="40" s="1"/>
  <c r="H35" i="40"/>
  <c r="AB35" i="40"/>
  <c r="AC29" i="35"/>
  <c r="W29" i="35"/>
  <c r="H35" i="37"/>
  <c r="U35" i="37"/>
  <c r="AC14" i="35"/>
  <c r="H20" i="35"/>
  <c r="U20" i="35" s="1"/>
  <c r="F20" i="35"/>
  <c r="AA20" i="35" s="1"/>
  <c r="AB23" i="35"/>
  <c r="AB29" i="36"/>
  <c r="U29" i="36"/>
  <c r="H32" i="37"/>
  <c r="F96" i="37"/>
  <c r="H27" i="40"/>
  <c r="AB27" i="40" s="1"/>
  <c r="J27" i="40"/>
  <c r="AC27" i="40" s="1"/>
  <c r="F27" i="40"/>
  <c r="AA27" i="40" s="1"/>
  <c r="J30" i="40"/>
  <c r="AC30" i="40" s="1"/>
  <c r="F30" i="40"/>
  <c r="AA30" i="40" s="1"/>
  <c r="AC21" i="40"/>
  <c r="S31" i="39"/>
  <c r="S11" i="40"/>
  <c r="E98" i="40"/>
  <c r="F98" i="40" s="1"/>
  <c r="G98" i="40" s="1"/>
  <c r="H98" i="40" s="1"/>
  <c r="I98" i="40" s="1"/>
  <c r="J98" i="40" s="1"/>
  <c r="K98" i="40" s="1"/>
  <c r="L98" i="40"/>
  <c r="M98" i="40" s="1"/>
  <c r="F10" i="33"/>
  <c r="S10" i="33" s="1"/>
  <c r="F34" i="33"/>
  <c r="S34" i="33" s="1"/>
  <c r="H34" i="33"/>
  <c r="AB34" i="33" s="1"/>
  <c r="F35" i="33"/>
  <c r="AA35" i="33" s="1"/>
  <c r="F39" i="34"/>
  <c r="S39" i="34" s="1"/>
  <c r="J39" i="34"/>
  <c r="AC39" i="34" s="1"/>
  <c r="F40" i="34"/>
  <c r="AA40" i="34" s="1"/>
  <c r="F43" i="34"/>
  <c r="AA43" i="34" s="1"/>
  <c r="H44" i="34"/>
  <c r="AB44" i="34" s="1"/>
  <c r="AC38" i="39"/>
  <c r="F39" i="39"/>
  <c r="S39" i="39" s="1"/>
  <c r="J39" i="39"/>
  <c r="AC39" i="39"/>
  <c r="E97" i="39"/>
  <c r="F97" i="39" s="1"/>
  <c r="G97" i="39" s="1"/>
  <c r="AZ215" i="3"/>
  <c r="AZ223" i="3"/>
  <c r="AZ232" i="3"/>
  <c r="AZ235" i="3"/>
  <c r="AZ243" i="3"/>
  <c r="AZ248" i="3"/>
  <c r="AZ251" i="3"/>
  <c r="AZ256" i="3"/>
  <c r="AZ259" i="3"/>
  <c r="AZ268" i="3"/>
  <c r="AZ271" i="3"/>
  <c r="AZ280" i="3"/>
  <c r="AZ288" i="3"/>
  <c r="AZ296" i="3"/>
  <c r="AZ114" i="3"/>
  <c r="AZ117" i="3"/>
  <c r="AZ130" i="3"/>
  <c r="AZ133" i="3"/>
  <c r="AZ29" i="3"/>
  <c r="AZ37" i="3"/>
  <c r="AZ42" i="3"/>
  <c r="AZ50" i="3"/>
  <c r="AZ53" i="3"/>
  <c r="AZ61" i="3"/>
  <c r="AZ69" i="3"/>
  <c r="AZ77" i="3"/>
  <c r="AZ82" i="3"/>
  <c r="AZ102" i="3"/>
  <c r="H75" i="43"/>
  <c r="F23" i="39"/>
  <c r="AA23" i="39" s="1"/>
  <c r="H27" i="36"/>
  <c r="U27" i="36" s="1"/>
  <c r="F27" i="36"/>
  <c r="AA27" i="36" s="1"/>
  <c r="H33" i="34"/>
  <c r="U33" i="34" s="1"/>
  <c r="F32" i="37"/>
  <c r="AA32" i="37"/>
  <c r="G96" i="37"/>
  <c r="H96" i="37" s="1"/>
  <c r="I96" i="37"/>
  <c r="J96" i="37" s="1"/>
  <c r="K96" i="37" s="1"/>
  <c r="L96" i="37" s="1"/>
  <c r="M96" i="37" s="1"/>
  <c r="F20" i="36"/>
  <c r="AA20" i="36" s="1"/>
  <c r="J33" i="34"/>
  <c r="AC33" i="34"/>
  <c r="H23" i="39"/>
  <c r="U23" i="39" s="1"/>
  <c r="D48" i="9"/>
  <c r="M52" i="9" s="1"/>
  <c r="H86" i="43"/>
  <c r="H87" i="43"/>
  <c r="K9" i="1"/>
  <c r="M9" i="1" s="1"/>
  <c r="AE9" i="1"/>
  <c r="D93" i="9"/>
  <c r="W27" i="34"/>
  <c r="AC27" i="34"/>
  <c r="AB34" i="36"/>
  <c r="U34" i="36"/>
  <c r="AB33" i="36"/>
  <c r="U33" i="36"/>
  <c r="AC12" i="39"/>
  <c r="W12" i="39"/>
  <c r="W12" i="33"/>
  <c r="AC12" i="33"/>
  <c r="AA32" i="36"/>
  <c r="S32" i="36"/>
  <c r="AZ437" i="3"/>
  <c r="AA39" i="34"/>
  <c r="BL14" i="3"/>
  <c r="AZ266" i="3"/>
  <c r="U30" i="33"/>
  <c r="AC13" i="34"/>
  <c r="AA47" i="34"/>
  <c r="W28" i="37"/>
  <c r="S19" i="39"/>
  <c r="F12" i="33"/>
  <c r="H12" i="39"/>
  <c r="AB12" i="39"/>
  <c r="F39" i="40"/>
  <c r="AA39" i="40" s="1"/>
  <c r="BA14" i="3"/>
  <c r="AZ14" i="3" s="1"/>
  <c r="AZ367" i="3"/>
  <c r="AZ213" i="3"/>
  <c r="AZ234" i="3"/>
  <c r="AZ238" i="3"/>
  <c r="AZ254" i="3"/>
  <c r="AZ281" i="3"/>
  <c r="AZ297" i="3"/>
  <c r="AZ149" i="3"/>
  <c r="AZ157" i="3"/>
  <c r="AZ173" i="3"/>
  <c r="AZ181" i="3"/>
  <c r="S12" i="1"/>
  <c r="R12" i="1"/>
  <c r="B12" i="1"/>
  <c r="E12" i="1" s="1"/>
  <c r="S10" i="1"/>
  <c r="AR10" i="1" s="1"/>
  <c r="R10" i="1"/>
  <c r="B10" i="1"/>
  <c r="E10" i="1" s="1"/>
  <c r="AZ80" i="3"/>
  <c r="AZ84" i="3"/>
  <c r="AZ88" i="3"/>
  <c r="AZ107" i="3"/>
  <c r="AZ111" i="3"/>
  <c r="K12" i="1"/>
  <c r="M12" i="1" s="1"/>
  <c r="S13" i="1"/>
  <c r="T13" i="1" s="1"/>
  <c r="R13" i="1"/>
  <c r="S11" i="1"/>
  <c r="AQ11" i="1" s="1"/>
  <c r="R11" i="1"/>
  <c r="S9" i="1"/>
  <c r="AR9" i="1" s="1"/>
  <c r="R9" i="1"/>
  <c r="J51" i="67"/>
  <c r="C42" i="1"/>
  <c r="H100" i="43"/>
  <c r="AC34" i="33"/>
  <c r="B41" i="1"/>
  <c r="F53" i="9" s="1"/>
  <c r="J100" i="43"/>
  <c r="AB37" i="40"/>
  <c r="S35" i="40"/>
  <c r="U35" i="40"/>
  <c r="AC36" i="40"/>
  <c r="AA32" i="40"/>
  <c r="S17" i="40"/>
  <c r="S23" i="40"/>
  <c r="AC17" i="40"/>
  <c r="AC15" i="40"/>
  <c r="S30" i="40"/>
  <c r="S28" i="40"/>
  <c r="U21" i="40"/>
  <c r="AB19" i="40"/>
  <c r="W42" i="39"/>
  <c r="W39" i="39"/>
  <c r="S43" i="39"/>
  <c r="S37" i="39"/>
  <c r="U35" i="39"/>
  <c r="F32" i="39"/>
  <c r="AB27" i="39"/>
  <c r="U31" i="39"/>
  <c r="S25" i="39"/>
  <c r="J21" i="39"/>
  <c r="F21" i="39"/>
  <c r="AA21" i="39" s="1"/>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S25" i="37"/>
  <c r="W27" i="37"/>
  <c r="S26" i="37"/>
  <c r="AC29" i="37"/>
  <c r="U29" i="37"/>
  <c r="S32" i="37"/>
  <c r="W30" i="37"/>
  <c r="S36" i="37"/>
  <c r="AA38" i="37"/>
  <c r="W38" i="37"/>
  <c r="AC35" i="37"/>
  <c r="W39" i="37"/>
  <c r="S30" i="37"/>
  <c r="S37" i="37"/>
  <c r="AC15" i="37"/>
  <c r="J17" i="37"/>
  <c r="W17" i="37" s="1"/>
  <c r="G73" i="37"/>
  <c r="F17" i="37"/>
  <c r="AA17" i="37" s="1"/>
  <c r="AB17" i="37"/>
  <c r="F75" i="37"/>
  <c r="G75" i="37" s="1"/>
  <c r="F19" i="37"/>
  <c r="F79" i="37"/>
  <c r="F23" i="37"/>
  <c r="S23" i="37"/>
  <c r="U23" i="37"/>
  <c r="U15" i="37"/>
  <c r="AC13" i="37"/>
  <c r="U9" i="37"/>
  <c r="AA13" i="37"/>
  <c r="AA12" i="37"/>
  <c r="AA9" i="37"/>
  <c r="H10" i="37"/>
  <c r="H60" i="37"/>
  <c r="F63" i="37"/>
  <c r="G63" i="37" s="1"/>
  <c r="F11" i="37"/>
  <c r="S11" i="37"/>
  <c r="S27" i="34"/>
  <c r="W25" i="34"/>
  <c r="AB8" i="34"/>
  <c r="AA33" i="34"/>
  <c r="U44" i="34"/>
  <c r="U43" i="34"/>
  <c r="W41" i="34"/>
  <c r="AC42" i="34"/>
  <c r="AB35" i="34"/>
  <c r="U39" i="34"/>
  <c r="S43" i="34"/>
  <c r="AB41" i="34"/>
  <c r="AA45" i="34"/>
  <c r="W34" i="34"/>
  <c r="AA25" i="34"/>
  <c r="U28" i="34"/>
  <c r="S17" i="34"/>
  <c r="U27" i="34"/>
  <c r="S23" i="34"/>
  <c r="U15" i="34"/>
  <c r="S10" i="34"/>
  <c r="S13" i="34"/>
  <c r="H67" i="34"/>
  <c r="H10" i="34"/>
  <c r="F11" i="34"/>
  <c r="S11" i="34"/>
  <c r="F70" i="34"/>
  <c r="W42" i="33"/>
  <c r="S27" i="33"/>
  <c r="S32" i="33"/>
  <c r="AA29" i="33"/>
  <c r="AB29" i="33"/>
  <c r="W38" i="33"/>
  <c r="H41" i="33"/>
  <c r="U41" i="33" s="1"/>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S43" i="33"/>
  <c r="F91" i="33"/>
  <c r="H27" i="33"/>
  <c r="F87" i="33"/>
  <c r="G87" i="33" s="1"/>
  <c r="H25" i="33"/>
  <c r="U25" i="33" s="1"/>
  <c r="F25" i="33"/>
  <c r="S25" i="33" s="1"/>
  <c r="J23" i="33"/>
  <c r="H23" i="33"/>
  <c r="AB23" i="33" s="1"/>
  <c r="F81" i="33"/>
  <c r="G81" i="33" s="1"/>
  <c r="F19" i="33"/>
  <c r="S19" i="33" s="1"/>
  <c r="W19" i="33"/>
  <c r="J17" i="33"/>
  <c r="F79" i="33"/>
  <c r="G79" i="33" s="1"/>
  <c r="S15" i="33"/>
  <c r="W15" i="33"/>
  <c r="U9" i="33"/>
  <c r="I66" i="33"/>
  <c r="J10" i="33"/>
  <c r="AC10" i="33" s="1"/>
  <c r="H10" i="33"/>
  <c r="AA10" i="33"/>
  <c r="AC11" i="33"/>
  <c r="AB14" i="33"/>
  <c r="W43" i="21"/>
  <c r="W36" i="21"/>
  <c r="W41" i="21"/>
  <c r="AB39" i="21"/>
  <c r="AA43" i="21"/>
  <c r="S39" i="21"/>
  <c r="AA38" i="21"/>
  <c r="AA36" i="21"/>
  <c r="AC40" i="21"/>
  <c r="J15" i="21"/>
  <c r="W15" i="21" s="1"/>
  <c r="F77" i="21"/>
  <c r="G77" i="21"/>
  <c r="F23" i="21"/>
  <c r="S23" i="21"/>
  <c r="E85" i="21"/>
  <c r="AC11" i="21"/>
  <c r="AA14" i="21"/>
  <c r="AB8" i="21"/>
  <c r="S8" i="21"/>
  <c r="M3" i="43"/>
  <c r="M1" i="43"/>
  <c r="N8" i="43"/>
  <c r="C18" i="9"/>
  <c r="D18" i="9" s="1"/>
  <c r="F34" i="67"/>
  <c r="F62" i="67" s="1"/>
  <c r="F34" i="15"/>
  <c r="F62" i="15" s="1"/>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C7" i="43"/>
  <c r="E81" i="43"/>
  <c r="B79" i="43"/>
  <c r="E70" i="43"/>
  <c r="B68" i="43" s="1"/>
  <c r="F100" i="43"/>
  <c r="H17" i="43"/>
  <c r="G6" i="1"/>
  <c r="H81" i="43"/>
  <c r="H88" i="43"/>
  <c r="H78" i="43"/>
  <c r="H71" i="43"/>
  <c r="C17" i="43"/>
  <c r="F33" i="43"/>
  <c r="K17" i="43"/>
  <c r="F34" i="43"/>
  <c r="N6" i="43"/>
  <c r="N3" i="43"/>
  <c r="F38" i="43"/>
  <c r="F37" i="43"/>
  <c r="M9" i="43"/>
  <c r="N5" i="43"/>
  <c r="M12" i="43"/>
  <c r="B19" i="53"/>
  <c r="B37" i="72" s="1"/>
  <c r="C7" i="39"/>
  <c r="C68" i="39"/>
  <c r="C70" i="39" s="1"/>
  <c r="C7" i="35"/>
  <c r="C48" i="35" s="1"/>
  <c r="D48" i="35" s="1"/>
  <c r="C7" i="33"/>
  <c r="C58" i="33" s="1"/>
  <c r="C7" i="21"/>
  <c r="C58" i="21" s="1"/>
  <c r="C7" i="40"/>
  <c r="C63" i="40" s="1"/>
  <c r="M47" i="9"/>
  <c r="G19" i="43"/>
  <c r="O19" i="43" s="1"/>
  <c r="C46" i="36"/>
  <c r="D46" i="36" s="1"/>
  <c r="C59" i="34"/>
  <c r="D59" i="34" s="1"/>
  <c r="E59" i="34" s="1"/>
  <c r="F59" i="34" s="1"/>
  <c r="G59" i="34" s="1"/>
  <c r="H59" i="34" s="1"/>
  <c r="C52" i="37"/>
  <c r="D52" i="37" s="1"/>
  <c r="A4" i="51"/>
  <c r="B6" i="72" s="1"/>
  <c r="C4" i="12"/>
  <c r="H66" i="43"/>
  <c r="H64" i="43"/>
  <c r="H63" i="43"/>
  <c r="H72" i="43"/>
  <c r="L20" i="6"/>
  <c r="B6" i="1"/>
  <c r="E6" i="1" s="1"/>
  <c r="S8" i="1"/>
  <c r="AR8" i="1" s="1"/>
  <c r="K11" i="1"/>
  <c r="AP6" i="1"/>
  <c r="B9" i="1"/>
  <c r="E9" i="1" s="1"/>
  <c r="K7" i="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B35" i="37"/>
  <c r="AA11" i="37"/>
  <c r="AA31" i="37"/>
  <c r="U19" i="37"/>
  <c r="AA29" i="37"/>
  <c r="AA8" i="37"/>
  <c r="U8" i="37"/>
  <c r="AB40" i="34"/>
  <c r="U19" i="34"/>
  <c r="W19" i="34"/>
  <c r="AB33" i="34"/>
  <c r="AC45" i="34"/>
  <c r="AA31" i="34"/>
  <c r="AA30" i="34"/>
  <c r="AB45" i="34"/>
  <c r="AB47" i="34"/>
  <c r="U25" i="34"/>
  <c r="AB36" i="34"/>
  <c r="W33" i="34"/>
  <c r="AC14" i="34"/>
  <c r="AC32" i="34"/>
  <c r="AC29" i="34"/>
  <c r="W29" i="34"/>
  <c r="S32" i="34"/>
  <c r="AA32" i="34"/>
  <c r="U30" i="34"/>
  <c r="AB30" i="34"/>
  <c r="S37" i="34"/>
  <c r="AC40" i="34"/>
  <c r="W40" i="34"/>
  <c r="AA19" i="34"/>
  <c r="S19" i="34"/>
  <c r="AA36" i="34"/>
  <c r="S36" i="34"/>
  <c r="AA8" i="34"/>
  <c r="S8" i="34"/>
  <c r="U32" i="34"/>
  <c r="AB32" i="34"/>
  <c r="U14" i="34"/>
  <c r="AB14" i="34"/>
  <c r="AC43" i="34"/>
  <c r="W43" i="34"/>
  <c r="AA11" i="34"/>
  <c r="W23" i="34"/>
  <c r="AC23" i="34"/>
  <c r="AC35" i="34"/>
  <c r="W35" i="34"/>
  <c r="AB28" i="33"/>
  <c r="AC37" i="33"/>
  <c r="W46" i="33"/>
  <c r="U39" i="33"/>
  <c r="U38" i="33"/>
  <c r="S33" i="33"/>
  <c r="U44" i="33"/>
  <c r="AB44" i="33"/>
  <c r="S30" i="33"/>
  <c r="AA30" i="33"/>
  <c r="AC14" i="33"/>
  <c r="W14" i="33"/>
  <c r="AC30" i="33"/>
  <c r="W30" i="33"/>
  <c r="S31" i="33"/>
  <c r="AA31" i="33"/>
  <c r="U15" i="33"/>
  <c r="S11" i="33"/>
  <c r="U37" i="33"/>
  <c r="AC28" i="33"/>
  <c r="S28" i="33"/>
  <c r="W9" i="33"/>
  <c r="W8" i="33"/>
  <c r="S44" i="21"/>
  <c r="AB42" i="21"/>
  <c r="U28" i="21"/>
  <c r="AA11" i="21"/>
  <c r="S45" i="21"/>
  <c r="I101" i="21"/>
  <c r="J101" i="21"/>
  <c r="K101" i="21" s="1"/>
  <c r="L101" i="21" s="1"/>
  <c r="M101" i="21" s="1"/>
  <c r="F33" i="21"/>
  <c r="S33" i="21" s="1"/>
  <c r="J33" i="21"/>
  <c r="W33" i="21" s="1"/>
  <c r="H33" i="21"/>
  <c r="AB33" i="21"/>
  <c r="F37" i="21"/>
  <c r="AA37" i="21"/>
  <c r="AA26" i="21"/>
  <c r="AB14" i="21"/>
  <c r="AB46" i="21"/>
  <c r="U40" i="21"/>
  <c r="U31" i="21"/>
  <c r="AC15" i="21"/>
  <c r="U13" i="21"/>
  <c r="AB13" i="21"/>
  <c r="W8" i="21"/>
  <c r="S35" i="21"/>
  <c r="AB37" i="21"/>
  <c r="J37" i="21"/>
  <c r="W37" i="21"/>
  <c r="H15" i="21"/>
  <c r="U15" i="21" s="1"/>
  <c r="J17" i="21"/>
  <c r="AC17" i="21"/>
  <c r="AC19" i="21"/>
  <c r="W39" i="21"/>
  <c r="AC14" i="21"/>
  <c r="W30" i="21"/>
  <c r="S46" i="21"/>
  <c r="H45" i="21"/>
  <c r="U45" i="21"/>
  <c r="F29" i="21"/>
  <c r="S29" i="21"/>
  <c r="F13" i="21"/>
  <c r="AA13" i="21" s="1"/>
  <c r="AC38" i="21"/>
  <c r="H32" i="21"/>
  <c r="H9" i="21"/>
  <c r="AB9" i="21" s="1"/>
  <c r="J9" i="21"/>
  <c r="J32" i="2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E7" i="70"/>
  <c r="S39" i="40"/>
  <c r="S12" i="33"/>
  <c r="AA12" i="33"/>
  <c r="J32" i="39"/>
  <c r="H32" i="39"/>
  <c r="U32" i="39" s="1"/>
  <c r="AA32" i="39"/>
  <c r="S32" i="39"/>
  <c r="AB21" i="39"/>
  <c r="U21" i="39"/>
  <c r="S21" i="39"/>
  <c r="AC21" i="39"/>
  <c r="W21" i="39"/>
  <c r="U9" i="35"/>
  <c r="AB9" i="35"/>
  <c r="AA9" i="35"/>
  <c r="AC17" i="37"/>
  <c r="S17" i="37"/>
  <c r="J19" i="37"/>
  <c r="AC19" i="37" s="1"/>
  <c r="S19" i="37"/>
  <c r="AA19" i="37"/>
  <c r="AA23" i="37"/>
  <c r="J23" i="37"/>
  <c r="G79" i="37"/>
  <c r="J10" i="37"/>
  <c r="W10" i="37" s="1"/>
  <c r="I60" i="37"/>
  <c r="H11" i="37"/>
  <c r="AB11" i="37" s="1"/>
  <c r="AB10" i="37"/>
  <c r="U10" i="37"/>
  <c r="G70" i="34"/>
  <c r="H11" i="34"/>
  <c r="AB10" i="34"/>
  <c r="U10" i="34"/>
  <c r="J10" i="34"/>
  <c r="I67" i="34"/>
  <c r="AB41" i="33"/>
  <c r="H111" i="33"/>
  <c r="I111" i="33"/>
  <c r="J111" i="33" s="1"/>
  <c r="K111" i="33" s="1"/>
  <c r="L111" i="33" s="1"/>
  <c r="M111" i="33" s="1"/>
  <c r="J36" i="33"/>
  <c r="H36" i="33"/>
  <c r="U36" i="33" s="1"/>
  <c r="AA36" i="33"/>
  <c r="W32" i="33"/>
  <c r="U27" i="33"/>
  <c r="AB27" i="33"/>
  <c r="G91" i="33"/>
  <c r="H91" i="33" s="1"/>
  <c r="I91" i="33" s="1"/>
  <c r="J91" i="33" s="1"/>
  <c r="K91" i="33" s="1"/>
  <c r="L91" i="33" s="1"/>
  <c r="M91" i="33" s="1"/>
  <c r="J27" i="33"/>
  <c r="AB25" i="33"/>
  <c r="AA25" i="33"/>
  <c r="H87" i="33"/>
  <c r="I87" i="33"/>
  <c r="J87" i="33"/>
  <c r="K87" i="33" s="1"/>
  <c r="L87" i="33" s="1"/>
  <c r="M87" i="33" s="1"/>
  <c r="J25" i="33"/>
  <c r="U23" i="33"/>
  <c r="F23" i="33"/>
  <c r="G85" i="33"/>
  <c r="AC23" i="33"/>
  <c r="W23" i="33"/>
  <c r="AA19" i="33"/>
  <c r="H19" i="33"/>
  <c r="AB19" i="33" s="1"/>
  <c r="H17" i="33"/>
  <c r="F17" i="33"/>
  <c r="AA17" i="33" s="1"/>
  <c r="W17" i="33"/>
  <c r="AC17" i="33"/>
  <c r="U10" i="33"/>
  <c r="AB10" i="33"/>
  <c r="W10" i="33"/>
  <c r="AC37" i="21"/>
  <c r="U33" i="21"/>
  <c r="S37" i="21"/>
  <c r="AA23" i="21"/>
  <c r="J23" i="21"/>
  <c r="AC23" i="21" s="1"/>
  <c r="F85" i="21"/>
  <c r="G85" i="21"/>
  <c r="H23" i="21"/>
  <c r="AP7" i="1"/>
  <c r="AB45" i="21"/>
  <c r="AC33" i="21"/>
  <c r="AA33" i="21"/>
  <c r="W32" i="21"/>
  <c r="AC32" i="21"/>
  <c r="AA32" i="21"/>
  <c r="W9" i="21"/>
  <c r="AC9" i="21"/>
  <c r="AB32" i="21"/>
  <c r="U32" i="21"/>
  <c r="AC32" i="39"/>
  <c r="W32" i="39"/>
  <c r="W19" i="37"/>
  <c r="W23" i="37"/>
  <c r="AC23" i="37"/>
  <c r="U11" i="37"/>
  <c r="H63" i="37"/>
  <c r="I63" i="37" s="1"/>
  <c r="J63" i="37" s="1"/>
  <c r="K63" i="37" s="1"/>
  <c r="L63" i="37" s="1"/>
  <c r="M63" i="37" s="1"/>
  <c r="J11" i="37"/>
  <c r="U11" i="34"/>
  <c r="AB11" i="34"/>
  <c r="AC10" i="34"/>
  <c r="W10" i="34"/>
  <c r="H70" i="34"/>
  <c r="I70" i="34" s="1"/>
  <c r="J70" i="34"/>
  <c r="K70" i="34"/>
  <c r="L70" i="34"/>
  <c r="M70" i="34" s="1"/>
  <c r="J11" i="34"/>
  <c r="W11" i="34" s="1"/>
  <c r="AC36" i="33"/>
  <c r="W36" i="33"/>
  <c r="AB36" i="33"/>
  <c r="W27" i="33"/>
  <c r="AC27" i="33"/>
  <c r="W25" i="33"/>
  <c r="AC25" i="33"/>
  <c r="AA23" i="33"/>
  <c r="S23" i="33"/>
  <c r="S17" i="33"/>
  <c r="U17" i="33"/>
  <c r="AB17" i="33"/>
  <c r="U23" i="21"/>
  <c r="AB23" i="21"/>
  <c r="W23" i="21"/>
  <c r="AC11" i="37"/>
  <c r="W11" i="37"/>
  <c r="AC11" i="34"/>
  <c r="F34" i="11"/>
  <c r="C36" i="11" s="1"/>
  <c r="F11" i="12"/>
  <c r="C23" i="12" s="1"/>
  <c r="F34" i="68"/>
  <c r="R8" i="1"/>
  <c r="AE8" i="1"/>
  <c r="H109" i="9"/>
  <c r="H110" i="9"/>
  <c r="D18" i="53" s="1"/>
  <c r="B35" i="72" s="1"/>
  <c r="D124" i="9"/>
  <c r="H14" i="74" s="1"/>
  <c r="B7" i="74" s="1"/>
  <c r="D16" i="53"/>
  <c r="B34" i="72" s="1"/>
  <c r="D17" i="53"/>
  <c r="B36" i="72" s="1"/>
  <c r="H112" i="9"/>
  <c r="D21" i="53" s="1"/>
  <c r="B39" i="72" s="1"/>
  <c r="H111" i="9"/>
  <c r="D126" i="9"/>
  <c r="I14" i="74" s="1"/>
  <c r="B8" i="74" s="1"/>
  <c r="D19" i="53"/>
  <c r="B38" i="72" s="1"/>
  <c r="AD3" i="71"/>
  <c r="J1" i="73"/>
  <c r="H77" i="43"/>
  <c r="H76" i="43"/>
  <c r="H67" i="43"/>
  <c r="H60" i="43"/>
  <c r="H61" i="43"/>
  <c r="M4" i="43"/>
  <c r="C6" i="43" s="1"/>
  <c r="M5" i="43"/>
  <c r="N12" i="43"/>
  <c r="N11" i="43"/>
  <c r="M10" i="43"/>
  <c r="M2" i="43"/>
  <c r="M7" i="43"/>
  <c r="H70" i="43"/>
  <c r="N9" i="43"/>
  <c r="M8" i="43"/>
  <c r="N10" i="43"/>
  <c r="H74" i="43"/>
  <c r="M6" i="43"/>
  <c r="N7" i="43"/>
  <c r="N4" i="43"/>
  <c r="F48" i="43" s="1"/>
  <c r="N2" i="43"/>
  <c r="N17" i="43"/>
  <c r="L17" i="43"/>
  <c r="O17" i="43"/>
  <c r="M17" i="43"/>
  <c r="E17" i="43"/>
  <c r="D68" i="39"/>
  <c r="D70" i="39" s="1"/>
  <c r="E46" i="36"/>
  <c r="F46" i="36" s="1"/>
  <c r="G46" i="36" s="1"/>
  <c r="H46" i="36" s="1"/>
  <c r="I46" i="36" s="1"/>
  <c r="D21" i="71"/>
  <c r="U21" i="71" s="1"/>
  <c r="S21" i="71"/>
  <c r="T21" i="71"/>
  <c r="AB19" i="71"/>
  <c r="X17" i="71"/>
  <c r="X16" i="71"/>
  <c r="AA17" i="71"/>
  <c r="AA16" i="71"/>
  <c r="X20" i="71"/>
  <c r="Y16" i="71"/>
  <c r="Z16" i="71" s="1"/>
  <c r="AB17" i="71"/>
  <c r="AB16" i="71"/>
  <c r="S17" i="71"/>
  <c r="F18" i="71"/>
  <c r="F17" i="71" s="1"/>
  <c r="F16" i="71" s="1"/>
  <c r="F15" i="71" s="1"/>
  <c r="F14" i="71" s="1"/>
  <c r="Y17" i="71"/>
  <c r="Z17" i="71" s="1"/>
  <c r="X3" i="71"/>
  <c r="E68" i="39"/>
  <c r="F68" i="39" s="1"/>
  <c r="I59" i="34"/>
  <c r="J59" i="34" s="1"/>
  <c r="L48" i="80"/>
  <c r="F6" i="15"/>
  <c r="B11" i="76"/>
  <c r="M23" i="67"/>
  <c r="F4" i="73"/>
  <c r="B9" i="76"/>
  <c r="F20" i="31"/>
  <c r="M22" i="67"/>
  <c r="F40" i="67"/>
  <c r="AO10" i="1"/>
  <c r="AO13" i="1"/>
  <c r="C76" i="15"/>
  <c r="F37" i="15"/>
  <c r="L48" i="67"/>
  <c r="D2" i="36"/>
  <c r="M24" i="67"/>
  <c r="M26" i="15"/>
  <c r="F8" i="15"/>
  <c r="M28" i="67"/>
  <c r="M24" i="15"/>
  <c r="AO9" i="1"/>
  <c r="B12" i="76"/>
  <c r="AO11" i="1"/>
  <c r="E11" i="76"/>
  <c r="E9" i="76"/>
  <c r="F38" i="15"/>
  <c r="B8" i="76"/>
  <c r="L47" i="67"/>
  <c r="F26" i="15"/>
  <c r="M27" i="67"/>
  <c r="F13" i="67"/>
  <c r="F9" i="67"/>
  <c r="D2" i="35"/>
  <c r="E2" i="69"/>
  <c r="D35" i="9"/>
  <c r="D2" i="34"/>
  <c r="F26" i="67"/>
  <c r="F7" i="73"/>
  <c r="F41" i="67"/>
  <c r="C76" i="67"/>
  <c r="F38" i="67"/>
  <c r="M29" i="67"/>
  <c r="E13" i="76"/>
  <c r="E2" i="68"/>
  <c r="L48" i="15"/>
  <c r="E10" i="76"/>
  <c r="M22" i="15"/>
  <c r="D2" i="33"/>
  <c r="D6" i="73"/>
  <c r="F36" i="67"/>
  <c r="F13" i="15"/>
  <c r="F7" i="67"/>
  <c r="F5" i="73"/>
  <c r="D34" i="9"/>
  <c r="D3" i="73"/>
  <c r="M8" i="15"/>
  <c r="F42" i="15"/>
  <c r="F36" i="15"/>
  <c r="M23" i="15"/>
  <c r="AO12" i="1"/>
  <c r="D2" i="21"/>
  <c r="E7" i="76"/>
  <c r="L47" i="15"/>
  <c r="F6" i="67"/>
  <c r="F8" i="67"/>
  <c r="F3" i="73"/>
  <c r="M28" i="15"/>
  <c r="B10" i="76"/>
  <c r="J15" i="15"/>
  <c r="M9" i="15"/>
  <c r="F40" i="15"/>
  <c r="J15" i="67"/>
  <c r="B7" i="76"/>
  <c r="E12" i="76"/>
  <c r="F6" i="73"/>
  <c r="M9" i="67"/>
  <c r="F37" i="67"/>
  <c r="D7" i="73"/>
  <c r="B13" i="76"/>
  <c r="E8" i="76"/>
  <c r="F43" i="67"/>
  <c r="M6" i="15"/>
  <c r="D2" i="37"/>
  <c r="F16" i="15"/>
  <c r="D5" i="73"/>
  <c r="F9" i="15"/>
  <c r="F16" i="67"/>
  <c r="AO8" i="1"/>
  <c r="D4" i="73"/>
  <c r="L56" i="80" l="1"/>
  <c r="L60" i="80"/>
  <c r="L58" i="80"/>
  <c r="J53" i="80"/>
  <c r="I54" i="80"/>
  <c r="L57" i="80"/>
  <c r="J57" i="80"/>
  <c r="J55" i="80" s="1"/>
  <c r="J58" i="80" s="1"/>
  <c r="Q50" i="80" s="1"/>
  <c r="J59" i="80"/>
  <c r="J60" i="80"/>
  <c r="Q48" i="80" s="1"/>
  <c r="I20" i="43"/>
  <c r="G7" i="1"/>
  <c r="G41" i="43"/>
  <c r="AZ13" i="3"/>
  <c r="AR11" i="1"/>
  <c r="T11" i="1"/>
  <c r="F3" i="35"/>
  <c r="L27" i="6"/>
  <c r="D10" i="52"/>
  <c r="AA19" i="40"/>
  <c r="BD5" i="3"/>
  <c r="AZ320" i="3"/>
  <c r="AB32" i="40"/>
  <c r="AZ513" i="3"/>
  <c r="AZ531" i="3"/>
  <c r="AZ528" i="3"/>
  <c r="AC30" i="34"/>
  <c r="AB13" i="37"/>
  <c r="W44" i="34"/>
  <c r="AC44" i="34"/>
  <c r="D20" i="53"/>
  <c r="B40" i="72" s="1"/>
  <c r="S35" i="33"/>
  <c r="AZ497" i="3"/>
  <c r="AA21" i="40"/>
  <c r="S21" i="40"/>
  <c r="H13" i="33"/>
  <c r="J13" i="33"/>
  <c r="J12" i="34"/>
  <c r="H12" i="34"/>
  <c r="F12" i="34"/>
  <c r="H46" i="34"/>
  <c r="F46" i="34"/>
  <c r="AZ584" i="3"/>
  <c r="BA583" i="3"/>
  <c r="AZ583" i="3" s="1"/>
  <c r="AZ582" i="3"/>
  <c r="AZ581" i="3"/>
  <c r="AZ580" i="3"/>
  <c r="AZ579" i="3"/>
  <c r="AZ578" i="3"/>
  <c r="AZ577" i="3"/>
  <c r="BG5" i="3"/>
  <c r="BA575" i="3"/>
  <c r="AZ575" i="3" s="1"/>
  <c r="AZ573" i="3"/>
  <c r="BA572" i="3"/>
  <c r="AZ572" i="3" s="1"/>
  <c r="AZ571" i="3"/>
  <c r="AZ570" i="3"/>
  <c r="AZ568" i="3"/>
  <c r="BS5" i="3"/>
  <c r="BA561" i="3"/>
  <c r="BI5" i="3"/>
  <c r="BA560" i="3"/>
  <c r="AZ560" i="3" s="1"/>
  <c r="BE5" i="3"/>
  <c r="BR5" i="3"/>
  <c r="BA559" i="3"/>
  <c r="BH5" i="3"/>
  <c r="BM5" i="3"/>
  <c r="BL558" i="3"/>
  <c r="AZ558" i="3" s="1"/>
  <c r="BC5" i="3"/>
  <c r="AC43" i="33"/>
  <c r="W43" i="33"/>
  <c r="F28" i="6"/>
  <c r="AB38" i="34"/>
  <c r="U38" i="34"/>
  <c r="AC28" i="35"/>
  <c r="W28" i="35"/>
  <c r="AB34" i="35"/>
  <c r="U34" i="35"/>
  <c r="C79" i="35"/>
  <c r="F26" i="35"/>
  <c r="BT5" i="3"/>
  <c r="BJ5" i="3"/>
  <c r="BA565" i="3"/>
  <c r="AZ565" i="3" s="1"/>
  <c r="BB5" i="3"/>
  <c r="BO5" i="3"/>
  <c r="BL564" i="3"/>
  <c r="AZ564" i="3" s="1"/>
  <c r="BF5" i="3"/>
  <c r="AZ562" i="3"/>
  <c r="U9" i="21"/>
  <c r="U32" i="37"/>
  <c r="AB32" i="37"/>
  <c r="AZ151" i="3"/>
  <c r="W9" i="37"/>
  <c r="AB28" i="37"/>
  <c r="AA41" i="34"/>
  <c r="S41" i="34"/>
  <c r="BL559" i="3"/>
  <c r="S29" i="34"/>
  <c r="AA29" i="34"/>
  <c r="AB11" i="35"/>
  <c r="U11" i="35"/>
  <c r="AC10" i="37"/>
  <c r="AB32" i="39"/>
  <c r="AB15" i="21"/>
  <c r="S10" i="21"/>
  <c r="AC35" i="33"/>
  <c r="S27" i="36"/>
  <c r="AZ306" i="3"/>
  <c r="AZ305" i="3"/>
  <c r="W11" i="39"/>
  <c r="H5" i="3"/>
  <c r="J46" i="34"/>
  <c r="AA24" i="36"/>
  <c r="S24" i="36"/>
  <c r="G17" i="43"/>
  <c r="C16" i="43" s="1"/>
  <c r="S13" i="21"/>
  <c r="H62" i="43"/>
  <c r="H59" i="43"/>
  <c r="H65" i="43"/>
  <c r="D8" i="53"/>
  <c r="D120" i="9"/>
  <c r="G509" i="3"/>
  <c r="AC5" i="3"/>
  <c r="AZ525" i="3"/>
  <c r="AC10" i="36"/>
  <c r="W10" i="36"/>
  <c r="W47" i="34"/>
  <c r="AC47" i="34"/>
  <c r="AC34" i="37"/>
  <c r="W34" i="37"/>
  <c r="D125" i="9"/>
  <c r="D11" i="52" s="1"/>
  <c r="U19" i="33"/>
  <c r="S27" i="40"/>
  <c r="G29" i="6"/>
  <c r="AA14" i="33"/>
  <c r="S14" i="33"/>
  <c r="F13" i="33"/>
  <c r="BP5" i="3"/>
  <c r="AZ321" i="3"/>
  <c r="AZ341" i="3"/>
  <c r="U25" i="39"/>
  <c r="AB25" i="39"/>
  <c r="AB31" i="37"/>
  <c r="U31" i="37"/>
  <c r="AZ496" i="3"/>
  <c r="S14" i="37"/>
  <c r="U35" i="35"/>
  <c r="AB35" i="35"/>
  <c r="W44" i="33"/>
  <c r="AC44" i="33"/>
  <c r="U31" i="33"/>
  <c r="AB31" i="33"/>
  <c r="AZ587" i="3"/>
  <c r="F9" i="34"/>
  <c r="J9" i="34"/>
  <c r="H9" i="34"/>
  <c r="AB23" i="39"/>
  <c r="S40" i="34"/>
  <c r="U34" i="33"/>
  <c r="K5" i="4"/>
  <c r="B47" i="48" s="1"/>
  <c r="BL586" i="3"/>
  <c r="AZ586" i="3" s="1"/>
  <c r="AA34" i="33"/>
  <c r="AB37" i="39"/>
  <c r="AZ521" i="3"/>
  <c r="AZ534" i="3"/>
  <c r="AC11" i="36"/>
  <c r="W39" i="34"/>
  <c r="U27" i="40"/>
  <c r="BL561" i="3"/>
  <c r="AZ503" i="3"/>
  <c r="J26" i="33"/>
  <c r="F26" i="33"/>
  <c r="H26" i="33"/>
  <c r="S39" i="37"/>
  <c r="AA39" i="37"/>
  <c r="W30" i="40"/>
  <c r="AC13" i="40"/>
  <c r="AZ527" i="3"/>
  <c r="AZ543" i="3"/>
  <c r="AZ516" i="3"/>
  <c r="AC29" i="33"/>
  <c r="AB33" i="33"/>
  <c r="U33" i="33"/>
  <c r="F34" i="35"/>
  <c r="J34" i="35"/>
  <c r="F38" i="40"/>
  <c r="J38" i="40"/>
  <c r="H38" i="40"/>
  <c r="AC28" i="34"/>
  <c r="W11" i="35"/>
  <c r="AB17" i="34"/>
  <c r="U34" i="21"/>
  <c r="S9" i="33"/>
  <c r="H39" i="40"/>
  <c r="J39" i="40"/>
  <c r="W36" i="35"/>
  <c r="AC22" i="35"/>
  <c r="W22" i="35"/>
  <c r="S31" i="36"/>
  <c r="AA31" i="36"/>
  <c r="BA550" i="3"/>
  <c r="AZ550" i="3" s="1"/>
  <c r="W39" i="33"/>
  <c r="AC8" i="36"/>
  <c r="W8" i="36"/>
  <c r="H12" i="33"/>
  <c r="BA551" i="3"/>
  <c r="AZ551" i="3" s="1"/>
  <c r="J23" i="35"/>
  <c r="W28" i="36"/>
  <c r="H24" i="36"/>
  <c r="G551" i="3"/>
  <c r="AZ426" i="3"/>
  <c r="BL548" i="3"/>
  <c r="AZ548" i="3" s="1"/>
  <c r="AZ431" i="3"/>
  <c r="AZ468" i="3"/>
  <c r="AZ398" i="3"/>
  <c r="AZ404" i="3"/>
  <c r="AZ410" i="3"/>
  <c r="AZ464" i="3"/>
  <c r="AZ395" i="3"/>
  <c r="E19" i="6"/>
  <c r="BL401" i="3"/>
  <c r="AZ401" i="3" s="1"/>
  <c r="G402" i="3"/>
  <c r="BA405" i="3"/>
  <c r="AZ405" i="3" s="1"/>
  <c r="BL410" i="3"/>
  <c r="BA414" i="3"/>
  <c r="AZ414" i="3" s="1"/>
  <c r="BL421" i="3"/>
  <c r="G422" i="3"/>
  <c r="BA425" i="3"/>
  <c r="AZ425" i="3" s="1"/>
  <c r="BL429" i="3"/>
  <c r="AZ429" i="3" s="1"/>
  <c r="G430" i="3"/>
  <c r="BL435" i="3"/>
  <c r="G436" i="3"/>
  <c r="BL438" i="3"/>
  <c r="G439" i="3"/>
  <c r="BA445" i="3"/>
  <c r="AZ445" i="3" s="1"/>
  <c r="BA447" i="3"/>
  <c r="AZ447" i="3" s="1"/>
  <c r="BL448" i="3"/>
  <c r="AZ448" i="3" s="1"/>
  <c r="BA450" i="3"/>
  <c r="AZ450" i="3" s="1"/>
  <c r="BA457" i="3"/>
  <c r="BL459" i="3"/>
  <c r="BA461" i="3"/>
  <c r="AZ461" i="3" s="1"/>
  <c r="BA474" i="3"/>
  <c r="AZ474" i="3" s="1"/>
  <c r="BL476" i="3"/>
  <c r="BA477" i="3"/>
  <c r="BL486" i="3"/>
  <c r="AZ486" i="3" s="1"/>
  <c r="G311" i="3"/>
  <c r="BA316" i="3"/>
  <c r="AZ316" i="3" s="1"/>
  <c r="BA317" i="3"/>
  <c r="AZ317" i="3" s="1"/>
  <c r="BL328" i="3"/>
  <c r="AZ328" i="3" s="1"/>
  <c r="G329" i="3"/>
  <c r="BL346" i="3"/>
  <c r="AZ346" i="3" s="1"/>
  <c r="BA348" i="3"/>
  <c r="AZ348" i="3" s="1"/>
  <c r="BA353" i="3"/>
  <c r="AZ353" i="3" s="1"/>
  <c r="BA354" i="3"/>
  <c r="AZ354" i="3" s="1"/>
  <c r="BL365" i="3"/>
  <c r="AZ365" i="3" s="1"/>
  <c r="BL383" i="3"/>
  <c r="AZ383" i="3" s="1"/>
  <c r="BA384" i="3"/>
  <c r="AZ384" i="3" s="1"/>
  <c r="BA388" i="3"/>
  <c r="AZ388" i="3" s="1"/>
  <c r="BL393" i="3"/>
  <c r="AZ393" i="3" s="1"/>
  <c r="AZ210" i="3"/>
  <c r="BA424" i="3"/>
  <c r="AZ424" i="3" s="1"/>
  <c r="BL432" i="3"/>
  <c r="BA444" i="3"/>
  <c r="AZ444" i="3" s="1"/>
  <c r="AZ462" i="3"/>
  <c r="BL468" i="3"/>
  <c r="AZ471" i="3"/>
  <c r="AZ487" i="3"/>
  <c r="BA488" i="3"/>
  <c r="AZ488" i="3" s="1"/>
  <c r="AZ489" i="3"/>
  <c r="BA315" i="3"/>
  <c r="AZ315" i="3" s="1"/>
  <c r="BA352" i="3"/>
  <c r="AZ352" i="3" s="1"/>
  <c r="G364" i="3"/>
  <c r="BA392" i="3"/>
  <c r="AZ392" i="3" s="1"/>
  <c r="BL413" i="3"/>
  <c r="AZ413" i="3" s="1"/>
  <c r="BA416" i="3"/>
  <c r="AZ416" i="3" s="1"/>
  <c r="BA421" i="3"/>
  <c r="AZ421" i="3" s="1"/>
  <c r="BL424" i="3"/>
  <c r="BA427" i="3"/>
  <c r="AZ427" i="3" s="1"/>
  <c r="AZ453" i="3"/>
  <c r="BA455" i="3"/>
  <c r="AZ455" i="3" s="1"/>
  <c r="AZ459" i="3"/>
  <c r="BA463" i="3"/>
  <c r="AZ463" i="3" s="1"/>
  <c r="AZ484" i="3"/>
  <c r="BL490" i="3"/>
  <c r="AZ490" i="3" s="1"/>
  <c r="G327" i="3"/>
  <c r="BA332" i="3"/>
  <c r="AZ332" i="3" s="1"/>
  <c r="BA350" i="3"/>
  <c r="AZ350" i="3" s="1"/>
  <c r="AZ211" i="3"/>
  <c r="A15" i="62"/>
  <c r="B61" i="72" s="1"/>
  <c r="BA399" i="3"/>
  <c r="AZ399" i="3" s="1"/>
  <c r="BL404" i="3"/>
  <c r="G405" i="3"/>
  <c r="BA408" i="3"/>
  <c r="AZ408" i="3" s="1"/>
  <c r="BL412" i="3"/>
  <c r="AZ412" i="3" s="1"/>
  <c r="BA417" i="3"/>
  <c r="AZ417" i="3" s="1"/>
  <c r="BA428" i="3"/>
  <c r="AZ428" i="3" s="1"/>
  <c r="BA432" i="3"/>
  <c r="AZ432" i="3" s="1"/>
  <c r="BA435" i="3"/>
  <c r="AZ435" i="3" s="1"/>
  <c r="BA438" i="3"/>
  <c r="BL440" i="3"/>
  <c r="AZ440" i="3" s="1"/>
  <c r="BA441" i="3"/>
  <c r="AZ441" i="3" s="1"/>
  <c r="BL446" i="3"/>
  <c r="AZ446" i="3" s="1"/>
  <c r="G447" i="3"/>
  <c r="BL449" i="3"/>
  <c r="AZ449" i="3" s="1"/>
  <c r="G450" i="3"/>
  <c r="BA452" i="3"/>
  <c r="AZ452" i="3" s="1"/>
  <c r="BA458" i="3"/>
  <c r="AZ458" i="3" s="1"/>
  <c r="BL460" i="3"/>
  <c r="AZ460" i="3" s="1"/>
  <c r="G461" i="3"/>
  <c r="BL465" i="3"/>
  <c r="AZ465" i="3" s="1"/>
  <c r="BL473" i="3"/>
  <c r="AZ473" i="3" s="1"/>
  <c r="BA475" i="3"/>
  <c r="AZ475" i="3" s="1"/>
  <c r="BA478" i="3"/>
  <c r="AZ478" i="3" s="1"/>
  <c r="AZ480" i="3"/>
  <c r="BA481" i="3"/>
  <c r="AZ481" i="3" s="1"/>
  <c r="BA323" i="3"/>
  <c r="AZ323" i="3" s="1"/>
  <c r="BA331" i="3"/>
  <c r="AZ331" i="3" s="1"/>
  <c r="G362" i="3"/>
  <c r="BA368" i="3"/>
  <c r="AZ368" i="3" s="1"/>
  <c r="BA219" i="3"/>
  <c r="AZ219" i="3" s="1"/>
  <c r="BA407" i="3"/>
  <c r="AZ418" i="3"/>
  <c r="BL423" i="3"/>
  <c r="AZ423" i="3" s="1"/>
  <c r="BL443" i="3"/>
  <c r="AZ443" i="3" s="1"/>
  <c r="BL462" i="3"/>
  <c r="AZ476" i="3"/>
  <c r="BL487" i="3"/>
  <c r="BA366" i="3"/>
  <c r="AZ366" i="3" s="1"/>
  <c r="BL407" i="3"/>
  <c r="BL415" i="3"/>
  <c r="AZ415" i="3" s="1"/>
  <c r="BA419" i="3"/>
  <c r="AZ419" i="3" s="1"/>
  <c r="BA422" i="3"/>
  <c r="AZ422" i="3" s="1"/>
  <c r="BL426" i="3"/>
  <c r="BA430" i="3"/>
  <c r="AZ430" i="3" s="1"/>
  <c r="BL431" i="3"/>
  <c r="BA436" i="3"/>
  <c r="AZ436" i="3" s="1"/>
  <c r="BA439" i="3"/>
  <c r="AZ439" i="3" s="1"/>
  <c r="BL454" i="3"/>
  <c r="AZ454" i="3" s="1"/>
  <c r="BL457" i="3"/>
  <c r="BA339" i="3"/>
  <c r="AZ339" i="3" s="1"/>
  <c r="BL398" i="3"/>
  <c r="BA402" i="3"/>
  <c r="AZ402" i="3" s="1"/>
  <c r="BA403" i="3"/>
  <c r="AZ403" i="3" s="1"/>
  <c r="BL406" i="3"/>
  <c r="AZ406" i="3" s="1"/>
  <c r="BA411" i="3"/>
  <c r="AZ411" i="3" s="1"/>
  <c r="BA433" i="3"/>
  <c r="AZ433" i="3" s="1"/>
  <c r="BA442" i="3"/>
  <c r="AZ442" i="3" s="1"/>
  <c r="BL451" i="3"/>
  <c r="AZ451" i="3" s="1"/>
  <c r="BL464" i="3"/>
  <c r="BA467" i="3"/>
  <c r="AZ467" i="3" s="1"/>
  <c r="AZ470" i="3"/>
  <c r="G475" i="3"/>
  <c r="BL477" i="3"/>
  <c r="BL479" i="3"/>
  <c r="AZ479" i="3" s="1"/>
  <c r="BA482" i="3"/>
  <c r="AZ482" i="3" s="1"/>
  <c r="BL484" i="3"/>
  <c r="BA492" i="3"/>
  <c r="AZ492" i="3" s="1"/>
  <c r="G313" i="3"/>
  <c r="G331" i="3"/>
  <c r="G349" i="3"/>
  <c r="BA374" i="3"/>
  <c r="AZ374" i="3" s="1"/>
  <c r="BA385" i="3"/>
  <c r="AZ385" i="3" s="1"/>
  <c r="BA222" i="3"/>
  <c r="G215" i="3"/>
  <c r="BL222" i="3"/>
  <c r="BL224" i="3"/>
  <c r="G226" i="3"/>
  <c r="BL227" i="3"/>
  <c r="AZ227" i="3" s="1"/>
  <c r="AZ258" i="3"/>
  <c r="AZ300" i="3"/>
  <c r="AZ145" i="3"/>
  <c r="BL208" i="3"/>
  <c r="AZ208" i="3" s="1"/>
  <c r="BL214" i="3"/>
  <c r="BA217" i="3"/>
  <c r="AZ36" i="3"/>
  <c r="BL216" i="3"/>
  <c r="AZ216" i="3" s="1"/>
  <c r="BL225" i="3"/>
  <c r="BL228" i="3"/>
  <c r="BL231" i="3"/>
  <c r="BA250" i="3"/>
  <c r="AZ250" i="3" s="1"/>
  <c r="AZ56" i="3"/>
  <c r="BA396" i="3"/>
  <c r="AZ396" i="3" s="1"/>
  <c r="G218" i="3"/>
  <c r="G5" i="3" s="1"/>
  <c r="B3" i="3" s="1"/>
  <c r="BA237" i="3"/>
  <c r="AZ237" i="3" s="1"/>
  <c r="BA253" i="3"/>
  <c r="AZ253" i="3" s="1"/>
  <c r="BA286" i="3"/>
  <c r="AZ286" i="3" s="1"/>
  <c r="AZ289" i="3"/>
  <c r="AZ118" i="3"/>
  <c r="BL395" i="3"/>
  <c r="BA212" i="3"/>
  <c r="AZ212" i="3" s="1"/>
  <c r="BL217" i="3"/>
  <c r="BA220" i="3"/>
  <c r="BA221" i="3"/>
  <c r="AZ221" i="3" s="1"/>
  <c r="BA240" i="3"/>
  <c r="AZ240" i="3" s="1"/>
  <c r="AZ242" i="3"/>
  <c r="BL249" i="3"/>
  <c r="AZ249" i="3" s="1"/>
  <c r="BL255" i="3"/>
  <c r="AZ255" i="3" s="1"/>
  <c r="BA270" i="3"/>
  <c r="AZ270" i="3" s="1"/>
  <c r="AZ272" i="3"/>
  <c r="AZ278" i="3"/>
  <c r="AZ301" i="3"/>
  <c r="AZ137" i="3"/>
  <c r="AZ169" i="3"/>
  <c r="BL219" i="3"/>
  <c r="BA233" i="3"/>
  <c r="AZ233" i="3" s="1"/>
  <c r="BA246" i="3"/>
  <c r="AZ246" i="3" s="1"/>
  <c r="BL252" i="3"/>
  <c r="AZ252" i="3" s="1"/>
  <c r="BA267" i="3"/>
  <c r="AZ267" i="3" s="1"/>
  <c r="BA276" i="3"/>
  <c r="AZ276" i="3" s="1"/>
  <c r="AZ125" i="3"/>
  <c r="AZ134" i="3"/>
  <c r="BL386" i="3"/>
  <c r="AZ386" i="3" s="1"/>
  <c r="BL211" i="3"/>
  <c r="BA214" i="3"/>
  <c r="BL220" i="3"/>
  <c r="G221" i="3"/>
  <c r="BA224" i="3"/>
  <c r="BA225" i="3"/>
  <c r="AZ225" i="3" s="1"/>
  <c r="BA228" i="3"/>
  <c r="AZ228" i="3" s="1"/>
  <c r="AZ231" i="3"/>
  <c r="AZ205" i="3"/>
  <c r="AZ112" i="3"/>
  <c r="BL32" i="3"/>
  <c r="BL40" i="3"/>
  <c r="BL46" i="3"/>
  <c r="AZ46" i="3" s="1"/>
  <c r="BA48" i="3"/>
  <c r="AZ48" i="3" s="1"/>
  <c r="BA52" i="3"/>
  <c r="BL57" i="3"/>
  <c r="AZ57" i="3" s="1"/>
  <c r="BL59" i="3"/>
  <c r="AZ59" i="3" s="1"/>
  <c r="BA63" i="3"/>
  <c r="AZ63" i="3" s="1"/>
  <c r="BL90" i="3"/>
  <c r="BL93" i="3"/>
  <c r="AZ93" i="3" s="1"/>
  <c r="BA101" i="3"/>
  <c r="AZ101" i="3" s="1"/>
  <c r="AZ103" i="3"/>
  <c r="BA104" i="3"/>
  <c r="AZ104" i="3" s="1"/>
  <c r="AZ106" i="3"/>
  <c r="BA153" i="3"/>
  <c r="AZ153" i="3" s="1"/>
  <c r="BL177" i="3"/>
  <c r="AZ177" i="3" s="1"/>
  <c r="BA185" i="3"/>
  <c r="AZ185" i="3" s="1"/>
  <c r="BA186" i="3"/>
  <c r="AZ186" i="3" s="1"/>
  <c r="BL22" i="3"/>
  <c r="AZ54" i="3"/>
  <c r="AZ98" i="3"/>
  <c r="AZ99" i="3"/>
  <c r="BL110" i="3"/>
  <c r="AZ110" i="3" s="1"/>
  <c r="J54" i="43"/>
  <c r="D54" i="43"/>
  <c r="BL151" i="3"/>
  <c r="BL178" i="3"/>
  <c r="AZ178" i="3" s="1"/>
  <c r="BL183" i="3"/>
  <c r="AZ183" i="3" s="1"/>
  <c r="BL203" i="3"/>
  <c r="AZ203" i="3" s="1"/>
  <c r="BL21" i="3"/>
  <c r="BL47" i="3"/>
  <c r="AZ47" i="3" s="1"/>
  <c r="BL49" i="3"/>
  <c r="AZ49" i="3" s="1"/>
  <c r="G51" i="3"/>
  <c r="BA55" i="3"/>
  <c r="AZ55" i="3" s="1"/>
  <c r="BL109" i="3"/>
  <c r="AZ109" i="3" s="1"/>
  <c r="BL112" i="3"/>
  <c r="G180" i="3"/>
  <c r="G203" i="3"/>
  <c r="BA206" i="3"/>
  <c r="BA207" i="3"/>
  <c r="AZ207" i="3" s="1"/>
  <c r="BL20" i="3"/>
  <c r="G21" i="3"/>
  <c r="BA33" i="3"/>
  <c r="BA35" i="3"/>
  <c r="AZ35" i="3" s="1"/>
  <c r="BL52" i="3"/>
  <c r="BL63" i="3"/>
  <c r="BL66" i="3"/>
  <c r="AZ66" i="3" s="1"/>
  <c r="BA95" i="3"/>
  <c r="AZ95" i="3" s="1"/>
  <c r="BL103" i="3"/>
  <c r="BL106" i="3"/>
  <c r="BA170" i="3"/>
  <c r="AZ170" i="3" s="1"/>
  <c r="BL205" i="3"/>
  <c r="BL206" i="3"/>
  <c r="BL19" i="3"/>
  <c r="AZ76" i="3"/>
  <c r="BA92" i="3"/>
  <c r="AZ92" i="3" s="1"/>
  <c r="BA165" i="3"/>
  <c r="AZ165" i="3" s="1"/>
  <c r="BA192" i="3"/>
  <c r="AZ192" i="3" s="1"/>
  <c r="BA197" i="3"/>
  <c r="AZ197" i="3" s="1"/>
  <c r="BA198" i="3"/>
  <c r="AZ198" i="3" s="1"/>
  <c r="BL18" i="3"/>
  <c r="BA24" i="3"/>
  <c r="AZ24" i="3" s="1"/>
  <c r="BL33" i="3"/>
  <c r="G34" i="3"/>
  <c r="BL36" i="3"/>
  <c r="G38" i="3"/>
  <c r="BA38" i="3"/>
  <c r="AZ38" i="3" s="1"/>
  <c r="BA40" i="3"/>
  <c r="AZ40" i="3" s="1"/>
  <c r="BA44" i="3"/>
  <c r="AZ44" i="3" s="1"/>
  <c r="BA72" i="3"/>
  <c r="AZ72" i="3" s="1"/>
  <c r="AZ73" i="3"/>
  <c r="BA89" i="3"/>
  <c r="AZ89" i="3" s="1"/>
  <c r="AZ90" i="3"/>
  <c r="L108" i="43"/>
  <c r="L100" i="43"/>
  <c r="BA164" i="3"/>
  <c r="AZ164" i="3" s="1"/>
  <c r="BL171" i="3"/>
  <c r="AZ171" i="3" s="1"/>
  <c r="BL189" i="3"/>
  <c r="AZ189" i="3" s="1"/>
  <c r="BA196" i="3"/>
  <c r="AZ196" i="3" s="1"/>
  <c r="BA28" i="3"/>
  <c r="AZ28" i="3" s="1"/>
  <c r="G41" i="3"/>
  <c r="BL41" i="3"/>
  <c r="AZ41" i="3" s="1"/>
  <c r="BA45" i="3"/>
  <c r="AZ45" i="3" s="1"/>
  <c r="BA58" i="3"/>
  <c r="AZ58" i="3" s="1"/>
  <c r="BA60" i="3"/>
  <c r="AZ60" i="3" s="1"/>
  <c r="BA68" i="3"/>
  <c r="AZ68" i="3" s="1"/>
  <c r="AZ70" i="3"/>
  <c r="BA71" i="3"/>
  <c r="AZ71" i="3" s="1"/>
  <c r="BA74" i="3"/>
  <c r="BL74" i="3"/>
  <c r="BA86" i="3"/>
  <c r="AZ86" i="3" s="1"/>
  <c r="AZ87" i="3"/>
  <c r="BA91" i="3"/>
  <c r="AZ91" i="3" s="1"/>
  <c r="BL91" i="3"/>
  <c r="BL94" i="3"/>
  <c r="AZ94" i="3" s="1"/>
  <c r="BL96" i="3"/>
  <c r="AZ96" i="3" s="1"/>
  <c r="E59" i="43"/>
  <c r="B57" i="43" s="1"/>
  <c r="BA25" i="3"/>
  <c r="AZ25" i="3" s="1"/>
  <c r="BA26" i="3"/>
  <c r="AZ26" i="3" s="1"/>
  <c r="BA27" i="3"/>
  <c r="AZ27" i="3" s="1"/>
  <c r="D36" i="71"/>
  <c r="D84" i="71"/>
  <c r="C83" i="71"/>
  <c r="D83" i="71" s="1"/>
  <c r="O63" i="71"/>
  <c r="D63" i="71"/>
  <c r="O62" i="71"/>
  <c r="C41" i="71"/>
  <c r="D40" i="71"/>
  <c r="Y25" i="71"/>
  <c r="Z25" i="71" s="1"/>
  <c r="Y27" i="71"/>
  <c r="Z27" i="71" s="1"/>
  <c r="X6" i="71"/>
  <c r="X7" i="71"/>
  <c r="X36" i="71"/>
  <c r="B45" i="71"/>
  <c r="S45" i="71" s="1"/>
  <c r="C49" i="71"/>
  <c r="D48" i="71"/>
  <c r="Y22" i="71"/>
  <c r="Z22" i="71" s="1"/>
  <c r="AB21" i="71"/>
  <c r="X21" i="71"/>
  <c r="J50" i="43"/>
  <c r="D50" i="43"/>
  <c r="J53" i="43"/>
  <c r="E108" i="43"/>
  <c r="X25" i="71"/>
  <c r="AB30" i="71"/>
  <c r="F37" i="71"/>
  <c r="V37" i="71" s="1"/>
  <c r="D81" i="71"/>
  <c r="C80" i="71"/>
  <c r="AA20" i="71"/>
  <c r="AB14" i="71"/>
  <c r="M19" i="43"/>
  <c r="D37" i="71"/>
  <c r="C44" i="71"/>
  <c r="D44" i="71" s="1"/>
  <c r="D43" i="71"/>
  <c r="B53" i="71"/>
  <c r="S53" i="71" s="1"/>
  <c r="P61" i="67"/>
  <c r="P74" i="67"/>
  <c r="AA19" i="71"/>
  <c r="X18" i="71"/>
  <c r="Y14" i="71"/>
  <c r="Z14" i="71" s="1"/>
  <c r="J48" i="43"/>
  <c r="D48" i="43"/>
  <c r="J51" i="43"/>
  <c r="D100" i="43"/>
  <c r="D108" i="43"/>
  <c r="T37" i="71"/>
  <c r="AA23" i="71"/>
  <c r="X23" i="71"/>
  <c r="C28" i="71"/>
  <c r="D27" i="71"/>
  <c r="C60" i="71"/>
  <c r="D59" i="71"/>
  <c r="AA22" i="71"/>
  <c r="AB18" i="71"/>
  <c r="AA15" i="71"/>
  <c r="AB15" i="71"/>
  <c r="BA30" i="3"/>
  <c r="AZ30" i="3" s="1"/>
  <c r="BA31" i="3"/>
  <c r="AZ31" i="3" s="1"/>
  <c r="BA32" i="3"/>
  <c r="AZ32" i="3" s="1"/>
  <c r="AA3" i="71"/>
  <c r="AB26" i="71"/>
  <c r="AA24" i="71"/>
  <c r="E27" i="71"/>
  <c r="E28" i="71" s="1"/>
  <c r="E29" i="71" s="1"/>
  <c r="U29" i="71" s="1"/>
  <c r="AA26" i="71"/>
  <c r="X26" i="71"/>
  <c r="AB29" i="71"/>
  <c r="AB7" i="71"/>
  <c r="AB36" i="71"/>
  <c r="AA21" i="71"/>
  <c r="Y19" i="71"/>
  <c r="Z19" i="71" s="1"/>
  <c r="Y18" i="71"/>
  <c r="Z18" i="71" s="1"/>
  <c r="X15" i="71"/>
  <c r="AA14" i="71"/>
  <c r="X34" i="71"/>
  <c r="B35" i="71"/>
  <c r="B36" i="71" s="1"/>
  <c r="B37" i="71" s="1"/>
  <c r="S37" i="71" s="1"/>
  <c r="X22" i="71"/>
  <c r="Y15" i="71"/>
  <c r="Z15" i="71" s="1"/>
  <c r="Y10" i="71"/>
  <c r="Z10" i="71" s="1"/>
  <c r="Y9" i="71"/>
  <c r="Z9" i="71" s="1"/>
  <c r="Y8" i="71"/>
  <c r="Z8" i="71" s="1"/>
  <c r="Y11" i="71"/>
  <c r="Z11" i="71" s="1"/>
  <c r="X14" i="71"/>
  <c r="AB6" i="71"/>
  <c r="BA19" i="3"/>
  <c r="AZ19" i="3" s="1"/>
  <c r="BA20" i="3"/>
  <c r="AZ20" i="3" s="1"/>
  <c r="BA21" i="3"/>
  <c r="BA22" i="3"/>
  <c r="AZ22" i="3" s="1"/>
  <c r="BA23" i="3"/>
  <c r="AZ23" i="3" s="1"/>
  <c r="BA34" i="3"/>
  <c r="AZ34" i="3" s="1"/>
  <c r="U21" i="21"/>
  <c r="P27" i="6"/>
  <c r="Y24" i="71"/>
  <c r="Z24" i="71" s="1"/>
  <c r="X33" i="71"/>
  <c r="AA30" i="71"/>
  <c r="AA31" i="71"/>
  <c r="T69" i="71"/>
  <c r="C68" i="71"/>
  <c r="AB24" i="71"/>
  <c r="AB22" i="71"/>
  <c r="Y21" i="71"/>
  <c r="Z21" i="71" s="1"/>
  <c r="C20" i="71"/>
  <c r="AA18" i="71"/>
  <c r="Y7" i="71"/>
  <c r="Z7" i="71" s="1"/>
  <c r="G33" i="3"/>
  <c r="J52" i="43"/>
  <c r="D52" i="43"/>
  <c r="E48" i="43"/>
  <c r="B46" i="43" s="1"/>
  <c r="C24" i="43" s="1"/>
  <c r="F40" i="69"/>
  <c r="C21" i="69"/>
  <c r="AB25" i="71"/>
  <c r="Y23" i="71"/>
  <c r="Z23" i="71" s="1"/>
  <c r="X32" i="71"/>
  <c r="AB28" i="71"/>
  <c r="AB31" i="71"/>
  <c r="X27" i="71"/>
  <c r="X24" i="71"/>
  <c r="X30" i="71"/>
  <c r="X31" i="71"/>
  <c r="AB35" i="71"/>
  <c r="AB34" i="71"/>
  <c r="C56" i="71"/>
  <c r="E68" i="71"/>
  <c r="E67" i="71" s="1"/>
  <c r="U69" i="71"/>
  <c r="C76" i="71"/>
  <c r="T77" i="71"/>
  <c r="AB10" i="71"/>
  <c r="AA10" i="71"/>
  <c r="D64" i="71"/>
  <c r="AA35" i="71"/>
  <c r="E21" i="71"/>
  <c r="X12" i="71"/>
  <c r="AB9" i="71"/>
  <c r="W18" i="36"/>
  <c r="Q64" i="71"/>
  <c r="B24" i="71"/>
  <c r="B23" i="71" s="1"/>
  <c r="X29" i="71"/>
  <c r="F31" i="71"/>
  <c r="F32" i="71" s="1"/>
  <c r="F33" i="71" s="1"/>
  <c r="V33" i="71" s="1"/>
  <c r="AA12" i="71"/>
  <c r="X8" i="71"/>
  <c r="AA7" i="71"/>
  <c r="AH10" i="43"/>
  <c r="AB12" i="71"/>
  <c r="X9" i="71"/>
  <c r="AB11" i="71"/>
  <c r="AA9" i="71"/>
  <c r="E25" i="71"/>
  <c r="C25" i="71"/>
  <c r="X28" i="71"/>
  <c r="Y6" i="71"/>
  <c r="Z6" i="71" s="1"/>
  <c r="AA6" i="71"/>
  <c r="AC21" i="21"/>
  <c r="AD10" i="43"/>
  <c r="X10" i="71"/>
  <c r="AA8" i="71"/>
  <c r="X11" i="71"/>
  <c r="AA11" i="71"/>
  <c r="P61" i="15"/>
  <c r="M20" i="67"/>
  <c r="E11" i="43"/>
  <c r="E9" i="43"/>
  <c r="E10" i="43"/>
  <c r="E8" i="43"/>
  <c r="H52" i="43"/>
  <c r="H53" i="43"/>
  <c r="H56" i="43"/>
  <c r="H51" i="43"/>
  <c r="H55" i="43"/>
  <c r="H54" i="43"/>
  <c r="H48" i="43"/>
  <c r="H49" i="43"/>
  <c r="H84" i="43"/>
  <c r="H85" i="43"/>
  <c r="H82" i="43"/>
  <c r="B66" i="43"/>
  <c r="C92" i="9"/>
  <c r="C94" i="9"/>
  <c r="C5" i="11"/>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40" i="11"/>
  <c r="C21" i="68"/>
  <c r="D22" i="67"/>
  <c r="G13" i="1"/>
  <c r="BA18" i="3"/>
  <c r="AZ18" i="3" s="1"/>
  <c r="D9" i="68"/>
  <c r="C9" i="68" s="1"/>
  <c r="D19" i="12"/>
  <c r="C19" i="12" s="1"/>
  <c r="F29" i="6"/>
  <c r="F30" i="6" s="1"/>
  <c r="M7" i="1"/>
  <c r="O7" i="1" s="1"/>
  <c r="AR13" i="1"/>
  <c r="AQ13" i="1"/>
  <c r="AR12" i="1"/>
  <c r="T12" i="1"/>
  <c r="AQ10" i="1"/>
  <c r="T10" i="1"/>
  <c r="AQ12" i="1"/>
  <c r="BL15" i="3"/>
  <c r="AQ8" i="1"/>
  <c r="E29" i="6"/>
  <c r="C36" i="69"/>
  <c r="T8" i="1"/>
  <c r="P14" i="1"/>
  <c r="O9" i="1"/>
  <c r="P9" i="1" s="1"/>
  <c r="O8" i="1"/>
  <c r="P8" i="1" s="1"/>
  <c r="M11" i="1"/>
  <c r="O12" i="1"/>
  <c r="P12" i="1" s="1"/>
  <c r="T9" i="1"/>
  <c r="AQ9" i="1"/>
  <c r="D9" i="69"/>
  <c r="C9" i="69" s="1"/>
  <c r="H50" i="43"/>
  <c r="T35" i="4"/>
  <c r="A19" i="51" s="1"/>
  <c r="B14" i="72" s="1"/>
  <c r="G11" i="1"/>
  <c r="G9" i="1"/>
  <c r="AA5" i="71"/>
  <c r="AB5" i="71"/>
  <c r="X5" i="71"/>
  <c r="Y5" i="71"/>
  <c r="Z5" i="71" s="1"/>
  <c r="D12" i="52"/>
  <c r="D127" i="9"/>
  <c r="D13" i="52" s="1"/>
  <c r="E70" i="39"/>
  <c r="C5" i="43"/>
  <c r="D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9" i="67"/>
  <c r="F66" i="67"/>
  <c r="B11" i="70"/>
  <c r="L59" i="15"/>
  <c r="N59" i="15"/>
  <c r="L58" i="15"/>
  <c r="M59" i="15"/>
  <c r="B8" i="70"/>
  <c r="F66" i="15"/>
  <c r="Q71" i="67"/>
  <c r="F64" i="15"/>
  <c r="C27" i="67"/>
  <c r="F71" i="67"/>
  <c r="C27" i="15"/>
  <c r="F65" i="15"/>
  <c r="B9" i="70"/>
  <c r="N59" i="67"/>
  <c r="L59" i="67"/>
  <c r="L58" i="67"/>
  <c r="M59" i="67"/>
  <c r="B13" i="70"/>
  <c r="M7" i="67"/>
  <c r="F50" i="67"/>
  <c r="F68" i="67"/>
  <c r="F64" i="67"/>
  <c r="F68" i="15"/>
  <c r="M8" i="67"/>
  <c r="F42" i="67"/>
  <c r="C16" i="67"/>
  <c r="M26" i="67"/>
  <c r="G1" i="73"/>
  <c r="M6" i="67"/>
  <c r="F1" i="80" l="1"/>
  <c r="Q52" i="80"/>
  <c r="Q73" i="80"/>
  <c r="Q60" i="80"/>
  <c r="L46" i="80"/>
  <c r="Q66" i="80"/>
  <c r="Q57" i="80"/>
  <c r="E10" i="6"/>
  <c r="M11" i="80"/>
  <c r="F11" i="80"/>
  <c r="K6" i="1"/>
  <c r="D8" i="79"/>
  <c r="F70" i="67"/>
  <c r="P6" i="3"/>
  <c r="E105" i="3"/>
  <c r="E578" i="3"/>
  <c r="E17" i="3"/>
  <c r="E567" i="3"/>
  <c r="E506" i="3"/>
  <c r="E298" i="3"/>
  <c r="I6" i="3"/>
  <c r="H6" i="3" s="1"/>
  <c r="E486" i="3"/>
  <c r="E156" i="3"/>
  <c r="E526" i="3"/>
  <c r="E165" i="3"/>
  <c r="E149" i="3"/>
  <c r="E396" i="3"/>
  <c r="E514" i="3"/>
  <c r="E88" i="3"/>
  <c r="E561" i="3"/>
  <c r="E493" i="3"/>
  <c r="E382" i="3"/>
  <c r="E302" i="3"/>
  <c r="E461" i="3"/>
  <c r="E538" i="3"/>
  <c r="E216" i="3"/>
  <c r="E134" i="3"/>
  <c r="E322" i="3"/>
  <c r="E518" i="3"/>
  <c r="E539" i="3"/>
  <c r="E337" i="3"/>
  <c r="E543" i="3"/>
  <c r="E245" i="3"/>
  <c r="E217" i="3"/>
  <c r="E227" i="3"/>
  <c r="E418" i="3"/>
  <c r="E439" i="3"/>
  <c r="E304" i="3"/>
  <c r="E238" i="3"/>
  <c r="E368" i="3"/>
  <c r="E516" i="3"/>
  <c r="E148" i="3"/>
  <c r="E237" i="3"/>
  <c r="E268" i="3"/>
  <c r="E311" i="3"/>
  <c r="E338" i="3"/>
  <c r="E122" i="3"/>
  <c r="E380" i="3"/>
  <c r="E558" i="3"/>
  <c r="E180" i="3"/>
  <c r="E151" i="3"/>
  <c r="E565" i="3"/>
  <c r="AJ6" i="3"/>
  <c r="E570" i="3"/>
  <c r="E321" i="3"/>
  <c r="E167" i="3"/>
  <c r="E213" i="3"/>
  <c r="E231" i="3"/>
  <c r="AC13" i="33"/>
  <c r="W13" i="33"/>
  <c r="C19" i="43"/>
  <c r="BL5" i="3"/>
  <c r="E24" i="71"/>
  <c r="E23" i="71" s="1"/>
  <c r="V25" i="71"/>
  <c r="V21" i="71"/>
  <c r="E20" i="71"/>
  <c r="E19" i="71" s="1"/>
  <c r="E18" i="71" s="1"/>
  <c r="E17" i="71" s="1"/>
  <c r="AZ206" i="3"/>
  <c r="AZ214" i="3"/>
  <c r="AZ438" i="3"/>
  <c r="AB38" i="40"/>
  <c r="U38" i="40"/>
  <c r="U26" i="33"/>
  <c r="AB26" i="33"/>
  <c r="AB13" i="33"/>
  <c r="U13" i="33"/>
  <c r="T25" i="71"/>
  <c r="C24" i="71"/>
  <c r="D25" i="71"/>
  <c r="U25" i="71" s="1"/>
  <c r="D60" i="71"/>
  <c r="C61" i="71"/>
  <c r="C57" i="71"/>
  <c r="D56" i="71"/>
  <c r="C67" i="71"/>
  <c r="D67" i="71" s="1"/>
  <c r="D68" i="71"/>
  <c r="C29" i="71"/>
  <c r="D28" i="71"/>
  <c r="AZ457" i="3"/>
  <c r="AC39" i="40"/>
  <c r="W39" i="40"/>
  <c r="AC38" i="40"/>
  <c r="W38" i="40"/>
  <c r="AA26" i="33"/>
  <c r="S26" i="33"/>
  <c r="AB9" i="34"/>
  <c r="U9" i="34"/>
  <c r="AZ561" i="3"/>
  <c r="AZ52" i="3"/>
  <c r="AZ217" i="3"/>
  <c r="AZ407" i="3"/>
  <c r="U12" i="33"/>
  <c r="AB12" i="33"/>
  <c r="AB39" i="40"/>
  <c r="U39" i="40"/>
  <c r="AA38" i="40"/>
  <c r="S38" i="40"/>
  <c r="AC26" i="33"/>
  <c r="W26" i="33"/>
  <c r="AC9" i="34"/>
  <c r="W9" i="34"/>
  <c r="AA46" i="34"/>
  <c r="S46" i="34"/>
  <c r="AA9" i="34"/>
  <c r="S9" i="34"/>
  <c r="AA26" i="35"/>
  <c r="S26" i="35"/>
  <c r="U46" i="34"/>
  <c r="AB46" i="34"/>
  <c r="E8" i="6"/>
  <c r="E14" i="6"/>
  <c r="W34" i="35"/>
  <c r="AC34" i="35"/>
  <c r="E15" i="6"/>
  <c r="AZ21" i="3"/>
  <c r="AZ33" i="3"/>
  <c r="AZ477" i="3"/>
  <c r="AB24" i="36"/>
  <c r="U24" i="36"/>
  <c r="AA34" i="35"/>
  <c r="S34" i="35"/>
  <c r="E11" i="6"/>
  <c r="J26" i="35"/>
  <c r="H26" i="35"/>
  <c r="AZ559" i="3"/>
  <c r="S12" i="34"/>
  <c r="AA12" i="34"/>
  <c r="E13" i="6"/>
  <c r="T41" i="71"/>
  <c r="D41" i="71"/>
  <c r="BA5" i="3"/>
  <c r="D20" i="71"/>
  <c r="C19" i="71"/>
  <c r="AZ74" i="3"/>
  <c r="AZ224" i="3"/>
  <c r="AA13" i="33"/>
  <c r="S13" i="33"/>
  <c r="D121" i="9"/>
  <c r="D7" i="52" s="1"/>
  <c r="D6" i="52"/>
  <c r="G28" i="6"/>
  <c r="U12" i="34"/>
  <c r="AB12" i="34"/>
  <c r="J6" i="67"/>
  <c r="J18" i="67" s="1"/>
  <c r="E12" i="6"/>
  <c r="E57" i="40" s="1"/>
  <c r="T49" i="71"/>
  <c r="D49" i="71"/>
  <c r="B12" i="71"/>
  <c r="B11" i="71" s="1"/>
  <c r="B10" i="71" s="1"/>
  <c r="B9" i="71" s="1"/>
  <c r="S13" i="71"/>
  <c r="AZ15" i="3"/>
  <c r="D76" i="71"/>
  <c r="C75" i="71"/>
  <c r="D75" i="71" s="1"/>
  <c r="D80" i="71"/>
  <c r="C79" i="71"/>
  <c r="D79" i="71" s="1"/>
  <c r="AZ220" i="3"/>
  <c r="AZ222" i="3"/>
  <c r="AC23" i="35"/>
  <c r="W23" i="35"/>
  <c r="W46" i="34"/>
  <c r="AC46" i="34"/>
  <c r="W12" i="34"/>
  <c r="AC12" i="34"/>
  <c r="F48" i="68"/>
  <c r="C48" i="68"/>
  <c r="C48" i="11"/>
  <c r="C30" i="11"/>
  <c r="F48" i="69"/>
  <c r="C48" i="69"/>
  <c r="C30" i="69"/>
  <c r="P7" i="1"/>
  <c r="E189" i="3"/>
  <c r="E230" i="3"/>
  <c r="E215" i="3"/>
  <c r="E294" i="3"/>
  <c r="E335" i="3"/>
  <c r="E320" i="3"/>
  <c r="E387" i="3"/>
  <c r="E407" i="3"/>
  <c r="AB6" i="3"/>
  <c r="V6" i="3"/>
  <c r="M6" i="3"/>
  <c r="E551" i="3"/>
  <c r="E559" i="3"/>
  <c r="E358" i="3"/>
  <c r="E128" i="3"/>
  <c r="E205" i="3"/>
  <c r="E352" i="3"/>
  <c r="E510" i="3"/>
  <c r="E545" i="3"/>
  <c r="E329" i="3"/>
  <c r="N6" i="3"/>
  <c r="E282" i="3"/>
  <c r="E553" i="3"/>
  <c r="E366" i="3"/>
  <c r="E125" i="3"/>
  <c r="E503" i="3"/>
  <c r="E361" i="3"/>
  <c r="E183" i="3"/>
  <c r="E528" i="3"/>
  <c r="E261" i="3"/>
  <c r="E89" i="3"/>
  <c r="E269" i="3"/>
  <c r="E236" i="3"/>
  <c r="E136" i="3"/>
  <c r="E263" i="3"/>
  <c r="E423" i="3"/>
  <c r="AI6" i="3"/>
  <c r="E385" i="3"/>
  <c r="E229" i="3"/>
  <c r="E569" i="3"/>
  <c r="E239" i="3"/>
  <c r="E427" i="3"/>
  <c r="E564" i="3"/>
  <c r="E393" i="3"/>
  <c r="E116" i="3"/>
  <c r="E85" i="3"/>
  <c r="E91" i="3"/>
  <c r="E196" i="3"/>
  <c r="E549" i="3"/>
  <c r="E397" i="3"/>
  <c r="E555" i="3"/>
  <c r="E542" i="3"/>
  <c r="E444" i="3"/>
  <c r="E271" i="3"/>
  <c r="E515" i="3"/>
  <c r="E443" i="3"/>
  <c r="E581" i="3"/>
  <c r="E404" i="3"/>
  <c r="E121" i="3"/>
  <c r="E312" i="3"/>
  <c r="E388" i="3"/>
  <c r="E410" i="3"/>
  <c r="E143" i="3"/>
  <c r="E568" i="3"/>
  <c r="E536" i="3"/>
  <c r="E453" i="3"/>
  <c r="E244" i="3"/>
  <c r="E130" i="3"/>
  <c r="E254" i="3"/>
  <c r="E221" i="3"/>
  <c r="E140" i="3"/>
  <c r="E223" i="3"/>
  <c r="E197" i="3"/>
  <c r="E173" i="3"/>
  <c r="E369" i="3"/>
  <c r="E525" i="3"/>
  <c r="E534" i="3"/>
  <c r="T6" i="3"/>
  <c r="E405" i="3"/>
  <c r="E456" i="3"/>
  <c r="E474" i="3"/>
  <c r="E509" i="3"/>
  <c r="E579" i="3"/>
  <c r="E431" i="3"/>
  <c r="E247" i="3"/>
  <c r="E201" i="3"/>
  <c r="E353" i="3"/>
  <c r="E495" i="3"/>
  <c r="AN6" i="3"/>
  <c r="E586" i="3"/>
  <c r="E402" i="3"/>
  <c r="E350" i="3"/>
  <c r="E303" i="3"/>
  <c r="E301" i="3"/>
  <c r="E159" i="3"/>
  <c r="E191" i="3"/>
  <c r="E99" i="3"/>
  <c r="E188" i="3"/>
  <c r="E228" i="3"/>
  <c r="E181" i="3"/>
  <c r="E157" i="3"/>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421" i="3"/>
  <c r="E70" i="3"/>
  <c r="E28" i="3"/>
  <c r="E489" i="3"/>
  <c r="E531" i="3"/>
  <c r="E557" i="3"/>
  <c r="E345" i="3"/>
  <c r="E400" i="3"/>
  <c r="E485" i="3"/>
  <c r="E107" i="3"/>
  <c r="E212" i="3"/>
  <c r="E141" i="3"/>
  <c r="AD6" i="3"/>
  <c r="E552" i="3"/>
  <c r="E162" i="3"/>
  <c r="E92" i="3"/>
  <c r="E27" i="3"/>
  <c r="E71" i="3"/>
  <c r="E447" i="3"/>
  <c r="E546" i="3"/>
  <c r="E476" i="3"/>
  <c r="E403" i="3"/>
  <c r="AS6" i="3"/>
  <c r="E547" i="3"/>
  <c r="E505" i="3"/>
  <c r="E367" i="3"/>
  <c r="E477" i="3"/>
  <c r="E432" i="3"/>
  <c r="E414" i="3"/>
  <c r="E548" i="3"/>
  <c r="E448" i="3"/>
  <c r="E585" i="3"/>
  <c r="E207" i="3"/>
  <c r="E145" i="3"/>
  <c r="E379" i="3"/>
  <c r="U6" i="3"/>
  <c r="E411" i="3"/>
  <c r="E478"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502" i="3"/>
  <c r="R6" i="3"/>
  <c r="E499" i="3"/>
  <c r="E575" i="3"/>
  <c r="E286" i="3"/>
  <c r="E199" i="3"/>
  <c r="E253" i="3"/>
  <c r="E77" i="3"/>
  <c r="O6" i="3"/>
  <c r="E574" i="3"/>
  <c r="E359" i="3"/>
  <c r="E285" i="3"/>
  <c r="E97"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252" i="3"/>
  <c r="E164" i="3"/>
  <c r="E576" i="3"/>
  <c r="AG6" i="3"/>
  <c r="E442" i="3"/>
  <c r="E466"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327" i="3"/>
  <c r="AO6" i="3"/>
  <c r="E469" i="3"/>
  <c r="E512" i="3"/>
  <c r="E408" i="3"/>
  <c r="E451" i="3"/>
  <c r="E360" i="3"/>
  <c r="E556" i="3"/>
  <c r="E497" i="3"/>
  <c r="E13" i="3"/>
  <c r="E494" i="3"/>
  <c r="E452" i="3"/>
  <c r="E470" i="3"/>
  <c r="E420" i="3"/>
  <c r="E26" i="3"/>
  <c r="E104" i="3"/>
  <c r="E41" i="3"/>
  <c r="E115" i="3"/>
  <c r="E182" i="3"/>
  <c r="E126" i="3"/>
  <c r="E166" i="3"/>
  <c r="E186" i="3"/>
  <c r="E211" i="3"/>
  <c r="E272" i="3"/>
  <c r="E295" i="3"/>
  <c r="E210" i="3"/>
  <c r="E273" i="3"/>
  <c r="E291" i="3"/>
  <c r="E316" i="3"/>
  <c r="E331" i="3"/>
  <c r="E377" i="3"/>
  <c r="E317" i="3"/>
  <c r="E334" i="3"/>
  <c r="E384" i="3"/>
  <c r="E572" i="3"/>
  <c r="AM6" i="3"/>
  <c r="E30" i="3"/>
  <c r="E44" i="3"/>
  <c r="E109" i="3"/>
  <c r="E29" i="3"/>
  <c r="E480" i="3"/>
  <c r="E441"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4" i="3"/>
  <c r="Z6" i="3"/>
  <c r="E464" i="3"/>
  <c r="E507" i="3"/>
  <c r="E422" i="3"/>
  <c r="E440" i="3"/>
  <c r="E490" i="3"/>
  <c r="E376" i="3"/>
  <c r="AH6" i="3"/>
  <c r="J6" i="3"/>
  <c r="E498" i="3"/>
  <c r="E419" i="3"/>
  <c r="E483" i="3"/>
  <c r="E401" i="3"/>
  <c r="E463" i="3"/>
  <c r="E40" i="3"/>
  <c r="E25" i="3"/>
  <c r="E108" i="3"/>
  <c r="E178" i="3"/>
  <c r="E187" i="3"/>
  <c r="E132" i="3"/>
  <c r="E155" i="3"/>
  <c r="E192" i="3"/>
  <c r="E240" i="3"/>
  <c r="E258" i="3"/>
  <c r="E297" i="3"/>
  <c r="E241" i="3"/>
  <c r="E259" i="3"/>
  <c r="E292" i="3"/>
  <c r="E348" i="3"/>
  <c r="E363" i="3"/>
  <c r="E378" i="3"/>
  <c r="E349" i="3"/>
  <c r="E375" i="3"/>
  <c r="E389" i="3"/>
  <c r="E504" i="3"/>
  <c r="E544" i="3"/>
  <c r="E58" i="3"/>
  <c r="E76" i="3"/>
  <c r="E110" i="3"/>
  <c r="E59"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84" i="3"/>
  <c r="E341" i="3"/>
  <c r="Y6" i="3"/>
  <c r="E51" i="3"/>
  <c r="E19" i="3"/>
  <c r="E154" i="3"/>
  <c r="E179" i="3"/>
  <c r="E222" i="3"/>
  <c r="E323" i="3"/>
  <c r="E373" i="3"/>
  <c r="E82" i="3"/>
  <c r="E233" i="3"/>
  <c r="E355" i="3"/>
  <c r="E381" i="3"/>
  <c r="E68" i="3"/>
  <c r="E63" i="3"/>
  <c r="E81" i="3"/>
  <c r="E118" i="3"/>
  <c r="E264" i="3"/>
  <c r="E283" i="3"/>
  <c r="E309" i="3"/>
  <c r="E513" i="3"/>
  <c r="E21" i="3"/>
  <c r="E58" i="40"/>
  <c r="E63" i="39"/>
  <c r="E60" i="40"/>
  <c r="E65" i="39"/>
  <c r="K15" i="1"/>
  <c r="AC6" i="3"/>
  <c r="E62" i="39"/>
  <c r="O11" i="1"/>
  <c r="P11" i="1" s="1"/>
  <c r="F59" i="67"/>
  <c r="G70" i="39"/>
  <c r="H68" i="39"/>
  <c r="H7" i="37"/>
  <c r="AB7" i="37" s="1"/>
  <c r="T42" i="37" s="1"/>
  <c r="G42" i="37" s="1"/>
  <c r="B40" i="1"/>
  <c r="F24" i="80" s="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G20" i="43" s="1"/>
  <c r="N28" i="43"/>
  <c r="O28" i="43"/>
  <c r="P28" i="43"/>
  <c r="M11" i="67"/>
  <c r="J10" i="67" s="1"/>
  <c r="F11" i="15"/>
  <c r="M11" i="15"/>
  <c r="F11" i="67"/>
  <c r="F1" i="15"/>
  <c r="Q52" i="15"/>
  <c r="F1" i="67"/>
  <c r="Q52" i="67"/>
  <c r="Q60" i="15"/>
  <c r="Q73" i="15"/>
  <c r="Q61" i="67"/>
  <c r="Q74" i="67"/>
  <c r="Q74" i="15"/>
  <c r="Q61" i="15"/>
  <c r="M29" i="80"/>
  <c r="F43" i="80"/>
  <c r="M29" i="15"/>
  <c r="F43" i="15"/>
  <c r="AE7" i="1"/>
  <c r="F7" i="15"/>
  <c r="F7" i="80"/>
  <c r="AE6" i="1"/>
  <c r="AG7" i="1" l="1"/>
  <c r="F71" i="80"/>
  <c r="F50" i="80"/>
  <c r="C49" i="80" s="1"/>
  <c r="M7" i="80"/>
  <c r="J6" i="80" s="1"/>
  <c r="J18" i="80" s="1"/>
  <c r="C6" i="80"/>
  <c r="E16" i="6"/>
  <c r="C24" i="80"/>
  <c r="C53" i="80"/>
  <c r="F71" i="15"/>
  <c r="M7" i="15"/>
  <c r="J6" i="15" s="1"/>
  <c r="J18" i="15" s="1"/>
  <c r="F50" i="15"/>
  <c r="C49" i="15" s="1"/>
  <c r="C6" i="15"/>
  <c r="Q16" i="1"/>
  <c r="F27" i="69" s="1"/>
  <c r="C29" i="69" s="1"/>
  <c r="D27" i="69" s="1"/>
  <c r="U18" i="1"/>
  <c r="M6" i="1"/>
  <c r="H16" i="1"/>
  <c r="G16" i="1"/>
  <c r="J5" i="67"/>
  <c r="J26" i="67" s="1"/>
  <c r="J29" i="67" s="1"/>
  <c r="O6" i="1"/>
  <c r="P6" i="1" s="1"/>
  <c r="P16" i="1" s="1"/>
  <c r="C11" i="12" s="1"/>
  <c r="B8" i="71"/>
  <c r="B7" i="71" s="1"/>
  <c r="B6" i="71" s="1"/>
  <c r="B5" i="71" s="1"/>
  <c r="S9" i="71"/>
  <c r="AC26" i="35"/>
  <c r="W26" i="35"/>
  <c r="T29" i="71"/>
  <c r="D29" i="71"/>
  <c r="C23" i="71"/>
  <c r="D23" i="71" s="1"/>
  <c r="D24" i="71"/>
  <c r="E61" i="39"/>
  <c r="E56" i="40"/>
  <c r="E41" i="43"/>
  <c r="C41" i="43" s="1"/>
  <c r="C39" i="43" s="1"/>
  <c r="C20" i="43"/>
  <c r="E16" i="71"/>
  <c r="E15" i="71" s="1"/>
  <c r="E14" i="71" s="1"/>
  <c r="E13" i="71" s="1"/>
  <c r="V17" i="71"/>
  <c r="D57" i="71"/>
  <c r="T57" i="71"/>
  <c r="AZ5" i="3"/>
  <c r="D19" i="71"/>
  <c r="C18" i="71"/>
  <c r="T61" i="71"/>
  <c r="D61" i="71"/>
  <c r="E28" i="6"/>
  <c r="G30" i="6"/>
  <c r="G31" i="6" s="1"/>
  <c r="AB26" i="35"/>
  <c r="U26" i="35"/>
  <c r="E64" i="39"/>
  <c r="E59" i="40"/>
  <c r="E51" i="40"/>
  <c r="F27" i="6"/>
  <c r="F31" i="6" s="1"/>
  <c r="E56" i="39"/>
  <c r="E66" i="39" s="1"/>
  <c r="AG6" i="1"/>
  <c r="E6"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F25" i="12"/>
  <c r="F22" i="69"/>
  <c r="F41" i="69" s="1"/>
  <c r="F24" i="67"/>
  <c r="C24" i="67" s="1"/>
  <c r="F22" i="11"/>
  <c r="F22" i="68"/>
  <c r="F24" i="15"/>
  <c r="C24" i="15" s="1"/>
  <c r="F41" i="80"/>
  <c r="F41" i="15"/>
  <c r="C16" i="15"/>
  <c r="C16" i="80"/>
  <c r="M27" i="80"/>
  <c r="M27" i="15"/>
  <c r="F69" i="80" l="1"/>
  <c r="J10" i="80"/>
  <c r="J5" i="80" s="1"/>
  <c r="J24" i="80" s="1"/>
  <c r="C10" i="15"/>
  <c r="C5" i="15" s="1"/>
  <c r="C38" i="15" s="1"/>
  <c r="C48" i="80"/>
  <c r="C60" i="80" s="1"/>
  <c r="F27" i="11"/>
  <c r="C47" i="11" s="1"/>
  <c r="D45" i="11" s="1"/>
  <c r="C33" i="80"/>
  <c r="C32" i="80"/>
  <c r="C10" i="80"/>
  <c r="C5" i="80" s="1"/>
  <c r="C38" i="80" s="1"/>
  <c r="C32" i="15"/>
  <c r="F45" i="69"/>
  <c r="C47" i="69"/>
  <c r="D45" i="69" s="1"/>
  <c r="C48" i="15"/>
  <c r="C66" i="15" s="1"/>
  <c r="J10" i="15"/>
  <c r="J5" i="15" s="1"/>
  <c r="J24" i="15" s="1"/>
  <c r="F27" i="68"/>
  <c r="C29" i="68" s="1"/>
  <c r="D27" i="68" s="1"/>
  <c r="F28" i="12"/>
  <c r="C29" i="12" s="1"/>
  <c r="D28" i="12" s="1"/>
  <c r="E27" i="6"/>
  <c r="K23" i="6" s="1"/>
  <c r="M23" i="6" s="1"/>
  <c r="I23" i="6" s="1"/>
  <c r="S23" i="6" s="1"/>
  <c r="F10" i="39"/>
  <c r="J10" i="40"/>
  <c r="F10" i="40"/>
  <c r="J10" i="39"/>
  <c r="H10" i="40"/>
  <c r="H10" i="39"/>
  <c r="C29" i="11"/>
  <c r="D27" i="11" s="1"/>
  <c r="J24" i="67"/>
  <c r="F69" i="15"/>
  <c r="E39" i="43"/>
  <c r="G39" i="43"/>
  <c r="I39" i="43" s="1"/>
  <c r="C15" i="12"/>
  <c r="C12" i="12"/>
  <c r="T16" i="43"/>
  <c r="V16" i="43" s="1"/>
  <c r="T13" i="43"/>
  <c r="V13" i="43" s="1"/>
  <c r="T10" i="43"/>
  <c r="V10" i="43" s="1"/>
  <c r="T8" i="43"/>
  <c r="V8" i="43" s="1"/>
  <c r="C37" i="43"/>
  <c r="T9" i="43"/>
  <c r="V9" i="43" s="1"/>
  <c r="T12" i="43"/>
  <c r="V12" i="43" s="1"/>
  <c r="T15" i="43"/>
  <c r="V15" i="43" s="1"/>
  <c r="C34" i="43"/>
  <c r="E3" i="6"/>
  <c r="AY6" i="3"/>
  <c r="C35" i="43"/>
  <c r="C38" i="43"/>
  <c r="T11" i="43"/>
  <c r="V11" i="43" s="1"/>
  <c r="K14" i="1"/>
  <c r="E30" i="6"/>
  <c r="E12" i="71"/>
  <c r="E11" i="71" s="1"/>
  <c r="E10" i="71" s="1"/>
  <c r="E9" i="71" s="1"/>
  <c r="V13" i="71"/>
  <c r="C33" i="43"/>
  <c r="T14" i="43"/>
  <c r="V14" i="43" s="1"/>
  <c r="C17" i="71"/>
  <c r="D18" i="71"/>
  <c r="C36" i="43"/>
  <c r="C19" i="68"/>
  <c r="C24"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66" i="67"/>
  <c r="C60" i="67"/>
  <c r="C66" i="80" l="1"/>
  <c r="K26" i="6"/>
  <c r="M26" i="6" s="1"/>
  <c r="I26" i="6" s="1"/>
  <c r="S26" i="6" s="1"/>
  <c r="E31" i="6"/>
  <c r="K20" i="6"/>
  <c r="K25" i="6"/>
  <c r="M25" i="6" s="1"/>
  <c r="I25" i="6" s="1"/>
  <c r="S25" i="6" s="1"/>
  <c r="K19" i="6"/>
  <c r="K22" i="6"/>
  <c r="M22" i="6" s="1"/>
  <c r="I22" i="6" s="1"/>
  <c r="S22" i="6" s="1"/>
  <c r="K21" i="6"/>
  <c r="M21" i="6" s="1"/>
  <c r="I21" i="6" s="1"/>
  <c r="S21" i="6" s="1"/>
  <c r="C60" i="15"/>
  <c r="C47" i="68"/>
  <c r="D45" i="68" s="1"/>
  <c r="F45" i="68"/>
  <c r="K24" i="6"/>
  <c r="M24" i="6" s="1"/>
  <c r="I24" i="6" s="1"/>
  <c r="S24" i="6" s="1"/>
  <c r="AB10" i="39"/>
  <c r="U10" i="39"/>
  <c r="AB10" i="40"/>
  <c r="U10" i="40"/>
  <c r="W10" i="39"/>
  <c r="AC10" i="39"/>
  <c r="S10" i="40"/>
  <c r="AA10" i="40"/>
  <c r="AC10" i="40"/>
  <c r="W10" i="40"/>
  <c r="S10" i="39"/>
  <c r="AA10" i="39"/>
  <c r="M20" i="6"/>
  <c r="I20" i="6" s="1"/>
  <c r="S20" i="6" s="1"/>
  <c r="S7" i="1"/>
  <c r="AY58" i="3"/>
  <c r="AY23" i="3"/>
  <c r="AY132" i="3"/>
  <c r="AY253" i="3"/>
  <c r="AY303" i="3"/>
  <c r="AY529" i="3"/>
  <c r="AY217" i="3"/>
  <c r="AY463" i="3"/>
  <c r="AY544" i="3"/>
  <c r="AY92" i="3"/>
  <c r="AY33" i="3"/>
  <c r="AY165" i="3"/>
  <c r="AY74" i="3"/>
  <c r="AY489" i="3"/>
  <c r="AY379" i="3"/>
  <c r="AY540" i="3"/>
  <c r="AY198" i="3"/>
  <c r="AY294" i="3"/>
  <c r="AY214" i="3"/>
  <c r="AY554" i="3"/>
  <c r="AY24" i="3"/>
  <c r="AY290" i="3"/>
  <c r="AY349" i="3"/>
  <c r="AY488" i="3"/>
  <c r="AY427" i="3"/>
  <c r="BF6" i="3"/>
  <c r="AY584" i="3"/>
  <c r="AY160" i="3"/>
  <c r="AY350" i="3"/>
  <c r="AY244" i="3"/>
  <c r="AY562" i="3"/>
  <c r="AY36" i="3"/>
  <c r="AY291" i="3"/>
  <c r="AY238" i="3"/>
  <c r="AY368" i="3"/>
  <c r="AY72" i="3"/>
  <c r="AY121" i="3"/>
  <c r="AY370" i="3"/>
  <c r="AY483" i="3"/>
  <c r="AY406" i="3"/>
  <c r="AY572" i="3"/>
  <c r="AY543" i="3"/>
  <c r="AY81" i="3"/>
  <c r="AY153" i="3"/>
  <c r="AY396" i="3"/>
  <c r="AY320" i="3"/>
  <c r="AY434" i="3"/>
  <c r="AY538" i="3"/>
  <c r="AY96" i="3"/>
  <c r="AY223" i="3"/>
  <c r="AY442" i="3"/>
  <c r="BR6" i="3"/>
  <c r="AY78" i="3"/>
  <c r="AY127" i="3"/>
  <c r="AY376" i="3"/>
  <c r="AY424" i="3"/>
  <c r="AY587" i="3"/>
  <c r="AY179" i="3"/>
  <c r="AY256" i="3"/>
  <c r="AY306" i="3"/>
  <c r="BC6" i="3"/>
  <c r="AY158" i="3"/>
  <c r="AY344" i="3"/>
  <c r="AY506" i="3"/>
  <c r="AY563" i="3"/>
  <c r="AY203" i="3"/>
  <c r="AY233" i="3"/>
  <c r="AY330" i="3"/>
  <c r="AY13" i="3"/>
  <c r="AY39" i="3"/>
  <c r="AY136" i="3"/>
  <c r="AY375" i="3"/>
  <c r="AY432" i="3"/>
  <c r="AY567" i="3"/>
  <c r="AY276" i="3"/>
  <c r="AY66" i="3"/>
  <c r="AY90" i="3"/>
  <c r="AY268" i="3"/>
  <c r="AY318" i="3"/>
  <c r="AY188" i="3"/>
  <c r="AY98" i="3"/>
  <c r="AY163" i="3"/>
  <c r="AY225" i="3"/>
  <c r="AY470" i="3"/>
  <c r="AY180" i="3"/>
  <c r="AY358" i="3"/>
  <c r="AY433" i="3"/>
  <c r="AY541" i="3"/>
  <c r="AY45" i="3"/>
  <c r="AY201" i="3"/>
  <c r="AY118" i="3"/>
  <c r="AY284" i="3"/>
  <c r="AY497" i="3"/>
  <c r="AY478" i="3"/>
  <c r="AY100" i="3"/>
  <c r="AY173" i="3"/>
  <c r="AY247" i="3"/>
  <c r="AY397" i="3"/>
  <c r="AY109" i="3"/>
  <c r="AY166" i="3"/>
  <c r="AY242" i="3"/>
  <c r="AY348" i="3"/>
  <c r="AY462" i="3"/>
  <c r="BQ6" i="3"/>
  <c r="AY495" i="3"/>
  <c r="AY582" i="3"/>
  <c r="AY261" i="3"/>
  <c r="AY444" i="3"/>
  <c r="AY311" i="3"/>
  <c r="AY555" i="3"/>
  <c r="AY178" i="3"/>
  <c r="AY271" i="3"/>
  <c r="AY211" i="3"/>
  <c r="BI6" i="3"/>
  <c r="AY186" i="3"/>
  <c r="AY243" i="3"/>
  <c r="AY325" i="3"/>
  <c r="AY464" i="3"/>
  <c r="AY403" i="3"/>
  <c r="AY527" i="3"/>
  <c r="AY556" i="3"/>
  <c r="AY32" i="3"/>
  <c r="AY298" i="3"/>
  <c r="AY352" i="3"/>
  <c r="AY492" i="3"/>
  <c r="AY431" i="3"/>
  <c r="AY575" i="3"/>
  <c r="AY189" i="3"/>
  <c r="AY313" i="3"/>
  <c r="AY579" i="3"/>
  <c r="AY578" i="3"/>
  <c r="AY192" i="3"/>
  <c r="AY249" i="3"/>
  <c r="AY346" i="3"/>
  <c r="AY558" i="3"/>
  <c r="AY55" i="3"/>
  <c r="AY128" i="3"/>
  <c r="AY391" i="3"/>
  <c r="AY448" i="3"/>
  <c r="AY586" i="3"/>
  <c r="AY251" i="3"/>
  <c r="AY468" i="3"/>
  <c r="AY565" i="3"/>
  <c r="AY79" i="3"/>
  <c r="AY151" i="3"/>
  <c r="AY394" i="3"/>
  <c r="AY451" i="3"/>
  <c r="AY568" i="3"/>
  <c r="AY200" i="3"/>
  <c r="AY257" i="3"/>
  <c r="AY307" i="3"/>
  <c r="AY521" i="3"/>
  <c r="AY131" i="3"/>
  <c r="AY292" i="3"/>
  <c r="AY335" i="3"/>
  <c r="AY300" i="3"/>
  <c r="AY310" i="3"/>
  <c r="AY569" i="3"/>
  <c r="AY76" i="3"/>
  <c r="AY154" i="3"/>
  <c r="AY123" i="3"/>
  <c r="AY43" i="3"/>
  <c r="AY557" i="3"/>
  <c r="AY193" i="3"/>
  <c r="AY231" i="3"/>
  <c r="AY357" i="3"/>
  <c r="AY202" i="3"/>
  <c r="AY210" i="3"/>
  <c r="AY491" i="3"/>
  <c r="AY411" i="3"/>
  <c r="AY510" i="3"/>
  <c r="AY103" i="3"/>
  <c r="AY334" i="3"/>
  <c r="AY481" i="3"/>
  <c r="AY53" i="3"/>
  <c r="AY302" i="3"/>
  <c r="AY384" i="3"/>
  <c r="AY88" i="3"/>
  <c r="AY279" i="3"/>
  <c r="AY309" i="3"/>
  <c r="AY438" i="3"/>
  <c r="BN6" i="3"/>
  <c r="AY496" i="3"/>
  <c r="AY174" i="3"/>
  <c r="AY385" i="3"/>
  <c r="AY476" i="3"/>
  <c r="AY505" i="3"/>
  <c r="AY80" i="3"/>
  <c r="AY328" i="3"/>
  <c r="AY502" i="3"/>
  <c r="AY46" i="3"/>
  <c r="AY264" i="3"/>
  <c r="AY466" i="3"/>
  <c r="AY91" i="3"/>
  <c r="AY119" i="3"/>
  <c r="AY323" i="3"/>
  <c r="AY511" i="3"/>
  <c r="AY234" i="3"/>
  <c r="AY439" i="3"/>
  <c r="AY493" i="3"/>
  <c r="AY120" i="3"/>
  <c r="AY347" i="3"/>
  <c r="AY547" i="3"/>
  <c r="AY195" i="3"/>
  <c r="AY208" i="3"/>
  <c r="AY400" i="3"/>
  <c r="AY59" i="3"/>
  <c r="AY75" i="3"/>
  <c r="AY473" i="3"/>
  <c r="AY245" i="3"/>
  <c r="AY465" i="3"/>
  <c r="AY533" i="3"/>
  <c r="AY60" i="3"/>
  <c r="AY138" i="3"/>
  <c r="AY204" i="3"/>
  <c r="AY116" i="3"/>
  <c r="AY573" i="3"/>
  <c r="AY162" i="3"/>
  <c r="AY262" i="3"/>
  <c r="AY360" i="3"/>
  <c r="AY197" i="3"/>
  <c r="AY388" i="3"/>
  <c r="AY475" i="3"/>
  <c r="AY581" i="3"/>
  <c r="BG6" i="3"/>
  <c r="AY50" i="3"/>
  <c r="AY486" i="3"/>
  <c r="AY447" i="3"/>
  <c r="AY68" i="3"/>
  <c r="AY286" i="3"/>
  <c r="AY389" i="3"/>
  <c r="AY57" i="3"/>
  <c r="AY275" i="3"/>
  <c r="AY340" i="3"/>
  <c r="AY422" i="3"/>
  <c r="AY536" i="3"/>
  <c r="AY577" i="3"/>
  <c r="AY142" i="3"/>
  <c r="AY361" i="3"/>
  <c r="AY461" i="3"/>
  <c r="AY17" i="3"/>
  <c r="AY37" i="3"/>
  <c r="AY487" i="3"/>
  <c r="AY509" i="3"/>
  <c r="AY35" i="3"/>
  <c r="AY232" i="3"/>
  <c r="AY456" i="3"/>
  <c r="AY86" i="3"/>
  <c r="AY277" i="3"/>
  <c r="AY338" i="3"/>
  <c r="AY504" i="3"/>
  <c r="AY380" i="3"/>
  <c r="AY407" i="3"/>
  <c r="AY110" i="3"/>
  <c r="AY301" i="3"/>
  <c r="AY315" i="3"/>
  <c r="AY528" i="3"/>
  <c r="AY164" i="3"/>
  <c r="AY386" i="3"/>
  <c r="AY413" i="3"/>
  <c r="AY77" i="3"/>
  <c r="AY222" i="3"/>
  <c r="AY499" i="3"/>
  <c r="AY458" i="3"/>
  <c r="AY474" i="3"/>
  <c r="AY115" i="3"/>
  <c r="AY168" i="3"/>
  <c r="AY460" i="3"/>
  <c r="AY260" i="3"/>
  <c r="AY452" i="3"/>
  <c r="BE6" i="3"/>
  <c r="AY44" i="3"/>
  <c r="AY149" i="3"/>
  <c r="AY252" i="3"/>
  <c r="AY229" i="3"/>
  <c r="AY539" i="3"/>
  <c r="AY141" i="3"/>
  <c r="AY246" i="3"/>
  <c r="BH6" i="3"/>
  <c r="AY177" i="3"/>
  <c r="AY377" i="3"/>
  <c r="AY472" i="3"/>
  <c r="BM6" i="3"/>
  <c r="AY16" i="3"/>
  <c r="AY289" i="3"/>
  <c r="AY425" i="3"/>
  <c r="AY404" i="3"/>
  <c r="AY25" i="3"/>
  <c r="AY255" i="3"/>
  <c r="AY373" i="3"/>
  <c r="AY40" i="3"/>
  <c r="AY258" i="3"/>
  <c r="AY324" i="3"/>
  <c r="AY435" i="3"/>
  <c r="AY520" i="3"/>
  <c r="AY523" i="3"/>
  <c r="AY122" i="3"/>
  <c r="AY337" i="3"/>
  <c r="AY445" i="3"/>
  <c r="AY564" i="3"/>
  <c r="AY169" i="3"/>
  <c r="AY484" i="3"/>
  <c r="AY570" i="3"/>
  <c r="AY187" i="3"/>
  <c r="AY221" i="3"/>
  <c r="AY437" i="3"/>
  <c r="AY70" i="3"/>
  <c r="AY273" i="3"/>
  <c r="AY490" i="3"/>
  <c r="AY498" i="3"/>
  <c r="AY364" i="3"/>
  <c r="AY14" i="3"/>
  <c r="AY47" i="3"/>
  <c r="AY296" i="3"/>
  <c r="AY485" i="3"/>
  <c r="AY576" i="3"/>
  <c r="AY175" i="3"/>
  <c r="AY351" i="3"/>
  <c r="AY15" i="3"/>
  <c r="AY148" i="3"/>
  <c r="AY155" i="3"/>
  <c r="AY82" i="3"/>
  <c r="AY297" i="3"/>
  <c r="AY428" i="3"/>
  <c r="AY228" i="3"/>
  <c r="AY420" i="3"/>
  <c r="AY553" i="3"/>
  <c r="AY28" i="3"/>
  <c r="AY133" i="3"/>
  <c r="AY209" i="3"/>
  <c r="AY212" i="3"/>
  <c r="AY105" i="3"/>
  <c r="AY134" i="3"/>
  <c r="AY230" i="3"/>
  <c r="BJ6" i="3"/>
  <c r="AY145" i="3"/>
  <c r="AY353" i="3"/>
  <c r="AY457" i="3"/>
  <c r="AY585" i="3"/>
  <c r="AY501" i="3"/>
  <c r="AY183" i="3"/>
  <c r="AY526" i="3"/>
  <c r="AY535" i="3"/>
  <c r="AY182" i="3"/>
  <c r="AY239" i="3"/>
  <c r="AY365" i="3"/>
  <c r="AY29" i="3"/>
  <c r="AY226" i="3"/>
  <c r="AY308" i="3"/>
  <c r="AY419" i="3"/>
  <c r="AY518" i="3"/>
  <c r="AY112" i="3"/>
  <c r="AY113" i="3"/>
  <c r="AY321" i="3"/>
  <c r="AY450" i="3"/>
  <c r="AY522" i="3"/>
  <c r="AY129" i="3"/>
  <c r="AY453" i="3"/>
  <c r="AY531" i="3"/>
  <c r="AY156" i="3"/>
  <c r="AY378" i="3"/>
  <c r="AY405" i="3"/>
  <c r="AY38" i="3"/>
  <c r="AY241" i="3"/>
  <c r="AY459" i="3"/>
  <c r="AY65" i="3"/>
  <c r="AY329" i="3"/>
  <c r="AY524" i="3"/>
  <c r="AY62" i="3"/>
  <c r="AY265" i="3"/>
  <c r="AY482" i="3"/>
  <c r="AY107" i="3"/>
  <c r="AY143" i="3"/>
  <c r="AY339" i="3"/>
  <c r="AY566" i="3"/>
  <c r="AY52" i="3"/>
  <c r="AY414" i="3"/>
  <c r="AY390" i="3"/>
  <c r="AY161" i="3"/>
  <c r="AY508" i="3"/>
  <c r="AY304" i="3"/>
  <c r="AY369" i="3"/>
  <c r="AY314" i="3"/>
  <c r="AY550" i="3"/>
  <c r="AY172" i="3"/>
  <c r="AY54" i="3"/>
  <c r="AY176" i="3"/>
  <c r="AY18" i="3"/>
  <c r="AY236" i="3"/>
  <c r="AY441" i="3"/>
  <c r="AY395" i="3"/>
  <c r="AY401" i="3"/>
  <c r="AY97" i="3"/>
  <c r="AY206" i="3"/>
  <c r="AY125" i="3"/>
  <c r="AY363" i="3"/>
  <c r="AY343" i="3"/>
  <c r="AY69" i="3"/>
  <c r="AY299" i="3"/>
  <c r="AY219" i="3"/>
  <c r="AY104" i="3"/>
  <c r="AY114" i="3"/>
  <c r="AY333" i="3"/>
  <c r="AY446" i="3"/>
  <c r="AY561" i="3"/>
  <c r="AY494" i="3"/>
  <c r="AY147" i="3"/>
  <c r="AY199" i="3"/>
  <c r="AY574" i="3"/>
  <c r="AY146" i="3"/>
  <c r="AY270" i="3"/>
  <c r="BS6" i="3"/>
  <c r="AY181" i="3"/>
  <c r="AY215" i="3"/>
  <c r="AY467" i="3"/>
  <c r="AY503" i="3"/>
  <c r="AY552" i="3"/>
  <c r="AY49" i="3"/>
  <c r="AY267" i="3"/>
  <c r="AY305" i="3"/>
  <c r="AY418" i="3"/>
  <c r="AY515" i="3"/>
  <c r="AY282" i="3"/>
  <c r="AY410" i="3"/>
  <c r="BA6" i="3"/>
  <c r="AY167" i="3"/>
  <c r="AY362" i="3"/>
  <c r="AY517" i="3"/>
  <c r="AY27" i="3"/>
  <c r="AY224" i="3"/>
  <c r="AY416" i="3"/>
  <c r="AY48" i="3"/>
  <c r="AY312" i="3"/>
  <c r="AY542" i="3"/>
  <c r="AY30" i="3"/>
  <c r="AY248" i="3"/>
  <c r="AY440" i="3"/>
  <c r="AY102" i="3"/>
  <c r="AY293" i="3"/>
  <c r="AY322" i="3"/>
  <c r="AY583" i="3"/>
  <c r="AY171" i="3"/>
  <c r="AY327" i="3"/>
  <c r="AY185" i="3"/>
  <c r="AY436" i="3"/>
  <c r="AY381" i="3"/>
  <c r="AY332" i="3"/>
  <c r="AY519" i="3"/>
  <c r="AY126" i="3"/>
  <c r="AY449" i="3"/>
  <c r="AY250" i="3"/>
  <c r="AY94" i="3"/>
  <c r="AY137" i="3"/>
  <c r="AY272" i="3"/>
  <c r="AY191" i="3"/>
  <c r="AY382" i="3"/>
  <c r="AY409" i="3"/>
  <c r="AY372" i="3"/>
  <c r="AY513" i="3"/>
  <c r="AY108" i="3"/>
  <c r="AY190" i="3"/>
  <c r="AY67" i="3"/>
  <c r="AY319" i="3"/>
  <c r="AY326" i="3"/>
  <c r="AY84" i="3"/>
  <c r="AY283" i="3"/>
  <c r="AY392" i="3"/>
  <c r="AY73" i="3"/>
  <c r="AY295" i="3"/>
  <c r="AY317" i="3"/>
  <c r="AY430" i="3"/>
  <c r="AY534" i="3"/>
  <c r="AY514" i="3"/>
  <c r="AY237" i="3"/>
  <c r="AY269" i="3"/>
  <c r="BO6" i="3"/>
  <c r="AY157" i="3"/>
  <c r="AY254" i="3"/>
  <c r="AY507" i="3"/>
  <c r="AY150" i="3"/>
  <c r="AY393" i="3"/>
  <c r="AY480" i="3"/>
  <c r="AY525" i="3"/>
  <c r="AY559" i="3"/>
  <c r="AY64" i="3"/>
  <c r="AY235" i="3"/>
  <c r="AY336" i="3"/>
  <c r="AY402" i="3"/>
  <c r="AY537" i="3"/>
  <c r="AY266" i="3"/>
  <c r="AY423" i="3"/>
  <c r="AY99" i="3"/>
  <c r="AY135" i="3"/>
  <c r="AY331" i="3"/>
  <c r="AY560" i="3"/>
  <c r="AY184" i="3"/>
  <c r="AY213" i="3"/>
  <c r="AY429" i="3"/>
  <c r="AY194" i="3"/>
  <c r="AY471" i="3"/>
  <c r="AY545" i="3"/>
  <c r="AY19" i="3"/>
  <c r="AY216" i="3"/>
  <c r="AY408" i="3"/>
  <c r="AY71" i="3"/>
  <c r="AY288" i="3"/>
  <c r="AY477" i="3"/>
  <c r="BT6" i="3"/>
  <c r="AY106" i="3"/>
  <c r="AY371" i="3"/>
  <c r="AY549" i="3"/>
  <c r="AY196" i="3"/>
  <c r="AY278" i="3"/>
  <c r="AY41" i="3"/>
  <c r="AY571" i="3"/>
  <c r="AY89" i="3"/>
  <c r="AY356" i="3"/>
  <c r="AY415" i="3"/>
  <c r="AY512" i="3"/>
  <c r="AY383" i="3"/>
  <c r="AY31" i="3"/>
  <c r="AY366" i="3"/>
  <c r="AY26" i="3"/>
  <c r="AY342" i="3"/>
  <c r="BK6" i="3"/>
  <c r="AY61" i="3"/>
  <c r="AY170" i="3"/>
  <c r="AY139" i="3"/>
  <c r="AY412" i="3"/>
  <c r="AY417" i="3"/>
  <c r="AY20" i="3"/>
  <c r="AY263" i="3"/>
  <c r="AY374" i="3"/>
  <c r="AY56" i="3"/>
  <c r="AY274" i="3"/>
  <c r="AY316" i="3"/>
  <c r="AY398" i="3"/>
  <c r="AY546" i="3"/>
  <c r="AY101" i="3"/>
  <c r="AY387" i="3"/>
  <c r="AY355" i="3"/>
  <c r="AY85" i="3"/>
  <c r="AY117" i="3"/>
  <c r="AY227" i="3"/>
  <c r="AY93" i="3"/>
  <c r="AY130" i="3"/>
  <c r="AY341" i="3"/>
  <c r="AY454" i="3"/>
  <c r="AY516" i="3"/>
  <c r="AY532" i="3"/>
  <c r="AY205" i="3"/>
  <c r="AY218" i="3"/>
  <c r="AY479" i="3"/>
  <c r="AY399" i="3"/>
  <c r="AY530" i="3"/>
  <c r="AY345" i="3"/>
  <c r="D3" i="6"/>
  <c r="AY63" i="3"/>
  <c r="AY280" i="3"/>
  <c r="AY469" i="3"/>
  <c r="BL6" i="3"/>
  <c r="AY159" i="3"/>
  <c r="AY354" i="3"/>
  <c r="BD6" i="3"/>
  <c r="AY287" i="3"/>
  <c r="AY426" i="3"/>
  <c r="BP6" i="3"/>
  <c r="AY140" i="3"/>
  <c r="AY359" i="3"/>
  <c r="AY500" i="3"/>
  <c r="AY22" i="3"/>
  <c r="AY240" i="3"/>
  <c r="AY443" i="3"/>
  <c r="AY455" i="3"/>
  <c r="AY259" i="3"/>
  <c r="AY220" i="3"/>
  <c r="BB6" i="3"/>
  <c r="AY580" i="3"/>
  <c r="AY21" i="3"/>
  <c r="AY551" i="3"/>
  <c r="AY285" i="3"/>
  <c r="AY367" i="3"/>
  <c r="AY548" i="3"/>
  <c r="AY421" i="3"/>
  <c r="AY83" i="3"/>
  <c r="AY144" i="3"/>
  <c r="AY51" i="3"/>
  <c r="AY95" i="3"/>
  <c r="AY207" i="3"/>
  <c r="AY152" i="3"/>
  <c r="AY42" i="3"/>
  <c r="AY124" i="3"/>
  <c r="AY111" i="3"/>
  <c r="AY281" i="3"/>
  <c r="AY87" i="3"/>
  <c r="AY34" i="3"/>
  <c r="D3" i="34"/>
  <c r="B2" i="34" s="1"/>
  <c r="B3" i="34" s="1"/>
  <c r="D37" i="11"/>
  <c r="C37" i="11" s="1"/>
  <c r="D3" i="33"/>
  <c r="C17" i="4"/>
  <c r="B4" i="52" s="1"/>
  <c r="B43" i="72" s="1"/>
  <c r="L18" i="9"/>
  <c r="D14" i="12"/>
  <c r="E6" i="6"/>
  <c r="D3" i="37"/>
  <c r="D3" i="21"/>
  <c r="M18" i="9"/>
  <c r="B118" i="9" s="1"/>
  <c r="B14" i="74" s="1"/>
  <c r="B1" i="74" s="1"/>
  <c r="D19" i="11"/>
  <c r="C19" i="11" s="1"/>
  <c r="G33" i="43"/>
  <c r="I33" i="43" s="1"/>
  <c r="E33" i="43"/>
  <c r="G34" i="43"/>
  <c r="I34" i="43" s="1"/>
  <c r="E34" i="43"/>
  <c r="M14" i="1"/>
  <c r="C34" i="69"/>
  <c r="K16" i="1"/>
  <c r="E36" i="43"/>
  <c r="G36" i="43"/>
  <c r="I36" i="43" s="1"/>
  <c r="E8" i="71"/>
  <c r="E7" i="71" s="1"/>
  <c r="E6" i="71" s="1"/>
  <c r="E5" i="71" s="1"/>
  <c r="V9" i="71"/>
  <c r="E38" i="43"/>
  <c r="G38" i="43"/>
  <c r="I38" i="43" s="1"/>
  <c r="E37" i="43"/>
  <c r="G37" i="43"/>
  <c r="I37" i="43" s="1"/>
  <c r="C16" i="71"/>
  <c r="D17" i="71"/>
  <c r="U17" i="71" s="1"/>
  <c r="T17" i="71"/>
  <c r="S6" i="1"/>
  <c r="M19" i="6"/>
  <c r="K27" i="6"/>
  <c r="E35" i="43"/>
  <c r="G35" i="43"/>
  <c r="I35" i="43" s="1"/>
  <c r="K68" i="39"/>
  <c r="J70" i="39"/>
  <c r="G65" i="40"/>
  <c r="H63" i="40"/>
  <c r="C43" i="37"/>
  <c r="C42" i="37"/>
  <c r="I48" i="35"/>
  <c r="C48" i="33"/>
  <c r="C49" i="33"/>
  <c r="B2" i="33" s="1"/>
  <c r="B3" i="33" s="1"/>
  <c r="H58" i="21"/>
  <c r="E47" i="37"/>
  <c r="F47" i="37" s="1"/>
  <c r="E46" i="37"/>
  <c r="F46" i="37" s="1"/>
  <c r="I47" i="37"/>
  <c r="J47" i="37" s="1"/>
  <c r="E53" i="33"/>
  <c r="F53" i="33" s="1"/>
  <c r="E52" i="33"/>
  <c r="F52" i="33" s="1"/>
  <c r="C33" i="15"/>
  <c r="J59" i="15"/>
  <c r="J60" i="15" s="1"/>
  <c r="C17" i="80"/>
  <c r="C14" i="67"/>
  <c r="C17" i="67"/>
  <c r="C17" i="15"/>
  <c r="C18" i="67" l="1"/>
  <c r="C15" i="67"/>
  <c r="B2" i="37"/>
  <c r="B3" i="37" s="1"/>
  <c r="C15" i="71"/>
  <c r="D16" i="71"/>
  <c r="C35" i="69"/>
  <c r="C38" i="69"/>
  <c r="O14" i="1"/>
  <c r="O16" i="1" s="1"/>
  <c r="M16" i="1"/>
  <c r="H22" i="6"/>
  <c r="D6" i="6"/>
  <c r="H20" i="6"/>
  <c r="D20" i="6"/>
  <c r="D26" i="6"/>
  <c r="D28" i="6"/>
  <c r="L19" i="9"/>
  <c r="D5" i="6"/>
  <c r="C18" i="4"/>
  <c r="E61" i="40"/>
  <c r="D15" i="6"/>
  <c r="M19" i="9"/>
  <c r="C118" i="9" s="1"/>
  <c r="C14" i="74" s="1"/>
  <c r="B2" i="74" s="1"/>
  <c r="D9" i="6"/>
  <c r="D8" i="6"/>
  <c r="H26" i="6"/>
  <c r="R26" i="6" s="1"/>
  <c r="D14" i="6"/>
  <c r="D25" i="6"/>
  <c r="D10" i="6"/>
  <c r="D23" i="6"/>
  <c r="D11" i="6"/>
  <c r="D22" i="6"/>
  <c r="D29" i="6"/>
  <c r="D12" i="6"/>
  <c r="D21" i="6"/>
  <c r="H24" i="6"/>
  <c r="D24" i="6"/>
  <c r="D19" i="6"/>
  <c r="D13" i="6"/>
  <c r="H21" i="6"/>
  <c r="H23" i="6"/>
  <c r="H25" i="6"/>
  <c r="M27" i="6"/>
  <c r="I19" i="6"/>
  <c r="D10" i="69"/>
  <c r="D10" i="68"/>
  <c r="D20" i="12"/>
  <c r="C20" i="12" s="1"/>
  <c r="D10" i="11"/>
  <c r="C10" i="11" s="1"/>
  <c r="E6" i="70"/>
  <c r="E2" i="70" s="1"/>
  <c r="AQ6" i="1"/>
  <c r="AR6" i="1"/>
  <c r="T6" i="1"/>
  <c r="S16" i="1"/>
  <c r="D17" i="12"/>
  <c r="C17" i="12" s="1"/>
  <c r="C14" i="12"/>
  <c r="C16" i="12" s="1"/>
  <c r="C20" i="11"/>
  <c r="C24" i="11"/>
  <c r="T7" i="1"/>
  <c r="AR7" i="1"/>
  <c r="AQ7" i="1"/>
  <c r="C8" i="74"/>
  <c r="C7" i="74"/>
  <c r="K70" i="39"/>
  <c r="L68" i="39"/>
  <c r="I63" i="40"/>
  <c r="H65" i="40"/>
  <c r="I58" i="21"/>
  <c r="J58" i="21" s="1"/>
  <c r="K58" i="21" s="1"/>
  <c r="L58" i="21" s="1"/>
  <c r="M58" i="21" s="1"/>
  <c r="N58" i="21" s="1"/>
  <c r="O58" i="21" s="1"/>
  <c r="H7" i="21" s="1"/>
  <c r="J7" i="21"/>
  <c r="F7" i="21"/>
  <c r="J48" i="35"/>
  <c r="Q48" i="15"/>
  <c r="C14" i="80"/>
  <c r="C14" i="15"/>
  <c r="C18" i="80" l="1"/>
  <c r="C15" i="80"/>
  <c r="R23" i="6"/>
  <c r="R25" i="6"/>
  <c r="C19" i="67"/>
  <c r="C20" i="67" s="1"/>
  <c r="R22" i="6"/>
  <c r="R20" i="6"/>
  <c r="C15" i="15"/>
  <c r="C18" i="15"/>
  <c r="I27" i="6"/>
  <c r="S19" i="6"/>
  <c r="S27" i="6" s="1"/>
  <c r="H19" i="6"/>
  <c r="C4" i="52"/>
  <c r="B45" i="72" s="1"/>
  <c r="A7" i="51"/>
  <c r="B7" i="72" s="1"/>
  <c r="A10" i="51"/>
  <c r="B9" i="72" s="1"/>
  <c r="T16" i="1"/>
  <c r="L16" i="1"/>
  <c r="N16" i="1"/>
  <c r="C34" i="11"/>
  <c r="C34" i="68"/>
  <c r="D16" i="6"/>
  <c r="D30" i="6"/>
  <c r="C28" i="11"/>
  <c r="C27" i="11" s="1"/>
  <c r="C25" i="11"/>
  <c r="C22" i="11" s="1"/>
  <c r="R21" i="6"/>
  <c r="D7" i="74"/>
  <c r="D8" i="74"/>
  <c r="C10" i="68"/>
  <c r="B29" i="1" s="1"/>
  <c r="C8" i="68" s="1"/>
  <c r="D19" i="68"/>
  <c r="D37" i="68" s="1"/>
  <c r="C37" i="68" s="1"/>
  <c r="D27" i="6"/>
  <c r="C10" i="69"/>
  <c r="C8" i="69" s="1"/>
  <c r="C5" i="69" s="1"/>
  <c r="D19" i="69"/>
  <c r="R24" i="6"/>
  <c r="C14" i="71"/>
  <c r="D15" i="71"/>
  <c r="L70" i="39"/>
  <c r="M68" i="39"/>
  <c r="U7" i="21"/>
  <c r="AB7" i="21"/>
  <c r="T48" i="21" s="1"/>
  <c r="G48" i="21" s="1"/>
  <c r="S7" i="21"/>
  <c r="AA7" i="21"/>
  <c r="R48" i="21" s="1"/>
  <c r="J63" i="40"/>
  <c r="I65" i="40"/>
  <c r="K48" i="35"/>
  <c r="L48" i="35" s="1"/>
  <c r="M48" i="35" s="1"/>
  <c r="N48" i="35" s="1"/>
  <c r="O48" i="35" s="1"/>
  <c r="H7" i="35" s="1"/>
  <c r="J7" i="35"/>
  <c r="AC7" i="21"/>
  <c r="V48" i="21" s="1"/>
  <c r="I48" i="21" s="1"/>
  <c r="W7" i="21"/>
  <c r="C19" i="80" l="1"/>
  <c r="C20" i="80" s="1"/>
  <c r="C26" i="80" s="1"/>
  <c r="C26" i="67"/>
  <c r="C23" i="67"/>
  <c r="C19" i="15"/>
  <c r="C20" i="15" s="1"/>
  <c r="C26" i="15" s="1"/>
  <c r="D14" i="71"/>
  <c r="C13" i="71"/>
  <c r="C31" i="11"/>
  <c r="C19" i="69"/>
  <c r="D37" i="69"/>
  <c r="C37" i="69" s="1"/>
  <c r="C33" i="69" s="1"/>
  <c r="C18" i="12"/>
  <c r="C21" i="12" s="1"/>
  <c r="C35" i="68"/>
  <c r="C38" i="68"/>
  <c r="R19" i="6"/>
  <c r="H27" i="6"/>
  <c r="C38" i="11"/>
  <c r="C35" i="11"/>
  <c r="C23" i="69"/>
  <c r="F50" i="11"/>
  <c r="F50" i="68"/>
  <c r="F50" i="69"/>
  <c r="D31" i="6"/>
  <c r="M70" i="39"/>
  <c r="N68" i="39"/>
  <c r="W7" i="35"/>
  <c r="AC7" i="35"/>
  <c r="V38" i="35" s="1"/>
  <c r="I38" i="35" s="1"/>
  <c r="J65" i="40"/>
  <c r="K63" i="40"/>
  <c r="I52" i="21"/>
  <c r="J52" i="21" s="1"/>
  <c r="U7" i="35"/>
  <c r="AB7" i="35"/>
  <c r="T38" i="35" s="1"/>
  <c r="G38" i="35" s="1"/>
  <c r="R49" i="21"/>
  <c r="E48" i="21"/>
  <c r="G52" i="21"/>
  <c r="H52" i="21" s="1"/>
  <c r="G53" i="21"/>
  <c r="H53" i="21" s="1"/>
  <c r="F7" i="35"/>
  <c r="C23" i="80" l="1"/>
  <c r="C29" i="80" s="1"/>
  <c r="C29" i="67"/>
  <c r="C36" i="67" s="1"/>
  <c r="C33" i="11"/>
  <c r="C42" i="11" s="1"/>
  <c r="C23" i="15"/>
  <c r="C29" i="15" s="1"/>
  <c r="J19" i="15" s="1"/>
  <c r="C33" i="68"/>
  <c r="C39" i="68" s="1"/>
  <c r="C22" i="12"/>
  <c r="C30" i="12" s="1"/>
  <c r="C28" i="12" s="1"/>
  <c r="C42" i="69"/>
  <c r="C39" i="69"/>
  <c r="C43" i="69" s="1"/>
  <c r="I6" i="6"/>
  <c r="G3" i="43" s="1"/>
  <c r="I5" i="6"/>
  <c r="C20" i="69"/>
  <c r="C24" i="69"/>
  <c r="R7" i="1"/>
  <c r="R27" i="6"/>
  <c r="R6" i="1"/>
  <c r="C12" i="71"/>
  <c r="T13" i="71"/>
  <c r="D13" i="71"/>
  <c r="U13" i="71" s="1"/>
  <c r="L57" i="15"/>
  <c r="L60" i="15" s="1"/>
  <c r="L46"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F35" i="80"/>
  <c r="F35" i="67"/>
  <c r="M21" i="80"/>
  <c r="M21" i="15"/>
  <c r="F35" i="15"/>
  <c r="M21" i="67"/>
  <c r="J19" i="80" l="1"/>
  <c r="C57" i="80"/>
  <c r="C13" i="80"/>
  <c r="Q49" i="80"/>
  <c r="C36" i="80"/>
  <c r="J14" i="80"/>
  <c r="C33" i="67"/>
  <c r="F63" i="80"/>
  <c r="C62" i="80" s="1"/>
  <c r="C34" i="80"/>
  <c r="C31" i="80" s="1"/>
  <c r="J20" i="80"/>
  <c r="J59" i="67"/>
  <c r="J60" i="67" s="1"/>
  <c r="Q48" i="67" s="1"/>
  <c r="C57" i="67"/>
  <c r="C61" i="67" s="1"/>
  <c r="C13" i="67"/>
  <c r="C75" i="67" s="1"/>
  <c r="Q49" i="67"/>
  <c r="J14" i="67"/>
  <c r="J19" i="67"/>
  <c r="C39" i="11"/>
  <c r="C43" i="11" s="1"/>
  <c r="C41" i="11" s="1"/>
  <c r="F63" i="67"/>
  <c r="C62" i="67" s="1"/>
  <c r="C34" i="67"/>
  <c r="J20" i="67"/>
  <c r="C36" i="15"/>
  <c r="C13" i="15"/>
  <c r="C37" i="15" s="1"/>
  <c r="J14" i="15"/>
  <c r="J22" i="15" s="1"/>
  <c r="Q49" i="15"/>
  <c r="C57" i="15"/>
  <c r="C61" i="15" s="1"/>
  <c r="C41" i="69"/>
  <c r="C43" i="68"/>
  <c r="C46" i="68"/>
  <c r="C45" i="68" s="1"/>
  <c r="C42" i="68"/>
  <c r="F63" i="15"/>
  <c r="C62" i="15" s="1"/>
  <c r="C34" i="15"/>
  <c r="C31" i="15" s="1"/>
  <c r="J20" i="15"/>
  <c r="J17" i="15" s="1"/>
  <c r="C25" i="69"/>
  <c r="C22" i="69" s="1"/>
  <c r="C28" i="69"/>
  <c r="C27" i="69" s="1"/>
  <c r="D101" i="43"/>
  <c r="AG11" i="43"/>
  <c r="AG13" i="43" s="1"/>
  <c r="AJ11" i="43"/>
  <c r="AJ13" i="43" s="1"/>
  <c r="L101" i="43"/>
  <c r="G101" i="43"/>
  <c r="I101" i="43"/>
  <c r="AI11" i="43"/>
  <c r="AI13" i="43" s="1"/>
  <c r="G22" i="43"/>
  <c r="F22" i="43"/>
  <c r="AH11" i="43"/>
  <c r="AH13" i="43" s="1"/>
  <c r="F101" i="43"/>
  <c r="Z7" i="43"/>
  <c r="H101" i="43"/>
  <c r="Z11" i="43"/>
  <c r="Z13" i="43" s="1"/>
  <c r="E22" i="43"/>
  <c r="B113" i="43"/>
  <c r="H22" i="43"/>
  <c r="Y11" i="43"/>
  <c r="Y13" i="43" s="1"/>
  <c r="AB11" i="43"/>
  <c r="AB13" i="43" s="1"/>
  <c r="N104" i="46"/>
  <c r="M101" i="43"/>
  <c r="AA11" i="43"/>
  <c r="AA13" i="43" s="1"/>
  <c r="AD11" i="43"/>
  <c r="AD13" i="43" s="1"/>
  <c r="J101" i="43"/>
  <c r="K101" i="43"/>
  <c r="E101" i="43"/>
  <c r="AC11" i="43"/>
  <c r="AC13" i="43" s="1"/>
  <c r="AF11" i="43"/>
  <c r="AF13" i="43" s="1"/>
  <c r="C101" i="43"/>
  <c r="N101" i="43"/>
  <c r="AE11" i="43"/>
  <c r="AE13" i="43" s="1"/>
  <c r="S4" i="43"/>
  <c r="T4" i="43" s="1"/>
  <c r="V4" i="43" s="1"/>
  <c r="S6" i="43"/>
  <c r="T6" i="43" s="1"/>
  <c r="V6" i="43" s="1"/>
  <c r="S7" i="43"/>
  <c r="T7" i="43" s="1"/>
  <c r="V7" i="43" s="1"/>
  <c r="C23" i="43"/>
  <c r="S3" i="43"/>
  <c r="T3" i="43" s="1"/>
  <c r="V3" i="43" s="1"/>
  <c r="S2" i="43"/>
  <c r="T2" i="43" s="1"/>
  <c r="V2" i="43" s="1"/>
  <c r="S5" i="43"/>
  <c r="T5" i="43" s="1"/>
  <c r="V5" i="43" s="1"/>
  <c r="C11" i="71"/>
  <c r="D12" i="71"/>
  <c r="C46" i="69"/>
  <c r="C45" i="69" s="1"/>
  <c r="R16" i="1"/>
  <c r="C27" i="12"/>
  <c r="C25" i="12" s="1"/>
  <c r="C32" i="12" s="1"/>
  <c r="B2" i="12" s="1"/>
  <c r="B3" i="12" s="1"/>
  <c r="Q57" i="15"/>
  <c r="Q66" i="15"/>
  <c r="H7" i="39"/>
  <c r="J7" i="39"/>
  <c r="AA7" i="39"/>
  <c r="R47" i="39" s="1"/>
  <c r="S7" i="39"/>
  <c r="R39" i="35"/>
  <c r="E38" i="35"/>
  <c r="M63" i="40"/>
  <c r="L65" i="40"/>
  <c r="J22" i="80" l="1"/>
  <c r="J13" i="80"/>
  <c r="J23" i="80" s="1"/>
  <c r="C75" i="80"/>
  <c r="C37" i="80"/>
  <c r="C30" i="80" s="1"/>
  <c r="C39" i="80" s="1"/>
  <c r="Q70" i="80"/>
  <c r="C56" i="80"/>
  <c r="C65" i="80" s="1"/>
  <c r="J17" i="80"/>
  <c r="C64" i="80"/>
  <c r="C61" i="80"/>
  <c r="C59" i="80" s="1"/>
  <c r="Q70" i="67"/>
  <c r="C56" i="67"/>
  <c r="C65" i="67" s="1"/>
  <c r="C31" i="67"/>
  <c r="C59" i="67"/>
  <c r="C64" i="67"/>
  <c r="C37" i="67"/>
  <c r="J17" i="67"/>
  <c r="J22" i="67"/>
  <c r="J13" i="67"/>
  <c r="J23" i="67" s="1"/>
  <c r="C46" i="11"/>
  <c r="C45" i="11" s="1"/>
  <c r="C49" i="11" s="1"/>
  <c r="C51" i="11" s="1"/>
  <c r="C64" i="15"/>
  <c r="Q70" i="15"/>
  <c r="J13" i="15"/>
  <c r="J23" i="15" s="1"/>
  <c r="J16" i="15" s="1"/>
  <c r="J25" i="15" s="1"/>
  <c r="J26" i="15" s="1"/>
  <c r="J29" i="15" s="1"/>
  <c r="C75" i="15"/>
  <c r="C56" i="15"/>
  <c r="C65" i="15" s="1"/>
  <c r="C49" i="69"/>
  <c r="C51" i="69" s="1"/>
  <c r="C41" i="68"/>
  <c r="C49" i="68" s="1"/>
  <c r="C51" i="68" s="1"/>
  <c r="D105" i="43"/>
  <c r="D104" i="43"/>
  <c r="D107" i="43"/>
  <c r="D103" i="43"/>
  <c r="D106" i="43"/>
  <c r="D109" i="43"/>
  <c r="D102" i="43"/>
  <c r="J104" i="43"/>
  <c r="J103" i="43"/>
  <c r="J107" i="43"/>
  <c r="J105" i="43"/>
  <c r="J106" i="43"/>
  <c r="J109" i="43"/>
  <c r="J102"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B118" i="43"/>
  <c r="C118" i="43" s="1"/>
  <c r="D118" i="43"/>
  <c r="E118" i="43" s="1"/>
  <c r="F118" i="43" s="1"/>
  <c r="B115" i="43"/>
  <c r="C115" i="43" s="1"/>
  <c r="B117" i="43"/>
  <c r="C117" i="43" s="1"/>
  <c r="D115" i="43"/>
  <c r="E115" i="43" s="1"/>
  <c r="F115" i="43" s="1"/>
  <c r="G115" i="43" s="1"/>
  <c r="H115" i="43" s="1"/>
  <c r="G118" i="43"/>
  <c r="H118" i="43" s="1"/>
  <c r="D11" i="71"/>
  <c r="C10" i="71"/>
  <c r="D22" i="43"/>
  <c r="C21" i="43" s="1"/>
  <c r="C29" i="43" s="1"/>
  <c r="C31" i="69"/>
  <c r="K102" i="43"/>
  <c r="K105" i="43"/>
  <c r="K103" i="43"/>
  <c r="K106" i="43"/>
  <c r="K109" i="43"/>
  <c r="K104" i="43"/>
  <c r="K107" i="43"/>
  <c r="N105" i="43"/>
  <c r="N104" i="43"/>
  <c r="N102" i="43"/>
  <c r="N106" i="43"/>
  <c r="N107" i="43"/>
  <c r="N109" i="43"/>
  <c r="N103" i="43"/>
  <c r="I104" i="43"/>
  <c r="I107" i="43"/>
  <c r="I106" i="43"/>
  <c r="I102" i="43"/>
  <c r="I105" i="43"/>
  <c r="I103" i="43"/>
  <c r="I109" i="43"/>
  <c r="C107" i="43"/>
  <c r="C103" i="43"/>
  <c r="C109" i="43"/>
  <c r="C104" i="43"/>
  <c r="C106" i="43"/>
  <c r="C102" i="43"/>
  <c r="C105" i="43"/>
  <c r="M107" i="43"/>
  <c r="M105" i="43"/>
  <c r="M102" i="43"/>
  <c r="M104" i="43"/>
  <c r="M103" i="43"/>
  <c r="M106" i="43"/>
  <c r="M109" i="43"/>
  <c r="H102" i="43"/>
  <c r="H103" i="43"/>
  <c r="H104" i="43"/>
  <c r="H109" i="43"/>
  <c r="H106" i="43"/>
  <c r="H107" i="43"/>
  <c r="H105" i="43"/>
  <c r="G104" i="43"/>
  <c r="G106" i="43"/>
  <c r="G109" i="43"/>
  <c r="G105" i="43"/>
  <c r="G102" i="43"/>
  <c r="G103" i="43"/>
  <c r="G107" i="43"/>
  <c r="L109" i="43"/>
  <c r="L106" i="43"/>
  <c r="L107" i="43"/>
  <c r="L103" i="43"/>
  <c r="L102" i="43"/>
  <c r="L105" i="43"/>
  <c r="L104" i="43"/>
  <c r="F104" i="43"/>
  <c r="F102" i="43"/>
  <c r="F105" i="43"/>
  <c r="F106" i="43"/>
  <c r="F103" i="43"/>
  <c r="F107" i="43"/>
  <c r="F109" i="43"/>
  <c r="C30" i="15"/>
  <c r="C39" i="15" s="1"/>
  <c r="E107" i="43"/>
  <c r="E106" i="43"/>
  <c r="E105" i="43"/>
  <c r="E109" i="43"/>
  <c r="E103" i="43"/>
  <c r="E104" i="43"/>
  <c r="E102" i="43"/>
  <c r="C59" i="15"/>
  <c r="E47" i="39"/>
  <c r="R48" i="39"/>
  <c r="W7" i="39"/>
  <c r="AC7" i="39"/>
  <c r="V47" i="39" s="1"/>
  <c r="I47" i="39" s="1"/>
  <c r="U7" i="39"/>
  <c r="AB7" i="39"/>
  <c r="T47" i="39" s="1"/>
  <c r="G47" i="39" s="1"/>
  <c r="C39" i="35"/>
  <c r="B2" i="35" s="1"/>
  <c r="B3" i="35" s="1"/>
  <c r="C38" i="35"/>
  <c r="N63" i="40"/>
  <c r="M65" i="40"/>
  <c r="E43" i="35"/>
  <c r="F43" i="35" s="1"/>
  <c r="E42" i="35"/>
  <c r="F42" i="35" s="1"/>
  <c r="I43" i="35"/>
  <c r="J43" i="35" s="1"/>
  <c r="L51" i="80"/>
  <c r="J16" i="80" l="1"/>
  <c r="J25" i="80" s="1"/>
  <c r="J26" i="80" s="1"/>
  <c r="J29" i="80" s="1"/>
  <c r="Q69" i="80"/>
  <c r="Q68" i="80" s="1"/>
  <c r="C80" i="80"/>
  <c r="C79" i="80" s="1"/>
  <c r="C58" i="80"/>
  <c r="C67" i="80" s="1"/>
  <c r="C68" i="80" s="1"/>
  <c r="C71" i="80" s="1"/>
  <c r="C58" i="67"/>
  <c r="C67" i="67" s="1"/>
  <c r="C68" i="67" s="1"/>
  <c r="C71" i="67" s="1"/>
  <c r="C30" i="67"/>
  <c r="C39" i="67" s="1"/>
  <c r="C40" i="67" s="1"/>
  <c r="Q67" i="80"/>
  <c r="J16" i="67"/>
  <c r="J25" i="67" s="1"/>
  <c r="C58" i="15"/>
  <c r="C67" i="15" s="1"/>
  <c r="C68" i="15" s="1"/>
  <c r="C71" i="15" s="1"/>
  <c r="C52" i="11"/>
  <c r="B2" i="11" s="1"/>
  <c r="B3" i="11" s="1"/>
  <c r="D113" i="43"/>
  <c r="J22" i="43" s="1"/>
  <c r="L46" i="67"/>
  <c r="C52" i="69"/>
  <c r="B2" i="69" s="1"/>
  <c r="B3" i="69" s="1"/>
  <c r="D10" i="71"/>
  <c r="C9" i="71"/>
  <c r="Q69" i="15"/>
  <c r="Q68" i="15" s="1"/>
  <c r="C40" i="15"/>
  <c r="C30" i="43"/>
  <c r="E30" i="43" s="1"/>
  <c r="C27" i="43" s="1"/>
  <c r="E29" i="43"/>
  <c r="C26" i="43" s="1"/>
  <c r="B2" i="43" s="1"/>
  <c r="C6" i="68" s="1"/>
  <c r="K6" i="68" s="1"/>
  <c r="C80" i="15"/>
  <c r="C79" i="15" s="1"/>
  <c r="E52" i="39"/>
  <c r="F52" i="39" s="1"/>
  <c r="E51" i="39"/>
  <c r="F51" i="39" s="1"/>
  <c r="G51" i="39"/>
  <c r="H51" i="39" s="1"/>
  <c r="G52" i="39"/>
  <c r="H52" i="39" s="1"/>
  <c r="I51" i="39"/>
  <c r="J51" i="39" s="1"/>
  <c r="I52" i="39"/>
  <c r="J52" i="39" s="1"/>
  <c r="C48" i="39"/>
  <c r="C47" i="39"/>
  <c r="O63" i="40"/>
  <c r="O65" i="40" s="1"/>
  <c r="N65" i="40"/>
  <c r="L51" i="15"/>
  <c r="E6" i="76"/>
  <c r="L51" i="67"/>
  <c r="B6" i="76"/>
  <c r="Q65" i="80" l="1"/>
  <c r="Q75" i="80" s="1"/>
  <c r="C7" i="68"/>
  <c r="C5" i="68" s="1"/>
  <c r="C43" i="80"/>
  <c r="Q47" i="80"/>
  <c r="Q53" i="80" s="1"/>
  <c r="C83" i="80"/>
  <c r="C82" i="80" s="1"/>
  <c r="B2" i="80"/>
  <c r="C46" i="80"/>
  <c r="Q56" i="80"/>
  <c r="Q62" i="80" s="1"/>
  <c r="L57" i="67"/>
  <c r="L60" i="67" s="1"/>
  <c r="Q66" i="67" s="1"/>
  <c r="Q67" i="67"/>
  <c r="C45" i="67"/>
  <c r="C46" i="67" s="1"/>
  <c r="C43" i="67"/>
  <c r="C80" i="67"/>
  <c r="C79" i="67" s="1"/>
  <c r="Q69" i="67"/>
  <c r="Q68" i="67" s="1"/>
  <c r="D2" i="67"/>
  <c r="B3" i="67" s="1"/>
  <c r="Q56" i="67"/>
  <c r="C83" i="67"/>
  <c r="C82" i="67" s="1"/>
  <c r="Q65" i="67"/>
  <c r="Q47" i="67"/>
  <c r="Q53" i="67" s="1"/>
  <c r="C56" i="11"/>
  <c r="C57" i="11" s="1"/>
  <c r="C57" i="69"/>
  <c r="C56" i="69" s="1"/>
  <c r="Q67" i="15"/>
  <c r="E2" i="76"/>
  <c r="B2" i="76"/>
  <c r="Q47" i="15"/>
  <c r="Q53" i="15" s="1"/>
  <c r="Q56" i="15"/>
  <c r="Q62" i="15" s="1"/>
  <c r="C43" i="15"/>
  <c r="C83" i="15"/>
  <c r="C82" i="15" s="1"/>
  <c r="B2" i="15"/>
  <c r="Q65" i="15"/>
  <c r="Q75" i="15" s="1"/>
  <c r="C46" i="15"/>
  <c r="C8" i="71"/>
  <c r="T9" i="71"/>
  <c r="D9" i="71"/>
  <c r="U9" i="71" s="1"/>
  <c r="B3" i="43"/>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AO6" i="1"/>
  <c r="AO7" i="1"/>
  <c r="B7" i="70" l="1"/>
  <c r="B3" i="80"/>
  <c r="C23" i="68"/>
  <c r="C20" i="68"/>
  <c r="C25" i="68" s="1"/>
  <c r="B2" i="67"/>
  <c r="Q57" i="67"/>
  <c r="Q62" i="67" s="1"/>
  <c r="Q75" i="67"/>
  <c r="B3" i="76"/>
  <c r="B6" i="70"/>
  <c r="B2" i="70" s="1"/>
  <c r="B3" i="15"/>
  <c r="D8" i="71"/>
  <c r="C7" i="71"/>
  <c r="S24" i="31"/>
  <c r="R27" i="31"/>
  <c r="S27" i="31" s="1"/>
  <c r="R26" i="31"/>
  <c r="S26" i="31" s="1"/>
  <c r="R25" i="31"/>
  <c r="S25" i="31" s="1"/>
  <c r="U7" i="40"/>
  <c r="AB7" i="40"/>
  <c r="T42" i="40" s="1"/>
  <c r="G42" i="40" s="1"/>
  <c r="AA7" i="40"/>
  <c r="R42" i="40" s="1"/>
  <c r="S7" i="40"/>
  <c r="AC7" i="40"/>
  <c r="V42" i="40" s="1"/>
  <c r="I42" i="40" s="1"/>
  <c r="W7" i="40"/>
  <c r="D19" i="9"/>
  <c r="D21" i="9" l="1"/>
  <c r="D102" i="9"/>
  <c r="B3" i="70"/>
  <c r="C22" i="68"/>
  <c r="C28" i="68"/>
  <c r="C27" i="68" s="1"/>
  <c r="C6" i="71"/>
  <c r="D7" i="71"/>
  <c r="S22" i="31"/>
  <c r="I46" i="40"/>
  <c r="J46" i="40" s="1"/>
  <c r="R43" i="40"/>
  <c r="E42" i="40"/>
  <c r="G47" i="40"/>
  <c r="H47" i="40" s="1"/>
  <c r="G46" i="40"/>
  <c r="H46" i="40" s="1"/>
  <c r="D20" i="9"/>
  <c r="D103" i="9" l="1"/>
  <c r="C31" i="68"/>
  <c r="C52" i="68" s="1"/>
  <c r="B2" i="68" s="1"/>
  <c r="C5" i="71"/>
  <c r="D6" i="71"/>
  <c r="R22" i="31"/>
  <c r="B20" i="31"/>
  <c r="B21" i="31" s="1"/>
  <c r="C42" i="40"/>
  <c r="C43" i="40"/>
  <c r="E47" i="40"/>
  <c r="F47" i="40" s="1"/>
  <c r="E46" i="40"/>
  <c r="F46" i="40" s="1"/>
  <c r="I47" i="40"/>
  <c r="J47" i="40" s="1"/>
  <c r="C19" i="9"/>
  <c r="C21" i="9" l="1"/>
  <c r="G19" i="9"/>
  <c r="G21" i="9" s="1"/>
  <c r="D22" i="9"/>
  <c r="C102" i="9"/>
  <c r="B3" i="68"/>
  <c r="C57" i="68"/>
  <c r="C56" i="68" s="1"/>
  <c r="D5" i="7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0" i="9"/>
  <c r="C32" i="9" l="1"/>
  <c r="C35" i="9" s="1"/>
  <c r="C34" i="9" s="1"/>
  <c r="D118" i="9" s="1"/>
  <c r="D4" i="52" s="1"/>
  <c r="B47" i="72" s="1"/>
  <c r="C103" i="9"/>
  <c r="G20" i="9"/>
  <c r="T22" i="31" s="1"/>
  <c r="D119" i="9" l="1"/>
  <c r="D5" i="52" s="1"/>
  <c r="B49" i="72" s="1"/>
  <c r="H118" i="9"/>
  <c r="C104" i="9" s="1"/>
  <c r="F118" i="9"/>
  <c r="F119" i="9" s="1"/>
  <c r="F5" i="52" s="1"/>
  <c r="B53" i="72" s="1"/>
  <c r="G118" i="9" l="1"/>
  <c r="G4" i="52" s="1"/>
  <c r="B52" i="72" s="1"/>
  <c r="F4" i="52"/>
  <c r="B51" i="72" s="1"/>
  <c r="I118" i="9"/>
  <c r="H102" i="9" s="1"/>
  <c r="D7" i="53" s="1"/>
  <c r="B21" i="72" s="1"/>
  <c r="H119" i="9"/>
  <c r="H5" i="52" s="1"/>
  <c r="H101" i="9"/>
  <c r="M48" i="9" s="1"/>
  <c r="H4" i="52"/>
  <c r="D14" i="74"/>
  <c r="F14" i="74" l="1"/>
  <c r="F35" i="6"/>
  <c r="F34" i="6" s="1"/>
  <c r="H107" i="9"/>
  <c r="D13" i="53" s="1"/>
  <c r="D14" i="53" s="1"/>
  <c r="B32" i="72" s="1"/>
  <c r="B5" i="74"/>
  <c r="D5" i="74" s="1"/>
  <c r="D5" i="53"/>
  <c r="D6" i="53" s="1"/>
  <c r="B22" i="72" s="1"/>
  <c r="D45" i="9"/>
  <c r="C64" i="9" s="1"/>
  <c r="C63" i="9" s="1"/>
  <c r="C67" i="9" s="1"/>
  <c r="C68" i="9" s="1"/>
  <c r="D54" i="9" s="1"/>
  <c r="E14" i="74"/>
  <c r="E118" i="9"/>
  <c r="E4" i="52" s="1"/>
  <c r="B48" i="72" s="1"/>
  <c r="I4" i="52"/>
  <c r="C105" i="9"/>
  <c r="M49" i="9"/>
  <c r="L63" i="9" s="1"/>
  <c r="M63" i="9" s="1"/>
  <c r="B30" i="72" l="1"/>
  <c r="H108" i="9"/>
  <c r="D15" i="53" s="1"/>
  <c r="B31" i="72" s="1"/>
  <c r="D122" i="9"/>
  <c r="G14" i="74" s="1"/>
  <c r="B6" i="74" s="1"/>
  <c r="C6" i="74" s="1"/>
  <c r="B20" i="72"/>
  <c r="C72" i="9"/>
  <c r="C85" i="9"/>
  <c r="C78" i="9"/>
  <c r="C73" i="9" s="1"/>
  <c r="C93" i="9"/>
  <c r="C86" i="9" s="1"/>
  <c r="C95" i="9" s="1"/>
  <c r="C96" i="9" s="1"/>
  <c r="E96" i="9" s="1"/>
  <c r="E97" i="9" s="1"/>
  <c r="D52" i="9"/>
  <c r="D55" i="9"/>
  <c r="M53" i="9" s="1"/>
  <c r="D53" i="9"/>
  <c r="D59" i="9"/>
  <c r="M55" i="9" s="1"/>
  <c r="C5" i="74"/>
  <c r="L68" i="9"/>
  <c r="M68" i="9" s="1"/>
  <c r="L66" i="9"/>
  <c r="M66" i="9" s="1"/>
  <c r="L64" i="9"/>
  <c r="M64" i="9" s="1"/>
  <c r="L65" i="9"/>
  <c r="M65" i="9" s="1"/>
  <c r="L67" i="9"/>
  <c r="M67" i="9" s="1"/>
  <c r="D6" i="74" l="1"/>
  <c r="D8" i="52"/>
  <c r="D123" i="9"/>
  <c r="D9" i="52" s="1"/>
  <c r="C79" i="9"/>
  <c r="C80" i="9" s="1"/>
  <c r="E80" i="9" s="1"/>
  <c r="E81" i="9" s="1"/>
  <c r="M69" i="9"/>
  <c r="N69" i="9" s="1"/>
  <c r="C97" i="9"/>
  <c r="D58" i="9" s="1"/>
  <c r="D56" i="9" s="1"/>
  <c r="M54" i="9" s="1"/>
  <c r="N57" i="9" s="1"/>
  <c r="P57"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<sst xmlns="http://schemas.openxmlformats.org/spreadsheetml/2006/main" count="7888" uniqueCount="3223">
  <si>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</si>
  <si>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</si>
  <si>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</si>
  <si>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</si>
  <si>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</si>
  <si>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</si>
  <si>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</si>
  <si>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</si>
  <si>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</si>
  <si>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</si>
  <si>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</si>
  <si>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</si>
  <si>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</si>
  <si>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</si>
  <si>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</si>
  <si>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</si>
  <si>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</si>
  <si>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</si>
  <si>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</si>
  <si>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</si>
  <si>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</si>
  <si>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</si>
  <si>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</si>
  <si>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</si>
  <si>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</si>
  <si>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</si>
  <si>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</si>
  <si>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</si>
  <si>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</si>
  <si>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</si>
  <si>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</si>
  <si>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</si>
  <si>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</si>
  <si>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</si>
  <si>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</si>
  <si>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</si>
  <si>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</si>
  <si>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</si>
  <si>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</si>
  <si>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</si>
  <si>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</si>
  <si>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</si>
  <si>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</si>
  <si>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</si>
  <si>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</si>
  <si>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</si>
  <si>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</si>
  <si>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</si>
  <si>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</si>
  <si>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</si>
  <si>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</si>
  <si>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</si>
  <si>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</si>
  <si>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</si>
  <si>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</si>
  <si>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</si>
  <si>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</si>
  <si>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</si>
  <si>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</si>
  <si>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</si>
  <si>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</si>
  <si>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</si>
  <si>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</si>
  <si>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</si>
  <si>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</si>
  <si>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</si>
  <si>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</si>
  <si>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</si>
  <si>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</si>
  <si>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</si>
  <si>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</si>
  <si>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</si>
  <si>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</si>
  <si>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</si>
  <si>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</si>
  <si>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</si>
  <si>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</si>
  <si>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</si>
  <si>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</si>
  <si>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</si>
  <si>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</si>
  <si>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</si>
  <si>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</si>
  <si>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</si>
  <si>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</si>
  <si>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</si>
  <si>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</si>
  <si>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</si>
  <si>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</si>
  <si>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</si>
  <si>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</si>
  <si>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</si>
  <si>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</si>
  <si>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</si>
  <si>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</si>
  <si>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</si>
  <si>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</si>
  <si>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</si>
  <si>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</si>
  <si>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</si>
  <si>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</si>
  <si>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</si>
  <si>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</si>
  <si>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</si>
  <si>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</si>
  <si>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</si>
  <si>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</si>
  <si>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</si>
  <si>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</si>
  <si>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</si>
  <si>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</si>
  <si>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</si>
  <si>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</si>
  <si>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</si>
  <si>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</si>
  <si>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</si>
  <si>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</si>
  <si>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</si>
  <si>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</si>
  <si>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</si>
  <si>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</si>
  <si>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</si>
  <si>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</si>
  <si>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</si>
  <si>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</si>
  <si>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</si>
  <si>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</si>
  <si>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</si>
  <si>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</si>
  <si>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</si>
  <si>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</si>
  <si>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</si>
  <si>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</si>
  <si>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</si>
  <si>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</si>
  <si>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</si>
  <si>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</si>
  <si>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</si>
  <si>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</si>
  <si>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</si>
  <si>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</si>
  <si>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</si>
  <si>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</si>
  <si>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</si>
  <si>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</si>
  <si>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</si>
  <si>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</si>
  <si>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</si>
  <si>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</si>
  <si>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</si>
  <si>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</si>
  <si>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</si>
  <si>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</si>
  <si>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</si>
  <si>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</si>
  <si>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</si>
  <si>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</si>
  <si>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</si>
  <si>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</si>
  <si>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</si>
  <si>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</si>
  <si>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</si>
  <si>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</si>
  <si>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</si>
  <si>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</si>
  <si>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</si>
  <si>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</si>
  <si>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</si>
  <si>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</si>
  <si>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</si>
  <si>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</si>
  <si>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</si>
  <si>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</si>
  <si>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</si>
  <si>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</si>
  <si>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</si>
  <si>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</si>
  <si>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</si>
  <si>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</si>
  <si>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</si>
  <si>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</si>
  <si>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</si>
  <si>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</si>
  <si>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</si>
  <si>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</si>
  <si>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</si>
  <si>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</si>
  <si>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</si>
  <si>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</si>
  <si>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</si>
  <si>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</si>
  <si>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</si>
  <si>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</si>
  <si>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</si>
  <si>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</si>
  <si>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</si>
  <si>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</si>
  <si>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</si>
  <si>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</si>
  <si>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</si>
  <si>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</si>
  <si>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</si>
  <si>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</si>
  <si>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</si>
  <si>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</si>
  <si>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</si>
  <si>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</si>
  <si>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</si>
  <si>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</si>
  <si>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</si>
  <si>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</si>
  <si>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</si>
  <si>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</si>
  <si>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</si>
  <si>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</si>
  <si>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</si>
  <si>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</si>
  <si>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</si>
  <si>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</si>
  <si>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</si>
  <si>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</si>
  <si>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</si>
  <si>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</si>
  <si>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</si>
  <si>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</si>
  <si>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</si>
  <si>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</si>
  <si>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</si>
  <si>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</si>
  <si>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</si>
  <si>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</si>
  <si>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</si>
  <si>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</si>
  <si>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</si>
  <si>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</si>
  <si>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</si>
  <si>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</si>
  <si>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</si>
  <si>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</si>
  <si>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</si>
  <si>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</si>
  <si>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</si>
  <si>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</si>
  <si>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</si>
  <si>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</si>
  <si>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</si>
  <si>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</si>
  <si>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</si>
  <si>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</si>
  <si>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</si>
  <si>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</si>
  <si>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</si>
  <si>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</si>
  <si>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</si>
  <si>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</si>
  <si>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</si>
  <si>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</si>
  <si>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</si>
  <si>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</si>
  <si>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</si>
  <si>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</si>
  <si>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</si>
  <si>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</si>
  <si>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</si>
  <si>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</si>
  <si>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</si>
  <si>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</si>
  <si>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</si>
  <si>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</si>
  <si>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</si>
  <si>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</si>
  <si>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</si>
  <si>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</si>
  <si>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</si>
  <si>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</si>
  <si>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</si>
  <si>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</si>
  <si>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</si>
  <si>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</si>
  <si>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</si>
  <si>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</si>
  <si>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</si>
  <si>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</si>
  <si>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</si>
  <si>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</si>
  <si>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</si>
  <si>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</si>
  <si>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</si>
  <si>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</si>
  <si>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</si>
  <si>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</si>
  <si>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</si>
  <si>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</si>
  <si>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</si>
  <si>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</si>
  <si>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</si>
  <si>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</si>
  <si>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</si>
  <si>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</si>
  <si>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</si>
  <si>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</si>
  <si>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</si>
  <si>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</si>
  <si>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</si>
  <si>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</si>
  <si>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</si>
  <si>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</si>
  <si>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</si>
  <si>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</si>
  <si>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</si>
  <si>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</si>
  <si>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</si>
  <si>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</si>
  <si>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</si>
  <si>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</si>
  <si>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</si>
  <si>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</si>
  <si>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</si>
  <si>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</si>
  <si>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</si>
  <si>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</si>
  <si>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</si>
  <si>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</si>
  <si>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</si>
  <si>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</si>
  <si>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</si>
  <si>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</si>
  <si>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</si>
  <si>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</si>
  <si>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</si>
  <si>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</si>
  <si>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</si>
  <si>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</si>
  <si>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</si>
  <si>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</si>
  <si>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</si>
  <si>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</si>
  <si>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</si>
  <si>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</si>
  <si>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</si>
  <si>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</si>
  <si>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</si>
  <si>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</si>
  <si>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</si>
  <si>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</si>
  <si>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</si>
  <si>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</si>
  <si>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</si>
  <si>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</si>
  <si>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</si>
  <si>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</si>
  <si>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</si>
  <si>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</si>
  <si>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</si>
  <si>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</si>
  <si>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</si>
  <si>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</si>
  <si>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</si>
  <si>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</si>
  <si>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</si>
  <si>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</si>
  <si>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</si>
  <si>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</si>
  <si>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</si>
  <si>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</si>
  <si>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</si>
  <si>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</si>
  <si>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</si>
  <si>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</si>
  <si>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</si>
  <si>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</si>
  <si>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</si>
  <si>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</si>
  <si>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</si>
  <si>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</si>
  <si>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</si>
  <si>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</si>
  <si>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</si>
  <si>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</si>
  <si>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</si>
  <si>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</si>
  <si>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</si>
  <si>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</si>
  <si>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</si>
  <si>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</si>
  <si>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</si>
  <si>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</si>
  <si>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</si>
  <si>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</si>
  <si>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</si>
  <si>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</si>
  <si>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</si>
  <si>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</si>
  <si>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</si>
  <si>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</si>
  <si>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</si>
  <si>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</si>
  <si>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</si>
  <si>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</si>
  <si>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</si>
  <si>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</si>
  <si>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</si>
  <si>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</si>
  <si>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</si>
  <si>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</si>
  <si>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</si>
  <si>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</si>
  <si>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</si>
  <si>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</si>
  <si>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</si>
  <si>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</si>
  <si>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</si>
  <si>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</si>
  <si>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</si>
  <si>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</si>
  <si>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</si>
  <si>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</si>
  <si>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</si>
  <si>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</si>
  <si>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</si>
  <si>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</si>
  <si>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</si>
  <si>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</si>
  <si>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</si>
  <si>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</si>
  <si>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</si>
  <si>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</si>
  <si>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</si>
  <si>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</si>
  <si>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</si>
  <si>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</si>
  <si>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</si>
  <si>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</si>
  <si>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</si>
  <si>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</si>
  <si>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</si>
  <si>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</si>
  <si>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</si>
  <si>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</si>
  <si>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</si>
  <si>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</si>
  <si>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</si>
  <si>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</si>
  <si>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</si>
  <si>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</si>
  <si>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</si>
  <si>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</si>
  <si>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</si>
  <si>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</si>
  <si>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</si>
  <si>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</si>
  <si>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</si>
  <si>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</si>
  <si>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</si>
  <si>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</si>
  <si>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</si>
  <si>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</si>
  <si>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</si>
  <si>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</si>
  <si>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</si>
  <si>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</si>
  <si>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</si>
  <si>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</si>
  <si>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</si>
  <si>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</si>
  <si>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</si>
  <si>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</si>
  <si>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</si>
  <si>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</si>
  <si>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</si>
  <si>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</si>
  <si>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</si>
  <si>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</si>
  <si>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</si>
  <si>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</si>
  <si>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</si>
  <si>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</si>
  <si>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</si>
  <si>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</si>
  <si>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</si>
  <si>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</si>
  <si>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</si>
  <si>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</si>
  <si>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</si>
  <si>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</si>
  <si>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</si>
  <si>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</si>
  <si>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</si>
  <si>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</si>
  <si>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</si>
  <si>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</si>
  <si>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</si>
  <si>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</si>
  <si>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</si>
  <si>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</si>
  <si>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</si>
  <si>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</si>
  <si>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</si>
  <si>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</si>
  <si>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</si>
  <si>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</si>
  <si>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</si>
  <si>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</si>
  <si>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</si>
  <si>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</si>
  <si>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</si>
  <si>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</si>
  <si>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</si>
  <si>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</si>
  <si>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</si>
  <si>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</si>
  <si>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</si>
  <si>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</si>
  <si>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</si>
  <si>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</si>
  <si>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</si>
  <si>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</si>
  <si>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</si>
  <si>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</si>
  <si>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</si>
  <si>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</si>
  <si>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</si>
  <si>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</si>
  <si>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</si>
  <si>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</si>
  <si>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</si>
  <si>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</si>
  <si>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</si>
  <si>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</si>
  <si>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</si>
  <si>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</si>
  <si>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</si>
  <si>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</si>
  <si>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</si>
  <si>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</si>
  <si>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</si>
  <si>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</si>
  <si>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</si>
  <si>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</si>
  <si>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</si>
  <si>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</si>
  <si>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</si>
  <si>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</si>
  <si>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</si>
  <si>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</si>
  <si>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</si>
  <si>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</si>
  <si>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</si>
  <si>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</si>
  <si>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</si>
  <si>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</si>
  <si>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</si>
  <si>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</si>
  <si>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</si>
  <si>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</si>
  <si>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</si>
  <si>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</si>
  <si>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</si>
  <si>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</si>
  <si>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</si>
  <si>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</si>
  <si>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</si>
  <si>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</si>
  <si>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</si>
  <si>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</si>
  <si>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</si>
  <si>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</si>
  <si>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</si>
  <si>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</si>
  <si>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</si>
  <si>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</si>
  <si>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</si>
  <si>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</si>
  <si>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</si>
  <si>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</si>
  <si>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</si>
  <si>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</si>
  <si>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</si>
  <si>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</si>
  <si>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</si>
  <si>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</si>
  <si>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</si>
  <si>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</si>
  <si>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</si>
  <si>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</si>
  <si>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</si>
  <si>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</si>
  <si>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</si>
  <si>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</si>
  <si>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</si>
  <si>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</si>
  <si>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</si>
  <si>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</si>
  <si>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</si>
  <si>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</si>
  <si>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</si>
  <si>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</si>
  <si>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</si>
  <si>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</si>
  <si>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</si>
  <si>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</si>
  <si>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</si>
  <si>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</si>
  <si>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</si>
  <si>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</si>
  <si>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</si>
  <si>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</si>
  <si>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</si>
  <si>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</si>
  <si>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</si>
  <si>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</si>
  <si>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</si>
  <si>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</si>
  <si>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</si>
  <si>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</si>
  <si>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</si>
  <si>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</si>
  <si>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</si>
  <si>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</si>
  <si>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</si>
  <si>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</si>
  <si>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</si>
  <si>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</si>
  <si>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</si>
  <si>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</si>
  <si>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</si>
  <si>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</si>
  <si>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</si>
  <si>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</si>
  <si>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</si>
  <si>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</si>
  <si>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</si>
  <si>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</si>
  <si>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</si>
  <si>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</si>
  <si>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</si>
  <si>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</si>
  <si>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</si>
  <si>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</si>
  <si>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</si>
  <si>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</si>
  <si>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</si>
  <si>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</si>
  <si>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</si>
  <si>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</si>
  <si>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</si>
  <si>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</si>
  <si>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</si>
  <si>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</si>
  <si>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</si>
  <si>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</si>
  <si>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</si>
  <si>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</si>
  <si>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</si>
  <si>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</si>
  <si>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</si>
  <si>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</si>
  <si>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</si>
  <si>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</si>
  <si>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</si>
  <si>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</si>
  <si>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</si>
  <si>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</si>
  <si>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</si>
  <si>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</si>
  <si>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</si>
  <si>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</si>
  <si>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</si>
  <si>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</si>
  <si>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</si>
  <si>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</si>
  <si>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</si>
  <si>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</si>
  <si>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</si>
  <si>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</si>
  <si>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</si>
  <si>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</si>
  <si>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</si>
  <si>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</si>
  <si>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</si>
  <si>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</si>
  <si>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</si>
  <si>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</si>
  <si>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</si>
  <si>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</si>
  <si>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</si>
  <si>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</si>
  <si>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</si>
  <si>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</si>
  <si>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</si>
  <si>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</si>
  <si>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</si>
  <si>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</si>
  <si>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</si>
  <si>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</si>
  <si>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</si>
  <si>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</si>
  <si>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</si>
  <si>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</si>
  <si>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</si>
  <si>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</si>
  <si>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</si>
  <si>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</si>
  <si>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</si>
  <si>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</si>
  <si>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</si>
  <si>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</si>
  <si>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</si>
  <si>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</si>
  <si>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</si>
  <si>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</si>
  <si>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</si>
  <si>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</si>
  <si>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</si>
  <si>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</si>
  <si>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</si>
  <si>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</si>
  <si>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</si>
  <si>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</si>
  <si>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</si>
  <si>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</si>
  <si>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</si>
  <si>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</si>
  <si>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</si>
  <si>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</si>
  <si>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</si>
  <si>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</si>
  <si>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</si>
  <si>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</si>
  <si>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</si>
  <si>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</si>
  <si>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</si>
  <si>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</si>
  <si>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</si>
  <si>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</si>
  <si>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</si>
  <si>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</si>
  <si>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</si>
  <si>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</si>
  <si>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</si>
  <si>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</si>
  <si>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</si>
  <si>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</si>
  <si>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</si>
  <si>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</si>
  <si>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</si>
  <si>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</si>
  <si>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</si>
  <si>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</si>
  <si>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</si>
  <si>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</si>
  <si>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</si>
  <si>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</si>
  <si>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</si>
  <si>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</si>
  <si>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</si>
  <si>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</si>
  <si>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</si>
  <si>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</si>
  <si>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</si>
  <si>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</si>
  <si>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</si>
  <si>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</si>
  <si>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</si>
  <si>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</si>
  <si>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</si>
  <si>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</si>
  <si>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</si>
  <si>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</si>
  <si>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</si>
  <si>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</si>
  <si>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</si>
  <si>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</si>
  <si>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</si>
  <si>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</si>
  <si>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</si>
  <si>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</si>
  <si>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</si>
  <si>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</si>
  <si>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</si>
  <si>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</si>
  <si>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</si>
  <si>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</si>
  <si>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</si>
  <si>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</si>
  <si>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</si>
  <si>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</si>
  <si>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</si>
  <si>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</si>
  <si>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</si>
  <si>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</si>
  <si>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</si>
  <si>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</si>
  <si>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</si>
  <si>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</si>
  <si>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</si>
  <si>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</si>
  <si>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</si>
  <si>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</si>
  <si>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</si>
  <si>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</si>
  <si>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</si>
  <si>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</si>
  <si>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</si>
  <si>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</si>
  <si>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</si>
  <si>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</si>
  <si>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</si>
  <si>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</si>
  <si>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</si>
  <si>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</si>
  <si>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</si>
  <si>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</si>
  <si>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</si>
  <si>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</si>
  <si>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</si>
  <si>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</si>
  <si>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</si>
  <si>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</si>
  <si>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</si>
  <si>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</si>
  <si>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</si>
  <si>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</si>
  <si>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</si>
  <si>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</si>
  <si>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</si>
  <si>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</si>
  <si>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</si>
  <si>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</si>
  <si>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</si>
  <si>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</si>
  <si>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</si>
  <si>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</si>
  <si>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</si>
  <si>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</si>
  <si>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</si>
  <si>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</si>
  <si>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</si>
  <si>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</si>
  <si>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</si>
  <si>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</si>
  <si>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</si>
  <si>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</si>
  <si>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</si>
  <si>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</si>
  <si>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</si>
  <si>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</si>
  <si>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</si>
  <si>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</si>
  <si>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</si>
  <si>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</si>
  <si>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</si>
  <si>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</si>
  <si>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</si>
  <si>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</si>
  <si>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</si>
  <si>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</si>
  <si>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</si>
  <si>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</si>
  <si>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</si>
  <si>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</si>
  <si>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</si>
  <si>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</si>
  <si>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</si>
  <si>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</si>
  <si>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</si>
  <si>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</si>
  <si>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</si>
  <si>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</si>
  <si>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</si>
  <si>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</si>
  <si>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</si>
  <si>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</si>
  <si>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</si>
  <si>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</si>
  <si>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</si>
  <si>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</si>
  <si>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</si>
  <si>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</si>
  <si>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</si>
  <si>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</si>
  <si>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</si>
  <si>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</si>
  <si>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</si>
  <si>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</si>
  <si>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</si>
  <si>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</si>
  <si>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</si>
  <si>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</si>
  <si>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</si>
  <si>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</si>
  <si>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</si>
  <si>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</si>
  <si>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</si>
  <si>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</si>
  <si>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</si>
  <si>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</si>
  <si>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</si>
  <si>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</si>
  <si>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</si>
  <si>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</si>
  <si>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</si>
  <si>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</si>
  <si>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</si>
  <si>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</si>
  <si>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</si>
  <si>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</si>
  <si>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</si>
  <si>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</si>
  <si>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</si>
  <si>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</si>
  <si>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</si>
  <si>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</si>
  <si>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</si>
  <si>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</si>
  <si>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</si>
  <si>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</si>
  <si>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</si>
  <si>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</si>
  <si>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</si>
  <si>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</si>
  <si>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</si>
  <si>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</si>
  <si>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</si>
  <si>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</si>
  <si>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</si>
  <si>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</si>
  <si>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</si>
  <si>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</si>
  <si>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</si>
  <si>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</si>
  <si>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</si>
  <si>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</si>
  <si>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</si>
  <si>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</si>
  <si>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</si>
  <si>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</si>
  <si>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</si>
  <si>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</si>
  <si>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</si>
  <si>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</si>
  <si>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</si>
  <si>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</si>
  <si>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</si>
  <si>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</si>
  <si>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</si>
  <si>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</si>
  <si>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</si>
  <si>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</si>
  <si>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</si>
  <si>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</si>
  <si>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</si>
  <si>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</si>
  <si>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</si>
  <si>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</si>
  <si>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</si>
  <si>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</si>
  <si>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</si>
  <si>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</si>
  <si>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</si>
  <si>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</si>
  <si>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</si>
  <si>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</si>
  <si>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</si>
  <si>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</si>
  <si>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</si>
  <si>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</si>
  <si>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</si>
  <si>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</si>
  <si>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</si>
  <si>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</si>
  <si>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</si>
  <si>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</si>
  <si>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</si>
  <si>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</si>
  <si>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</si>
  <si>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</si>
  <si>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</si>
  <si>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</si>
  <si>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</si>
  <si>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</si>
  <si>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</si>
  <si>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</si>
  <si>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</si>
  <si>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</si>
  <si>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</si>
  <si>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</si>
  <si>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</si>
  <si>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</si>
  <si>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</si>
  <si>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</si>
  <si>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</si>
  <si>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</si>
  <si>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</si>
  <si>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</si>
  <si>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</si>
  <si>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</si>
  <si>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</si>
  <si>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</si>
  <si>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</si>
  <si>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</si>
  <si>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</si>
  <si>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</si>
  <si>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</si>
  <si>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</si>
  <si>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</si>
  <si>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</si>
  <si>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</si>
  <si>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</si>
  <si>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</si>
  <si>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</si>
  <si>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</si>
  <si>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</si>
  <si>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</si>
  <si>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</si>
  <si>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</si>
  <si>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</si>
  <si>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</si>
  <si>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</si>
  <si>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</si>
  <si>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</si>
  <si>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</si>
  <si>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</si>
  <si>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</si>
  <si>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</si>
  <si>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</si>
  <si>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</si>
  <si>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</si>
  <si>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</si>
  <si>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</si>
  <si>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</si>
  <si>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</si>
  <si>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</si>
  <si>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</si>
  <si>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</si>
  <si>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</si>
  <si>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</si>
  <si>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</si>
  <si>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</si>
  <si>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</si>
  <si>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</si>
  <si>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</si>
  <si>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</si>
  <si>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</si>
  <si>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</si>
  <si>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</si>
  <si>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</si>
  <si>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</si>
  <si>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</si>
  <si>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</si>
  <si>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</si>
  <si>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</si>
  <si>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</si>
  <si>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</si>
  <si>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</si>
  <si>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</si>
  <si>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</si>
  <si>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</si>
  <si>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</si>
  <si>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</si>
  <si>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</si>
  <si>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</si>
  <si>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</si>
  <si>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</si>
  <si>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</si>
  <si>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</si>
  <si>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</si>
  <si>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</si>
  <si>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</si>
  <si>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</si>
  <si>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</si>
  <si>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</si>
  <si>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</si>
  <si>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</si>
  <si>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</si>
  <si>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</si>
  <si>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</si>
  <si>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</si>
  <si>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</si>
  <si>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</si>
  <si>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</si>
  <si>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</si>
  <si>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</si>
  <si>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</si>
  <si>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</si>
  <si>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</si>
  <si>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</si>
  <si>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</si>
  <si>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</si>
  <si>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</si>
  <si>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</si>
  <si>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</si>
  <si>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</si>
  <si>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</si>
  <si>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</si>
  <si>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</si>
  <si>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</si>
  <si>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</si>
  <si>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</si>
  <si>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</si>
  <si>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</si>
  <si>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</si>
  <si>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</si>
  <si>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</si>
  <si>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</si>
  <si>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</si>
  <si>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</si>
  <si>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</si>
  <si>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</si>
  <si>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</si>
  <si>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</si>
  <si>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</si>
  <si>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</si>
  <si>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</si>
  <si>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</si>
  <si>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</si>
  <si>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</si>
  <si>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</si>
  <si>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</si>
  <si>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</si>
  <si>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</si>
  <si>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</si>
  <si>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</si>
  <si>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</si>
  <si>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</si>
  <si>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</si>
  <si>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</si>
  <si>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</si>
  <si>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</si>
  <si>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</si>
  <si>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</si>
  <si>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</si>
  <si>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</si>
  <si>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</si>
  <si>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</si>
  <si>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</si>
  <si>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</si>
  <si>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</si>
  <si>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</si>
  <si>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</si>
  <si>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</si>
  <si>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</si>
  <si>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</si>
  <si>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</si>
  <si>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</si>
  <si>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</si>
  <si>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</si>
  <si>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</si>
  <si>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</si>
  <si>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</si>
  <si>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</si>
  <si>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</si>
  <si>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</si>
  <si>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</si>
  <si>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</si>
  <si>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</si>
  <si>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</si>
  <si>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</si>
  <si>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</si>
  <si>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</si>
  <si>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</si>
  <si>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</si>
  <si>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</si>
  <si>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</si>
  <si>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</si>
  <si>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</si>
  <si>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</si>
  <si>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</si>
  <si>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</si>
  <si>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</si>
  <si>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</si>
  <si>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</si>
  <si>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</si>
  <si>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</si>
  <si>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</si>
  <si>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</si>
  <si>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</si>
  <si>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</si>
  <si>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</si>
  <si>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</si>
  <si>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</si>
  <si>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</si>
  <si>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</si>
  <si>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</si>
  <si>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</si>
  <si>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</si>
  <si>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</si>
  <si>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</si>
  <si>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</si>
  <si>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</si>
  <si>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</si>
  <si>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</si>
  <si>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</si>
  <si>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</si>
  <si>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</si>
  <si>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</si>
  <si>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</si>
  <si>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</si>
  <si>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</si>
  <si>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</si>
  <si>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</si>
  <si>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</si>
  <si>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</si>
  <si>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</si>
  <si>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</si>
  <si>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</si>
  <si>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</si>
  <si>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</si>
  <si>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</si>
  <si>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</si>
  <si>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</si>
  <si>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</si>
  <si>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</si>
  <si>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</si>
  <si>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</si>
  <si>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</si>
  <si>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</si>
  <si>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</si>
  <si>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</si>
  <si>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</si>
  <si>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</si>
  <si>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</si>
  <si>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</si>
  <si>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</si>
  <si>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</si>
  <si>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</si>
  <si>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</si>
  <si>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</si>
  <si>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</si>
  <si>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</si>
  <si>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</si>
  <si>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</si>
  <si>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</si>
  <si>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</si>
  <si>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</si>
  <si>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</si>
  <si>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</si>
  <si>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</si>
  <si>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</si>
  <si>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</si>
  <si>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</si>
  <si>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</si>
  <si>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</si>
  <si>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</si>
  <si>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</si>
  <si>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</si>
  <si>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</si>
  <si>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</si>
  <si>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</si>
  <si>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</si>
  <si>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</si>
  <si>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</si>
  <si>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</si>
  <si>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</si>
  <si>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</si>
  <si>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</si>
  <si>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</si>
  <si>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</si>
  <si>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</si>
  <si>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</si>
  <si>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</si>
  <si>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</si>
  <si>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</si>
  <si>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</si>
  <si>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</si>
  <si>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</si>
  <si>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</si>
  <si>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</si>
  <si>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</si>
  <si>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</si>
  <si>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</si>
  <si>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</si>
  <si>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</si>
  <si>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</si>
  <si>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</si>
  <si>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</si>
  <si>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</si>
  <si>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</si>
  <si>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</si>
  <si>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</si>
  <si>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</si>
  <si>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</si>
  <si>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</si>
  <si>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</si>
  <si>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</si>
  <si>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</si>
  <si>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</si>
  <si>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</si>
  <si>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</si>
  <si>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</si>
  <si>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</si>
  <si>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</si>
  <si>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</si>
  <si>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</si>
  <si>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</si>
  <si>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</si>
  <si>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</si>
  <si>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</si>
  <si>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</si>
  <si>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</si>
  <si>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</si>
  <si>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</si>
  <si>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</si>
  <si>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</si>
  <si>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</si>
  <si>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</si>
  <si>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</si>
  <si>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</si>
  <si>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</si>
  <si>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</si>
  <si>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</si>
  <si>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</si>
  <si>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</si>
  <si>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</si>
  <si>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</si>
  <si>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</si>
  <si>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</si>
  <si>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</si>
  <si>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</si>
  <si>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</si>
  <si>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</si>
  <si>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</si>
  <si>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</si>
  <si>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</si>
  <si>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</si>
  <si>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</si>
  <si>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</si>
  <si>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</si>
  <si>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</si>
  <si>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</si>
  <si>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</si>
  <si>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</si>
  <si>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</si>
  <si>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</si>
  <si>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</si>
  <si>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</si>
  <si>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</si>
  <si>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</si>
  <si>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</si>
  <si>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</si>
  <si>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</si>
  <si>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</si>
  <si>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</si>
  <si>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</si>
  <si>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</si>
  <si>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</si>
  <si>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</si>
  <si>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</si>
  <si>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</si>
  <si>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</si>
  <si>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</si>
  <si>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</si>
  <si>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</si>
  <si>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</si>
  <si>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</si>
  <si>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</si>
  <si>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</si>
  <si>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</si>
  <si>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</si>
  <si>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</si>
  <si>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</si>
  <si>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</si>
  <si>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</si>
  <si>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</si>
  <si>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</si>
  <si>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</si>
  <si>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</si>
  <si>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</si>
  <si>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</si>
  <si>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</si>
  <si>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</si>
  <si>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</si>
  <si>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</si>
  <si>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</si>
  <si>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</si>
  <si>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</si>
  <si>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</si>
  <si>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</si>
  <si>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</si>
  <si>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</si>
  <si>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</si>
  <si>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</si>
  <si>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</si>
  <si>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</si>
  <si>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</si>
  <si>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</si>
  <si>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</si>
  <si>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</si>
  <si>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</si>
  <si>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</si>
  <si>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</si>
  <si>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</si>
  <si>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</si>
  <si>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</si>
  <si>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</si>
  <si>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</si>
  <si>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</si>
  <si>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</si>
  <si>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</si>
  <si>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</si>
  <si>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</si>
  <si>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</si>
  <si>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</si>
  <si>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</si>
  <si>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</si>
  <si>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</si>
  <si>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</si>
  <si>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</si>
  <si>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</si>
  <si>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</si>
  <si>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</si>
  <si>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</si>
  <si>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</si>
  <si>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</si>
  <si>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</si>
  <si>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</si>
  <si>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</si>
  <si>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</si>
  <si>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</si>
  <si>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</si>
  <si>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</si>
  <si>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</si>
  <si>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</si>
  <si>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</si>
  <si>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</si>
  <si>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</si>
  <si>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</si>
  <si>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</si>
  <si>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</si>
  <si>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</si>
  <si>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</si>
  <si>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</si>
  <si>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</si>
  <si>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</si>
  <si>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</si>
  <si>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</si>
  <si>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</si>
  <si>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</si>
  <si>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</si>
  <si>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</si>
  <si>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</si>
  <si>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</si>
  <si>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</si>
  <si>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</si>
  <si>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</si>
  <si>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</si>
  <si>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</si>
  <si>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</si>
  <si>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</si>
  <si>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</si>
  <si>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</si>
  <si>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</si>
  <si>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</si>
  <si>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</si>
  <si>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</si>
  <si>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</si>
  <si>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</si>
  <si>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</si>
  <si>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</si>
  <si>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</si>
  <si>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</si>
  <si>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</si>
  <si>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</si>
  <si>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</si>
  <si>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</si>
  <si>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</si>
  <si>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</si>
  <si>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</si>
  <si>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</si>
  <si>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</si>
  <si>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</si>
  <si>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</si>
  <si>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</si>
  <si>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</si>
  <si>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</si>
  <si>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</si>
  <si>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</si>
  <si>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</si>
  <si>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</si>
  <si>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</si>
  <si>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</si>
  <si>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</si>
  <si>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</si>
  <si>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</si>
  <si>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</si>
  <si>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</si>
  <si>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</si>
  <si>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</si>
  <si>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</si>
  <si>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</si>
  <si>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</si>
  <si>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</si>
  <si>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</si>
  <si>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</si>
  <si>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</si>
  <si>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</si>
  <si>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</si>
  <si>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</si>
  <si>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</si>
  <si>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</si>
  <si>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</si>
  <si>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</si>
  <si>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</si>
  <si>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</si>
  <si>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</si>
  <si>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</si>
  <si>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</si>
  <si>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</si>
  <si>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</si>
  <si>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</si>
  <si>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</si>
  <si>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</si>
  <si>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</si>
  <si>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</si>
  <si>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</si>
  <si>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</si>
  <si>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</si>
  <si>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</si>
  <si>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</si>
  <si>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</si>
  <si>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</si>
  <si>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</si>
  <si>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</si>
  <si>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</si>
  <si>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</si>
  <si>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</si>
  <si>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</si>
  <si>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</si>
  <si>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</si>
  <si>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</si>
  <si>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</si>
  <si>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</si>
  <si>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</si>
  <si>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</si>
  <si>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</si>
  <si>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</si>
  <si>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</si>
  <si>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</si>
  <si>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</si>
  <si>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</si>
  <si>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</si>
  <si>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</si>
  <si>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</si>
  <si>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</si>
  <si>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</si>
  <si>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</si>
  <si>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</si>
  <si>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</si>
  <si>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</si>
  <si>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</si>
  <si>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</si>
  <si>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</si>
  <si>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</si>
  <si>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</si>
  <si>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</si>
  <si>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</si>
  <si>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</si>
  <si>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</si>
  <si>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</si>
  <si>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</si>
  <si>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</si>
  <si>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</si>
  <si>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</si>
  <si>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</si>
  <si>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</si>
  <si>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</si>
  <si>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</si>
  <si>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</si>
  <si>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</si>
  <si>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</si>
  <si>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</si>
  <si>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</si>
  <si>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</si>
  <si>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</si>
  <si>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</si>
  <si>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</si>
  <si>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</si>
  <si>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</si>
  <si>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</si>
  <si>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</si>
  <si>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</si>
  <si>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</si>
  <si>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</si>
  <si>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</si>
  <si>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</si>
  <si>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</si>
  <si>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</si>
  <si>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</si>
  <si>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</si>
  <si>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</si>
  <si>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</si>
  <si>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</si>
  <si>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</si>
  <si>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</si>
  <si>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</si>
  <si>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</si>
  <si>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</si>
  <si>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</si>
  <si>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</si>
  <si>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</si>
  <si>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</si>
  <si>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</si>
  <si>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</si>
  <si>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</si>
  <si>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</si>
  <si>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</si>
  <si>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</si>
  <si>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</si>
  <si>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</si>
  <si>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</si>
  <si>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</si>
  <si>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</si>
  <si>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</si>
  <si>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</si>
  <si>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</si>
  <si>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</si>
  <si>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</si>
  <si>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</si>
  <si>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</si>
  <si>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</si>
  <si>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</si>
  <si>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</si>
  <si>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</si>
  <si>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</si>
  <si>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</si>
  <si>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</si>
  <si>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</si>
  <si>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</si>
  <si>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</si>
  <si>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</si>
  <si>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</si>
  <si>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</si>
  <si>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</si>
  <si>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</si>
  <si>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</si>
  <si>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</si>
  <si>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</si>
  <si>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</si>
  <si>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</si>
  <si>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</si>
  <si>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</si>
  <si>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</si>
  <si>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</si>
  <si>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</si>
  <si>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</si>
  <si>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</si>
  <si>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</si>
  <si>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</si>
  <si>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</si>
  <si>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</si>
  <si>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</si>
  <si>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</si>
  <si>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</si>
  <si>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</si>
  <si>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</si>
  <si>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</si>
  <si>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</si>
  <si>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</si>
  <si>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</si>
  <si>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</si>
  <si>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</si>
  <si>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</si>
  <si>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</si>
  <si>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</si>
  <si>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</si>
  <si>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</si>
  <si>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</si>
  <si>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</si>
  <si>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</si>
  <si>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</si>
  <si>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</si>
  <si>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</si>
  <si>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</si>
  <si>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</si>
  <si>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</si>
  <si>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</si>
  <si>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</si>
  <si>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</si>
  <si>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</si>
  <si>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</si>
  <si>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</si>
  <si>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</si>
  <si>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</si>
  <si>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</si>
  <si>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</si>
  <si>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</si>
  <si>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</si>
  <si>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</si>
  <si>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</si>
  <si>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</si>
  <si>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</si>
  <si>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</si>
  <si>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</si>
  <si>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</si>
  <si>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</si>
  <si>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</si>
  <si>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</si>
  <si>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</si>
  <si>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</si>
  <si>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</si>
  <si>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</si>
  <si>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</si>
  <si>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</si>
  <si>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</si>
  <si>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</si>
  <si>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</si>
  <si>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</si>
  <si>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</si>
  <si>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</si>
  <si>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</si>
  <si>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</si>
  <si>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</si>
  <si>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</si>
  <si>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</si>
  <si>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</si>
  <si>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</si>
  <si>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</si>
  <si>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</si>
  <si>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</si>
  <si>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</si>
  <si>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</si>
  <si>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</si>
  <si>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</si>
  <si>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</si>
  <si>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</si>
  <si>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</si>
  <si>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</si>
  <si>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</si>
  <si>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</si>
  <si>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</si>
  <si>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</si>
  <si>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</si>
  <si>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</si>
  <si>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</si>
  <si>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</si>
  <si>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</si>
  <si>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</si>
  <si>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</si>
  <si>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</si>
  <si>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</si>
  <si>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</si>
  <si>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</si>
  <si>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</si>
  <si>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</si>
  <si>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</si>
  <si>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</si>
  <si>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</si>
  <si>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</si>
  <si>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</si>
  <si>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</si>
  <si>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</si>
  <si>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</si>
  <si>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</si>
  <si>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</si>
  <si>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</si>
  <si>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</si>
  <si>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</si>
  <si>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</si>
  <si>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</si>
  <si>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</si>
  <si>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</si>
  <si>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</si>
  <si>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</si>
  <si>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</si>
  <si>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</si>
  <si>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</si>
  <si>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</si>
  <si>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</si>
  <si>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</si>
  <si>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</si>
  <si>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</si>
  <si>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</si>
  <si>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</si>
  <si>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</si>
  <si>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</si>
  <si>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</si>
  <si>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</si>
  <si>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</si>
  <si>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</si>
  <si>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</si>
  <si>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</si>
  <si>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</si>
  <si>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</si>
  <si>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</si>
  <si>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</si>
  <si>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</si>
  <si>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</si>
  <si>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</si>
  <si>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</si>
  <si>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</si>
  <si>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</si>
  <si>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</si>
  <si>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</si>
  <si>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</si>
  <si>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</si>
  <si>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</si>
  <si>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</si>
  <si>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</si>
  <si>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</si>
  <si>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</si>
  <si>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</si>
  <si>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</si>
  <si>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</si>
  <si>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</si>
  <si>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</si>
  <si>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</si>
  <si>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</si>
  <si>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</si>
  <si>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</si>
  <si>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</si>
  <si>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</si>
  <si>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</si>
  <si>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</si>
  <si>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</si>
  <si>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</si>
  <si>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</si>
  <si>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</si>
  <si>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</si>
  <si>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</si>
  <si>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</si>
  <si>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</si>
  <si>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</si>
  <si>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</si>
  <si>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</si>
  <si>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</si>
  <si>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</si>
  <si>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</si>
  <si>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</si>
  <si>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</si>
  <si>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</si>
  <si>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</si>
  <si>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</si>
  <si>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</si>
  <si>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</si>
  <si>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</si>
  <si>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</si>
  <si>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</si>
  <si>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</si>
  <si>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</si>
  <si>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</si>
  <si>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</si>
  <si>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</si>
  <si>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</si>
  <si>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</si>
  <si>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</si>
  <si>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</si>
  <si>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</si>
  <si>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</si>
  <si>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</si>
  <si>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</si>
  <si>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</si>
  <si>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</si>
  <si>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</si>
  <si>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</si>
  <si>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</si>
  <si>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</si>
  <si>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</si>
  <si>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</si>
  <si>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</si>
  <si>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</si>
  <si>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</si>
  <si>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</si>
  <si>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</si>
  <si>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</si>
  <si>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</si>
  <si>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</si>
  <si>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</si>
  <si>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</si>
  <si>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</si>
  <si>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</si>
  <si>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</si>
  <si>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</si>
  <si>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</si>
  <si>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</si>
  <si>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</si>
  <si>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</si>
  <si>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</si>
  <si>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</si>
  <si>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</si>
  <si>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</si>
  <si>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</si>
  <si>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</si>
  <si>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</si>
  <si>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</si>
  <si>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</si>
  <si>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</si>
  <si>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</si>
  <si>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</si>
  <si>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</si>
  <si>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</si>
  <si>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</si>
  <si>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</si>
  <si>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</si>
  <si>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</si>
  <si>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</si>
  <si>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</si>
  <si>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</si>
  <si>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</si>
  <si>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</si>
  <si>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</si>
  <si>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</si>
  <si>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</si>
  <si>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</si>
  <si>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</si>
  <si>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</si>
  <si>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</si>
  <si>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</si>
  <si>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</si>
  <si>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</si>
  <si>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</si>
  <si>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</si>
  <si>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</si>
  <si>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</si>
  <si>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</si>
  <si>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</si>
  <si>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</si>
  <si>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</si>
  <si>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</si>
  <si>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</si>
  <si>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</si>
  <si>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</si>
  <si>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</si>
  <si>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</si>
  <si>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</si>
  <si>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</si>
  <si>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</si>
  <si>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</si>
  <si>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</si>
  <si>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</si>
  <si>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</si>
  <si>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</si>
  <si>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</si>
  <si>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</si>
  <si>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</si>
  <si>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</si>
  <si>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</si>
  <si>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</si>
  <si>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</si>
  <si>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</si>
  <si>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</si>
  <si>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</si>
  <si>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</si>
  <si>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</si>
  <si>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</si>
  <si>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</si>
  <si>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</si>
  <si>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</si>
  <si>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</si>
  <si>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</si>
  <si>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</si>
  <si>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</si>
  <si>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</si>
  <si>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</si>
  <si>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</si>
  <si>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</si>
  <si>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</si>
  <si>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</si>
  <si>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</si>
  <si>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</si>
  <si>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</si>
  <si>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</si>
  <si>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</si>
  <si>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</si>
  <si>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</si>
  <si>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</si>
  <si>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</si>
  <si>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</si>
  <si>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</si>
  <si>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</si>
  <si>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</si>
  <si>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</si>
  <si>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</si>
  <si>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</si>
  <si>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</si>
  <si>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</si>
  <si>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</si>
  <si>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</si>
  <si>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</si>
  <si>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</si>
  <si>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</si>
  <si>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</si>
  <si>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</si>
  <si>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</si>
  <si>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</si>
  <si>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</si>
  <si>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</si>
  <si>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</si>
  <si>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</si>
  <si>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</si>
  <si>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</si>
  <si>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</si>
  <si>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</si>
  <si>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</si>
  <si>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</si>
  <si>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</si>
  <si>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</si>
  <si>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</si>
  <si>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</si>
  <si>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</si>
  <si>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</si>
  <si>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</si>
  <si>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</si>
  <si>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</si>
  <si>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</si>
  <si>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</si>
  <si>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</si>
  <si>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</si>
  <si>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</si>
  <si>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</si>
  <si>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</si>
  <si>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</si>
  <si>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</si>
  <si>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</si>
  <si>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</si>
  <si>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</si>
  <si>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</si>
  <si>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</si>
  <si>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</si>
  <si>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</si>
  <si>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</si>
  <si>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</si>
  <si>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</si>
  <si>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</si>
  <si>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</si>
  <si>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</si>
  <si>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</si>
  <si>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</si>
  <si>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</si>
  <si>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</si>
  <si>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</si>
  <si>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</si>
  <si>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</si>
  <si>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</si>
  <si>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</si>
  <si>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</si>
  <si>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</si>
  <si>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</si>
  <si>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</si>
  <si>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</si>
  <si>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</si>
  <si>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</si>
  <si>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</si>
  <si>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</si>
  <si>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</si>
  <si>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</si>
  <si>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</si>
  <si>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</si>
  <si>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</si>
  <si>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</si>
  <si>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</si>
  <si>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</si>
  <si>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</si>
  <si>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</si>
  <si>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</si>
  <si>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</si>
  <si>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</si>
  <si>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</si>
  <si>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</si>
  <si>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</si>
  <si>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</si>
  <si>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</si>
  <si>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</si>
  <si>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</si>
  <si>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</si>
  <si>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</si>
  <si>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</si>
  <si>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</si>
  <si>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</si>
  <si>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</si>
  <si>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</si>
  <si>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</si>
  <si>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</si>
  <si>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</si>
  <si>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</si>
  <si>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</si>
  <si>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</si>
  <si>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</si>
  <si>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</si>
  <si>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</si>
  <si>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</si>
  <si>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</si>
  <si>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</si>
  <si>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</si>
  <si>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</si>
  <si>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</si>
  <si>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</si>
  <si>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</si>
  <si>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</si>
  <si>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</si>
  <si>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</si>
  <si>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</si>
  <si>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</si>
  <si>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</si>
  <si>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</si>
  <si>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</si>
  <si>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</si>
  <si>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</si>
  <si>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</si>
  <si>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</si>
  <si>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</si>
  <si>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</si>
  <si>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</si>
  <si>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</si>
  <si>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</si>
  <si>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</si>
  <si>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</si>
  <si>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</si>
  <si>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</si>
  <si>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</si>
  <si>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</si>
  <si>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</si>
  <si>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</si>
  <si>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</si>
  <si>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</si>
  <si>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</si>
  <si>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</si>
  <si>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</si>
  <si>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</si>
  <si>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</si>
  <si>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</si>
  <si>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</si>
  <si>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</si>
  <si>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</si>
  <si>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</si>
  <si>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</si>
  <si>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</si>
  <si>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</si>
  <si>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</si>
  <si>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</si>
  <si>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</si>
  <si>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</si>
  <si>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</si>
  <si>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</si>
  <si>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</si>
  <si>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</si>
  <si>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</si>
  <si>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</si>
  <si>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</si>
  <si>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</si>
  <si>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</si>
  <si>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</si>
  <si>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</si>
  <si>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</si>
  <si>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</si>
  <si>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</si>
  <si>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</si>
  <si>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</si>
  <si>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</si>
  <si>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</si>
  <si>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</si>
  <si>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</si>
  <si>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</si>
  <si>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</si>
  <si>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</si>
  <si>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</si>
  <si>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</si>
  <si>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</si>
  <si>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</si>
  <si>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</si>
  <si>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</si>
  <si>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</si>
  <si>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</si>
  <si>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</si>
  <si>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</si>
  <si>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</si>
  <si>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</si>
  <si>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</si>
  <si>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</si>
  <si>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</si>
  <si>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</si>
  <si>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</si>
  <si>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</si>
  <si>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</si>
  <si>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</si>
  <si>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</si>
  <si>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</si>
  <si>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</si>
  <si>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</si>
  <si>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</si>
  <si>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</si>
  <si>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</si>
  <si>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</si>
  <si>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</si>
  <si>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</si>
  <si>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</si>
  <si>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</si>
  <si>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</si>
  <si>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</si>
  <si>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</si>
  <si>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</si>
  <si>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</si>
  <si>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</si>
  <si>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</si>
  <si>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</si>
  <si>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</si>
  <si>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</si>
  <si>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</si>
  <si>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</si>
  <si>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</si>
  <si>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</si>
  <si>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</si>
  <si>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</si>
  <si>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</si>
  <si>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</si>
  <si>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</si>
  <si>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</si>
  <si>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</si>
  <si>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</si>
  <si>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</si>
  <si>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</si>
  <si>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</si>
  <si>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</si>
  <si>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</si>
  <si>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</si>
  <si>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</si>
  <si>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</si>
  <si>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</si>
  <si>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</si>
  <si>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</si>
  <si>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</si>
  <si>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</si>
  <si>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</si>
  <si>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</si>
  <si>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</si>
  <si>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</si>
  <si>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</si>
  <si>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</si>
  <si>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</si>
  <si>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</si>
  <si>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</si>
  <si>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</si>
  <si>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</si>
  <si>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</si>
  <si>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</si>
  <si>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</si>
  <si>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</si>
  <si>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</si>
  <si>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</si>
  <si>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</si>
  <si>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</si>
  <si>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</si>
  <si>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</si>
  <si>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</si>
  <si>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</si>
  <si>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</si>
  <si>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</si>
  <si>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</si>
  <si>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</si>
  <si>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</si>
  <si>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</si>
  <si>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</si>
  <si>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</si>
  <si>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</si>
  <si>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</si>
  <si>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</si>
  <si>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</si>
  <si>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</si>
  <si>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</si>
  <si>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</si>
  <si>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</si>
  <si>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</si>
  <si>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</si>
  <si>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</si>
  <si>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</si>
  <si>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</si>
  <si>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</si>
  <si>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</si>
  <si>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</si>
  <si>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</si>
  <si>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</si>
  <si>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</si>
  <si>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</si>
  <si>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</si>
  <si>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</si>
  <si>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</si>
  <si>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</si>
  <si>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</si>
  <si>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</si>
  <si>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</si>
  <si>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</si>
  <si>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</si>
  <si>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</si>
  <si>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</si>
  <si>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</si>
  <si>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</si>
  <si>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</si>
  <si>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</si>
  <si>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</si>
  <si>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</si>
  <si>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</si>
  <si>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</si>
  <si>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</si>
  <si>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</si>
  <si>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</si>
  <si>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</si>
  <si>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</si>
  <si>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</si>
  <si>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</si>
  <si>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</si>
  <si>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</si>
  <si>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</si>
  <si>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</si>
  <si>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</si>
  <si>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</si>
  <si>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</si>
  <si>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</si>
  <si>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</si>
  <si>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</si>
  <si>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</si>
  <si>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</si>
  <si>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</si>
  <si>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</si>
  <si>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</si>
  <si>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</si>
  <si>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</si>
  <si>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</si>
  <si>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</si>
  <si>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</si>
  <si>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</si>
  <si>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</si>
  <si>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</si>
  <si>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</si>
  <si>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</si>
  <si>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</si>
  <si>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</si>
  <si>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</si>
  <si>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</si>
  <si>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</si>
  <si>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</si>
  <si>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</si>
  <si>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</si>
  <si>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</si>
  <si>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</si>
  <si>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</si>
  <si>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</si>
  <si>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</si>
  <si>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</si>
  <si>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</si>
  <si>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</si>
  <si>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</si>
  <si>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</si>
  <si>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</si>
  <si>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</si>
  <si>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</si>
  <si>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</si>
  <si>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</si>
  <si>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</si>
  <si>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</si>
  <si>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</si>
  <si>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</si>
  <si>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</si>
  <si>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</si>
  <si>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</si>
  <si>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</si>
  <si>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</si>
  <si>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</si>
  <si>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</si>
  <si>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</si>
  <si>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</si>
  <si>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</si>
  <si>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</si>
  <si>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</si>
  <si>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</si>
  <si>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</si>
  <si>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</si>
  <si>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</si>
  <si>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</si>
  <si>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</si>
  <si>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</si>
  <si>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</si>
  <si>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</si>
  <si>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</si>
  <si>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</si>
  <si>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</si>
  <si>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</si>
  <si>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</si>
  <si>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</si>
  <si>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</si>
  <si>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</si>
  <si>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</si>
  <si>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</si>
  <si>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</si>
  <si>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</si>
  <si>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</si>
  <si>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</si>
  <si>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</si>
  <si>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</si>
  <si>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</si>
  <si>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</si>
  <si>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</si>
  <si>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</si>
  <si>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</si>
  <si>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</si>
  <si>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</si>
  <si>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</si>
  <si>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</si>
  <si>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</si>
  <si>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</si>
  <si>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</si>
  <si>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</si>
  <si>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</si>
  <si>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</si>
  <si>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</si>
  <si>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</si>
  <si>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</si>
  <si>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</si>
  <si>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</si>
  <si>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</si>
  <si>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</si>
  <si>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</si>
  <si>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</si>
  <si>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</si>
  <si>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</si>
  <si>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</si>
  <si>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</si>
  <si>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</si>
  <si>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</si>
  <si>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</si>
  <si>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</si>
  <si>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</si>
  <si>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</si>
  <si>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</si>
  <si>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</si>
  <si>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</si>
  <si>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</si>
  <si>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</si>
  <si>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</si>
  <si>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</si>
  <si>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</si>
  <si>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</si>
  <si>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</si>
  <si>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</si>
  <si>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</si>
  <si>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</si>
  <si>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</si>
  <si>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</si>
  <si>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</si>
  <si>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</si>
  <si>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</si>
  <si>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</si>
  <si>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</si>
  <si>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</si>
  <si>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</si>
  <si>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</si>
  <si>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</si>
  <si>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</si>
  <si>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</si>
  <si>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</si>
  <si>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</si>
  <si>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</si>
  <si>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</si>
  <si>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</si>
  <si>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</si>
  <si>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</si>
  <si>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</si>
  <si>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</si>
  <si>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</si>
  <si>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</si>
  <si>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</si>
  <si>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</si>
  <si>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</si>
  <si>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</si>
  <si>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</si>
  <si>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</si>
  <si>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</si>
  <si>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</si>
  <si>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</si>
  <si>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</si>
  <si>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</si>
  <si>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</si>
  <si>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</si>
  <si>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</si>
  <si>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</si>
  <si>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</si>
  <si>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</si>
  <si>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</si>
  <si>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</si>
  <si>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</si>
  <si>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</si>
  <si>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</si>
  <si>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</si>
  <si>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</si>
  <si>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</si>
  <si>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</si>
  <si>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</si>
  <si>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</si>
  <si>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</si>
  <si>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</si>
  <si>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</si>
  <si>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</si>
  <si>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</si>
  <si>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</si>
  <si>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</si>
  <si>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</si>
  <si>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</si>
  <si>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</si>
  <si>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</si>
  <si>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</si>
  <si>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</si>
  <si>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</si>
  <si>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</si>
  <si>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</si>
  <si>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</si>
  <si>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</si>
  <si>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</si>
  <si>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</si>
  <si>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</si>
  <si>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</si>
  <si>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</si>
  <si>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</si>
  <si>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</si>
  <si>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</si>
  <si>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</si>
  <si>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</si>
  <si>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</si>
  <si>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</si>
  <si>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</si>
  <si>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</si>
  <si>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</si>
  <si>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</si>
  <si>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</si>
  <si>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</si>
  <si>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</si>
  <si>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</si>
  <si>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</si>
  <si>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</si>
  <si>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</si>
  <si>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</si>
  <si>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</si>
  <si>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</si>
  <si>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</si>
  <si>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</si>
  <si>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</si>
  <si>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</si>
  <si>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</si>
  <si>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</si>
  <si>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</si>
  <si>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</si>
  <si>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</si>
  <si>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</si>
  <si>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</si>
  <si>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</si>
  <si>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</si>
  <si>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</si>
  <si>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</si>
  <si>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</si>
  <si>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</si>
  <si>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</si>
  <si>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</si>
  <si>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</si>
  <si>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</si>
  <si>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</si>
  <si>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</si>
  <si>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</si>
  <si>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</si>
  <si>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</si>
  <si>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</si>
  <si>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</si>
  <si>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</si>
  <si>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</si>
  <si>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</si>
  <si>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</si>
  <si>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</si>
  <si>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</si>
  <si>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</si>
  <si>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</si>
  <si>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</si>
  <si>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</si>
  <si>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</si>
  <si>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</si>
  <si>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</si>
  <si>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</si>
  <si>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</si>
  <si>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</si>
  <si>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</si>
  <si>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</si>
  <si>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</si>
  <si>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</si>
  <si>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</si>
  <si>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</si>
  <si>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</si>
  <si>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</si>
  <si>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</si>
  <si>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</si>
  <si>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</si>
  <si>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</si>
  <si>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</si>
  <si>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</si>
  <si>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</si>
  <si>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</si>
  <si>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</si>
  <si>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</si>
  <si>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</si>
  <si>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</si>
  <si>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</si>
  <si>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</si>
  <si>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</si>
  <si>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</si>
  <si>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</si>
  <si>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</si>
  <si>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</si>
  <si>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</si>
  <si>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</si>
  <si>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</si>
  <si>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</si>
  <si>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</si>
  <si>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</si>
  <si>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</si>
  <si>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</si>
  <si>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</si>
  <si>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</si>
  <si>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</si>
  <si>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</si>
  <si>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</si>
  <si>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</si>
  <si>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</si>
  <si>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</si>
  <si>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</si>
  <si>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</si>
  <si>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</si>
  <si>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</si>
  <si>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</si>
  <si>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</si>
  <si>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</si>
  <si>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</si>
  <si>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</si>
  <si>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</si>
  <si>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</si>
  <si>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</si>
  <si>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</si>
  <si>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</si>
  <si>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</si>
  <si>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</si>
  <si>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</si>
  <si>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</si>
  <si>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</si>
  <si>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</si>
  <si>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</si>
  <si>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</si>
  <si>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</si>
  <si>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</si>
  <si>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</si>
  <si>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</si>
  <si>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</si>
  <si>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</si>
  <si>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</si>
  <si>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</si>
  <si>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</si>
  <si>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</si>
  <si>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</si>
  <si>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</si>
  <si>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</si>
  <si>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</si>
  <si>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</si>
  <si>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</si>
  <si>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</si>
  <si>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</si>
  <si>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</si>
  <si>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</si>
  <si>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</si>
  <si>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</si>
  <si>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</si>
  <si>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</si>
  <si>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</si>
  <si>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</si>
  <si>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</si>
  <si>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</si>
  <si>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</si>
  <si>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</si>
  <si>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</si>
  <si>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</si>
  <si>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</si>
  <si>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</si>
  <si>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</si>
  <si>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</si>
  <si>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</si>
  <si>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</si>
  <si>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</si>
  <si>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</si>
  <si>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</si>
  <si>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</si>
  <si>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</si>
  <si>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</si>
  <si>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</si>
  <si>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</si>
  <si>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</si>
  <si>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</si>
  <si>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</si>
  <si>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</si>
  <si>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</si>
  <si>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</si>
  <si>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</si>
  <si>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</si>
  <si>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</si>
  <si>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</si>
  <si>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</si>
  <si>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</si>
  <si>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</si>
  <si>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</si>
  <si>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</si>
  <si>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</si>
  <si>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</si>
  <si>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</si>
  <si>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</si>
  <si>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</si>
  <si>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</si>
  <si>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</si>
  <si>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</si>
  <si>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</si>
  <si>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</si>
  <si>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</si>
  <si>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</si>
  <si>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</si>
  <si>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</si>
  <si>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</si>
  <si>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</si>
  <si>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</si>
  <si>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</si>
  <si>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</si>
  <si>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</si>
  <si>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</si>
  <si>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</si>
  <si>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</si>
  <si>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</si>
  <si>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</si>
  <si>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</si>
  <si>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</si>
  <si>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</si>
  <si>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</si>
  <si>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</si>
  <si>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</si>
  <si>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</si>
  <si>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</si>
  <si>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</si>
  <si>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</si>
  <si>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</si>
  <si>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</si>
  <si>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</si>
  <si>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</si>
  <si>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</si>
  <si>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</si>
  <si>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</si>
  <si>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</si>
  <si>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</si>
  <si>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</si>
  <si>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</si>
  <si>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</si>
  <si>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</si>
  <si>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</si>
  <si>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</si>
  <si>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</si>
  <si>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</si>
  <si>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</si>
  <si>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</si>
  <si>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</si>
  <si>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</si>
  <si>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</si>
  <si>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</si>
  <si>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</si>
  <si>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</si>
  <si>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</si>
  <si>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</si>
  <si>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</si>
  <si>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</si>
  <si>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</si>
  <si>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</si>
  <si>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</si>
  <si>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</si>
  <si>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</si>
  <si>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</si>
  <si>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</si>
  <si>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</si>
  <si>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</si>
  <si>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</si>
  <si>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</si>
  <si>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</si>
  <si>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</si>
  <si>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</si>
  <si>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</si>
  <si>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</si>
  <si>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</si>
  <si>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</si>
  <si>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</si>
  <si>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</si>
  <si>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</si>
  <si>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</si>
  <si>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</si>
  <si>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</si>
  <si>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</si>
  <si>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</si>
  <si>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</si>
  <si>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</si>
  <si>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</si>
  <si>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</si>
  <si>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</si>
  <si>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</si>
  <si>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</si>
  <si>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</si>
  <si>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</si>
  <si>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</si>
  <si>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</si>
  <si>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</si>
  <si>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</si>
  <si>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</si>
  <si>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</si>
  <si>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</si>
  <si>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</si>
  <si>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</si>
  <si>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</si>
  <si>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</si>
  <si>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</si>
  <si>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</si>
  <si>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</si>
  <si>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</si>
  <si>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</si>
  <si>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</si>
  <si>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</si>
  <si>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</si>
  <si>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</si>
  <si>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</si>
  <si>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</si>
  <si>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</si>
  <si>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</si>
  <si>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</si>
  <si>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</si>
  <si>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</si>
  <si>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</si>
  <si>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</si>
  <si>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</si>
  <si>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</si>
  <si>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</si>
  <si>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</si>
  <si>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</si>
  <si>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</si>
  <si>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</si>
  <si>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</si>
  <si>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</si>
  <si>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</si>
  <si>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</si>
  <si>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</si>
  <si>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</si>
  <si>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</si>
  <si>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</si>
  <si>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</si>
  <si>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</si>
  <si>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</si>
  <si>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</si>
  <si>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</si>
  <si>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</si>
  <si>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</si>
  <si>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</si>
  <si>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</si>
  <si>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</si>
  <si>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</si>
  <si>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</si>
  <si>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</si>
  <si>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</si>
  <si>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</si>
  <si>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</si>
  <si>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</si>
  <si>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</si>
  <si>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</si>
  <si>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</si>
  <si>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</si>
  <si>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</si>
  <si>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</si>
  <si>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</si>
  <si>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</si>
  <si>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</si>
  <si>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</si>
  <si>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</si>
  <si>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</si>
  <si>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</si>
  <si>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</si>
  <si>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</si>
  <si>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</si>
  <si>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</si>
  <si>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</si>
  <si>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</si>
  <si>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</si>
  <si>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</si>
  <si>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</si>
  <si>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</si>
  <si>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</si>
  <si>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</si>
  <si>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</si>
  <si>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</si>
  <si>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</si>
  <si>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</si>
  <si>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</si>
  <si>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</si>
  <si>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</si>
  <si>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</si>
  <si>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</si>
  <si>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</si>
  <si>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</si>
  <si>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</si>
  <si>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</si>
  <si>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</si>
  <si>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</si>
  <si>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</si>
  <si>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</si>
  <si>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</si>
  <si>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</si>
  <si>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</si>
  <si>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</si>
  <si>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</si>
  <si>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</si>
  <si>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</si>
  <si>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</si>
  <si>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</si>
  <si>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</si>
  <si>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</si>
  <si>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</si>
  <si>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</si>
  <si>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</si>
  <si>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</si>
  <si>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</si>
  <si>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</si>
  <si>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</si>
  <si>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</si>
  <si>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</si>
  <si>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</si>
  <si>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</si>
  <si>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</si>
  <si>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</si>
  <si>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</si>
  <si>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</si>
  <si>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</si>
  <si>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</si>
  <si>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</si>
  <si>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</si>
  <si>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</si>
  <si>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</si>
  <si>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</si>
  <si>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</si>
  <si>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</si>
  <si>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</si>
  <si>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</si>
  <si>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</si>
  <si>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</si>
  <si>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</si>
  <si>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</si>
  <si>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</si>
  <si>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</si>
  <si>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</si>
  <si>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</si>
  <si>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</si>
  <si>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</si>
  <si>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</si>
  <si>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</si>
  <si>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</si>
  <si>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</si>
  <si>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</si>
  <si>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</si>
  <si>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</si>
  <si>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</si>
  <si>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</si>
  <si>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</si>
  <si>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</si>
  <si>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</si>
  <si>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</si>
  <si>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</si>
  <si>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</si>
  <si>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</si>
  <si>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</si>
  <si>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</si>
  <si>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</si>
  <si>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</si>
  <si>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</si>
  <si>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</si>
  <si>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</si>
  <si>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</si>
  <si>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</si>
  <si>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</si>
  <si>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</si>
  <si>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</si>
  <si>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</si>
  <si>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</si>
  <si>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</si>
  <si>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</si>
  <si>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</si>
  <si>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</si>
  <si>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</si>
  <si>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</si>
  <si>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</si>
  <si>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</si>
  <si>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</si>
  <si>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</si>
  <si>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</si>
  <si>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</si>
  <si>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</si>
  <si>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</si>
  <si>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</si>
  <si>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</si>
  <si>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</si>
  <si>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</si>
  <si>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</si>
  <si>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</si>
  <si>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</si>
  <si>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</si>
  <si>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</si>
  <si>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</si>
  <si>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</si>
  <si>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</si>
  <si>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</si>
  <si>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</si>
  <si>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</si>
  <si>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</si>
  <si>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</si>
  <si>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</si>
  <si>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</si>
  <si>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</si>
  <si>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</si>
  <si>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</si>
  <si>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</si>
  <si>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</si>
  <si>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</si>
  <si>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</si>
  <si>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</si>
  <si>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</si>
  <si>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</si>
  <si>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</si>
  <si>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</si>
  <si>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</si>
  <si>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</si>
  <si>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</si>
  <si>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</si>
  <si>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</si>
  <si>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</si>
  <si>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</si>
  <si>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</si>
  <si>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</si>
  <si>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</si>
  <si>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</si>
  <si>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</si>
  <si>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</si>
  <si>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</si>
  <si>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</si>
  <si>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</si>
  <si>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</si>
  <si>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</si>
  <si>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</si>
  <si>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</si>
  <si>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</si>
  <si>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</si>
  <si>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</si>
  <si>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</si>
  <si>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</si>
  <si>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</si>
  <si>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</si>
  <si>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</si>
  <si>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</si>
  <si>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</si>
  <si>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</si>
  <si>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</si>
  <si>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</si>
  <si>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</si>
  <si>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</si>
  <si>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</si>
  <si>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</si>
  <si>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</si>
  <si>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</si>
  <si>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</si>
  <si>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</si>
  <si>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</si>
  <si>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</si>
  <si>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</si>
  <si>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</si>
  <si>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</si>
  <si>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</si>
  <si>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</si>
  <si>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</si>
  <si>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</si>
  <si>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</si>
  <si>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</si>
  <si>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</si>
  <si>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</si>
  <si>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</si>
  <si>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</si>
  <si>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</si>
  <si>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</si>
  <si>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</si>
  <si>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</si>
  <si>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</si>
  <si>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</si>
  <si>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</si>
  <si>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</si>
  <si>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</si>
  <si>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</si>
  <si>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</si>
  <si>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</si>
  <si>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</si>
  <si>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</si>
  <si>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</si>
  <si>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</si>
  <si>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</si>
  <si>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</si>
  <si>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</si>
  <si>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</si>
  <si>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</si>
  <si>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</si>
  <si>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</si>
  <si>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</si>
  <si>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</si>
  <si>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</si>
  <si>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</si>
  <si>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</si>
  <si>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</si>
  <si>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</si>
  <si>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</si>
  <si>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</si>
  <si>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</si>
  <si>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</si>
  <si>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</si>
  <si>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</si>
  <si>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</si>
  <si>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</si>
  <si>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</si>
  <si>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</si>
  <si>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</si>
  <si>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</si>
  <si>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</si>
  <si>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北京汉华房地产开发有限公司</t>
    <phoneticPr fontId="6" type="noConversion"/>
  </si>
  <si>
    <t>抵押</t>
  </si>
  <si>
    <t>房地产抵押价值</t>
  </si>
  <si>
    <t>北京市</t>
  </si>
  <si>
    <t>朝阳区</t>
    <phoneticPr fontId="6" type="noConversion"/>
  </si>
  <si>
    <r>
      <rPr>
        <sz val="10"/>
        <color theme="9" tint="-0.249977111117893"/>
        <rFont val="宋体"/>
        <family val="3"/>
        <charset val="134"/>
      </rPr>
      <t>松榆南路</t>
    </r>
    <r>
      <rPr>
        <sz val="10"/>
        <color theme="9" tint="-0.249977111117893"/>
        <rFont val="Arial"/>
        <family val="2"/>
      </rPr>
      <t>52</t>
    </r>
    <r>
      <rPr>
        <sz val="10"/>
        <color theme="9" tint="-0.249977111117893"/>
        <rFont val="宋体"/>
        <family val="3"/>
        <charset val="134"/>
      </rPr>
      <t>、</t>
    </r>
    <r>
      <rPr>
        <sz val="10"/>
        <color theme="9" tint="-0.249977111117893"/>
        <rFont val="Arial"/>
        <family val="2"/>
      </rPr>
      <t>54</t>
    </r>
    <r>
      <rPr>
        <sz val="10"/>
        <color theme="9" tint="-0.249977111117893"/>
        <rFont val="宋体"/>
        <family val="3"/>
        <charset val="134"/>
      </rPr>
      <t>、</t>
    </r>
    <r>
      <rPr>
        <sz val="10"/>
        <color theme="9" tint="-0.249977111117893"/>
        <rFont val="Arial"/>
        <family val="2"/>
      </rPr>
      <t>56</t>
    </r>
    <r>
      <rPr>
        <sz val="10"/>
        <color theme="9" tint="-0.249977111117893"/>
        <rFont val="宋体"/>
        <family val="3"/>
        <charset val="134"/>
      </rPr>
      <t>号</t>
    </r>
    <phoneticPr fontId="6" type="noConversion"/>
  </si>
  <si>
    <t>企业</t>
  </si>
  <si>
    <t>出让</t>
  </si>
  <si>
    <t>商业项目</t>
  </si>
  <si>
    <t>无</t>
  </si>
  <si>
    <t>否</t>
  </si>
  <si>
    <t>现房</t>
  </si>
  <si>
    <t>通路</t>
  </si>
  <si>
    <t>通电</t>
  </si>
  <si>
    <t>通讯</t>
  </si>
  <si>
    <t>通上水</t>
  </si>
  <si>
    <t>通下水</t>
  </si>
  <si>
    <t>平整</t>
  </si>
  <si>
    <t>地上</t>
  </si>
  <si>
    <t>地下</t>
  </si>
  <si>
    <r>
      <t>-2</t>
    </r>
    <r>
      <rPr>
        <sz val="10"/>
        <color indexed="8"/>
        <rFont val="宋体"/>
        <family val="3"/>
        <charset val="134"/>
      </rPr>
      <t>层</t>
    </r>
    <r>
      <rPr>
        <sz val="10"/>
        <color indexed="8"/>
        <rFont val="Arial"/>
        <family val="2"/>
      </rPr>
      <t>01</t>
    </r>
    <r>
      <rPr>
        <sz val="10"/>
        <color indexed="8"/>
        <rFont val="宋体"/>
        <family val="3"/>
        <charset val="134"/>
      </rPr>
      <t>号</t>
    </r>
    <phoneticPr fontId="3" type="noConversion"/>
  </si>
  <si>
    <t>1层54-106</t>
    <phoneticPr fontId="3" type="noConversion"/>
  </si>
  <si>
    <r>
      <t>1</t>
    </r>
    <r>
      <rPr>
        <sz val="10"/>
        <color indexed="8"/>
        <rFont val="宋体"/>
        <family val="3"/>
        <charset val="134"/>
      </rPr>
      <t>层</t>
    </r>
    <r>
      <rPr>
        <sz val="10"/>
        <color indexed="8"/>
        <rFont val="Arial"/>
        <family val="2"/>
      </rPr>
      <t>54-105</t>
    </r>
    <phoneticPr fontId="3" type="noConversion"/>
  </si>
  <si>
    <r>
      <t>1</t>
    </r>
    <r>
      <rPr>
        <sz val="10"/>
        <color indexed="8"/>
        <rFont val="宋体"/>
        <family val="3"/>
        <charset val="134"/>
      </rPr>
      <t>层</t>
    </r>
    <r>
      <rPr>
        <sz val="10"/>
        <color indexed="8"/>
        <rFont val="Arial"/>
        <family val="2"/>
      </rPr>
      <t>54-104</t>
    </r>
    <phoneticPr fontId="3" type="noConversion"/>
  </si>
  <si>
    <r>
      <t>1</t>
    </r>
    <r>
      <rPr>
        <sz val="10"/>
        <color indexed="8"/>
        <rFont val="宋体"/>
        <family val="3"/>
        <charset val="134"/>
      </rPr>
      <t>层</t>
    </r>
    <r>
      <rPr>
        <sz val="10"/>
        <color indexed="8"/>
        <rFont val="Arial"/>
        <family val="2"/>
      </rPr>
      <t>54-103</t>
    </r>
    <phoneticPr fontId="3" type="noConversion"/>
  </si>
  <si>
    <r>
      <t>1</t>
    </r>
    <r>
      <rPr>
        <sz val="11"/>
        <color indexed="8"/>
        <rFont val="宋体"/>
        <family val="3"/>
        <charset val="134"/>
      </rPr>
      <t>层</t>
    </r>
    <r>
      <rPr>
        <sz val="11"/>
        <color indexed="8"/>
        <rFont val="Arial"/>
        <family val="2"/>
      </rPr>
      <t>54-102</t>
    </r>
    <phoneticPr fontId="3" type="noConversion"/>
  </si>
  <si>
    <r>
      <t>1</t>
    </r>
    <r>
      <rPr>
        <sz val="11"/>
        <color indexed="8"/>
        <rFont val="宋体"/>
        <family val="3"/>
        <charset val="134"/>
      </rPr>
      <t>层</t>
    </r>
    <r>
      <rPr>
        <sz val="11"/>
        <color indexed="8"/>
        <rFont val="Arial"/>
        <family val="2"/>
      </rPr>
      <t>54-101</t>
    </r>
    <phoneticPr fontId="3" type="noConversion"/>
  </si>
  <si>
    <r>
      <t>2</t>
    </r>
    <r>
      <rPr>
        <sz val="11"/>
        <color indexed="8"/>
        <rFont val="宋体"/>
        <family val="3"/>
        <charset val="134"/>
      </rPr>
      <t>层</t>
    </r>
    <r>
      <rPr>
        <sz val="11"/>
        <color indexed="8"/>
        <rFont val="Arial"/>
        <family val="2"/>
      </rPr>
      <t>54-2</t>
    </r>
    <phoneticPr fontId="3" type="noConversion"/>
  </si>
  <si>
    <r>
      <t>-1</t>
    </r>
    <r>
      <rPr>
        <sz val="11"/>
        <color indexed="8"/>
        <rFont val="宋体"/>
        <family val="3"/>
        <charset val="134"/>
      </rPr>
      <t>层</t>
    </r>
    <r>
      <rPr>
        <sz val="11"/>
        <color indexed="8"/>
        <rFont val="Arial"/>
        <family val="2"/>
      </rPr>
      <t>54-4</t>
    </r>
    <phoneticPr fontId="3" type="noConversion"/>
  </si>
  <si>
    <t>车库</t>
  </si>
  <si>
    <t>车库</t>
    <phoneticPr fontId="3" type="noConversion"/>
  </si>
  <si>
    <t>独栋</t>
  </si>
  <si>
    <t>独立商业</t>
  </si>
  <si>
    <t>商业</t>
    <phoneticPr fontId="7" type="noConversion"/>
  </si>
  <si>
    <t>车库</t>
    <phoneticPr fontId="7" type="noConversion"/>
  </si>
  <si>
    <t>是</t>
  </si>
  <si>
    <t>成新度</t>
  </si>
  <si>
    <t>收益法</t>
  </si>
  <si>
    <t>利息：取LPR加浮动点数</t>
  </si>
  <si>
    <t>较好</t>
  </si>
  <si>
    <t>较好</t>
    <phoneticPr fontId="41" type="noConversion"/>
  </si>
  <si>
    <t>较好</t>
    <phoneticPr fontId="25" type="noConversion"/>
  </si>
  <si>
    <t>较好</t>
    <phoneticPr fontId="41" type="noConversion"/>
  </si>
  <si>
    <t>七通</t>
    <phoneticPr fontId="25" type="noConversion"/>
  </si>
  <si>
    <t>不临58条商业街</t>
  </si>
  <si>
    <t>与级别开发程度不一致</t>
  </si>
  <si>
    <t>按公示增长率计算</t>
  </si>
  <si>
    <t>楼层修正</t>
  </si>
  <si>
    <t>好</t>
  </si>
  <si>
    <t>未包含在土地购买价格中</t>
  </si>
  <si>
    <t>已包含在土地取得成本中</t>
  </si>
  <si>
    <t>押一</t>
  </si>
  <si>
    <t>按租金收入计税</t>
  </si>
  <si>
    <t>钢混</t>
  </si>
  <si>
    <t>非生产用房</t>
  </si>
  <si>
    <t>项目局部</t>
  </si>
  <si>
    <t>成本法</t>
  </si>
  <si>
    <t>总价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</si>
  <si>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</si>
  <si>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</si>
  <si>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</si>
  <si>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面积</t>
    <phoneticPr fontId="3" type="noConversion"/>
  </si>
  <si>
    <t>系数</t>
    <phoneticPr fontId="3" type="noConversion"/>
  </si>
  <si>
    <t>小计</t>
    <phoneticPr fontId="3" type="noConversion"/>
  </si>
  <si>
    <t>租金</t>
    <phoneticPr fontId="3" type="noConversion"/>
  </si>
  <si>
    <t>1层</t>
    <phoneticPr fontId="25" type="noConversion"/>
  </si>
  <si>
    <r>
      <t>2</t>
    </r>
    <r>
      <rPr>
        <sz val="10"/>
        <color indexed="8"/>
        <rFont val="宋体"/>
        <family val="3"/>
        <charset val="134"/>
      </rPr>
      <t>层</t>
    </r>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</si>
  <si>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</si>
  <si>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</si>
  <si>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承租方</t>
    <phoneticPr fontId="140" type="noConversion"/>
  </si>
  <si>
    <t>北京天亿众鑫商贸有限公司</t>
    <phoneticPr fontId="140" type="noConversion"/>
  </si>
  <si>
    <t>位置</t>
    <phoneticPr fontId="140" type="noConversion"/>
  </si>
  <si>
    <t>租期</t>
    <phoneticPr fontId="140" type="noConversion"/>
  </si>
  <si>
    <t>1楼部分底商</t>
    <phoneticPr fontId="140" type="noConversion"/>
  </si>
  <si>
    <t>日租金</t>
    <phoneticPr fontId="140" type="noConversion"/>
  </si>
  <si>
    <t>医院</t>
    <phoneticPr fontId="140" type="noConversion"/>
  </si>
  <si>
    <t>1层</t>
    <phoneticPr fontId="140" type="noConversion"/>
  </si>
  <si>
    <t>2层</t>
    <phoneticPr fontId="140" type="noConversion"/>
  </si>
  <si>
    <t>地下</t>
    <phoneticPr fontId="140" type="noConversion"/>
  </si>
  <si>
    <t>免费车位12</t>
    <phoneticPr fontId="140" type="noConversion"/>
  </si>
  <si>
    <t>年增长</t>
    <phoneticPr fontId="140" type="noConversion"/>
  </si>
  <si>
    <t>使用面积</t>
    <phoneticPr fontId="140" type="noConversion"/>
  </si>
  <si>
    <t>1011+1800平+车位</t>
    <phoneticPr fontId="140" type="noConversion"/>
  </si>
  <si>
    <t>收益法-车位</t>
  </si>
  <si>
    <t>收益法-车位</t>
    <phoneticPr fontId="16" type="noConversion"/>
  </si>
  <si>
    <t>收益法（汇总）</t>
  </si>
  <si>
    <t>合同面积</t>
    <phoneticPr fontId="140" type="noConversion"/>
  </si>
  <si>
    <t>当期租金（年）</t>
    <phoneticPr fontId="140" type="noConversion"/>
  </si>
  <si>
    <t>建筑面积</t>
    <phoneticPr fontId="140" type="noConversion"/>
  </si>
  <si>
    <t>97个车库</t>
    <phoneticPr fontId="140" type="noConversion"/>
  </si>
  <si>
    <t>2个顶楼1800</t>
    <phoneticPr fontId="140" type="noConversion"/>
  </si>
  <si>
    <t>部分食堂</t>
    <phoneticPr fontId="140" type="noConversion"/>
  </si>
  <si>
    <t>1楼部分底商</t>
    <phoneticPr fontId="140" type="noConversion"/>
  </si>
  <si>
    <t>核算租金</t>
    <phoneticPr fontId="140" type="noConversion"/>
  </si>
  <si>
    <t>自定义</t>
  </si>
  <si>
    <t>批发零售用地</t>
  </si>
  <si>
    <t>自定义容积率</t>
  </si>
  <si>
    <t>通热</t>
  </si>
  <si>
    <t>押二</t>
  </si>
  <si>
    <r>
      <t>3</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</si>
</sst>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49" fontId="79" fillId="0" borderId="1" xfId="0" applyNumberFormat="1" applyFont="1" applyBorder="1" applyAlignment="1" applyProtection="1">
      <alignment vertical="center" wrapText="1"/>
      <protection locked="0"/>
    </xf>
    <xf numFmtId="49" fontId="49" fillId="0" borderId="1" xfId="0" applyNumberFormat="1" applyFont="1" applyBorder="1" applyAlignment="1" applyProtection="1">
      <alignment vertical="center" wrapText="1"/>
      <protection locked="0"/>
    </xf>
    <xf numFmtId="49" fontId="46" fillId="0" borderId="2" xfId="0" applyNumberFormat="1" applyFont="1" applyBorder="1" applyAlignment="1" applyProtection="1">
      <alignment horizontal="center" vertical="center" wrapText="1"/>
      <protection locked="0"/>
    </xf>
    <xf numFmtId="49" fontId="134" fillId="0" borderId="2" xfId="0" applyNumberFormat="1"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12" borderId="0" xfId="0" applyFont="1" applyFill="1" applyAlignment="1" applyProtection="1">
      <alignment vertical="center"/>
      <protection locked="0"/>
    </xf>
    <xf numFmtId="0" fontId="186" fillId="0" borderId="1" xfId="0" applyFont="1" applyFill="1" applyBorder="1" applyAlignment="1" applyProtection="1">
      <alignment horizontal="center" vertical="center"/>
      <protection locked="0"/>
    </xf>
    <xf numFmtId="49" fontId="49" fillId="0" borderId="1" xfId="0" applyNumberFormat="1" applyFont="1" applyBorder="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Alignment="1">
      <alignment horizontal="left" vertical="center"/>
    </xf>
    <xf numFmtId="0" fontId="98" fillId="0" borderId="0" xfId="0" applyFont="1" applyAlignment="1">
      <alignment horizontal="left" vertical="center"/>
    </xf>
    <xf numFmtId="14" fontId="0" fillId="0" borderId="0" xfId="0" applyNumberFormat="1" applyAlignment="1">
      <alignment horizontal="left" vertical="center"/>
    </xf>
    <xf numFmtId="9" fontId="0" fillId="0" borderId="0" xfId="0" applyNumberFormat="1" applyAlignment="1">
      <alignment horizontal="left" vertical="center"/>
    </xf>
    <xf numFmtId="0" fontId="98" fillId="0" borderId="0" xfId="0" applyFont="1" applyAlignme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35</xdr:row>
      <xdr:rowOff>170679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6171429"/>
        </a:xfrm>
        <a:prstGeom prst="rect">
          <a:avLst/>
        </a:prstGeom>
      </xdr:spPr>
    </xdr:pic>
    <xdr:clientData/>
  </xdr:twoCellAnchor>
  <xdr:twoCellAnchor editAs="oneCell">
    <xdr:from>
      <xdr:col>14</xdr:col>
      <xdr:colOff>0</xdr:colOff>
      <xdr:row>0</xdr:row>
      <xdr:rowOff>0</xdr:rowOff>
    </xdr:from>
    <xdr:to>
      <xdr:col>27</xdr:col>
      <xdr:colOff>417933</xdr:colOff>
      <xdr:row>10</xdr:row>
      <xdr:rowOff>18833</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9333333" cy="1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北京市松榆南路52、54、56号房地产抵押价值预评估</v>
      </c>
    </row>
    <row r="3" spans="1:2" s="1337" customFormat="1">
      <c r="A3" s="1335" t="s">
        <v>1129</v>
      </c>
      <c r="B3" s="1336" t="str">
        <f>'预评函-封皮'!B40</f>
        <v>北京汉华房地产开发有限公司</v>
      </c>
    </row>
    <row r="4" spans="1:2" s="1337" customFormat="1">
      <c r="A4" s="1335" t="s">
        <v>1130</v>
      </c>
      <c r="B4" s="1336" t="str">
        <f ca="1">'预评函-封皮'!B46</f>
        <v>崔锴（注册号：1120100036)、郑燚（注册号：1120070131)</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受贵公司委托，我公司对北京市松榆南路52、54、56号房地产抵押价值进行了预评估。</v>
      </c>
    </row>
    <row r="7" spans="1:2" s="1337" customFormat="1">
      <c r="A7" s="1335" t="s">
        <v>1172</v>
      </c>
      <c r="B7" s="1336" t="str">
        <f>'预评函-1'!A7</f>
        <v>估价对象为北京市松榆南路52、54、56号房地产，为所有。根据《国有土地使用证》[]，估价对象（分摊）出让国有建设用地使用权面积为732.75平方米，建筑面积为11501.22平方米。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松榆南路52、54、56号房地产,属开发建设的商业项目，该项目尚在开发建设中。根据《国有土地使用证》[]，估价对象（分摊）出让国有建设用地使用权面积为732.75平方米，规划建筑面积为11501.22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为估价委托人在向办理贷款手续过程中，确定房地产抵押贷款额度提供参考依据而评估房地产抵押价值。</v>
      </c>
    </row>
    <row r="12" spans="1:2" s="1337" customFormat="1">
      <c r="A12" s="1335" t="s">
        <v>1134</v>
      </c>
      <c r="B12" s="1336" t="str">
        <f>'预评函-1'!A15</f>
        <v>2022年1月11日（评估专业人员实地查勘之日）</v>
      </c>
    </row>
    <row r="13" spans="1:2" s="1337" customFormat="1">
      <c r="A13" s="1335" t="s">
        <v>1135</v>
      </c>
      <c r="B13" s="1336" t="str">
        <f>'预评函-1'!A18</f>
        <v>本次估价的“房地产价值”是指在正常市场情况下，在价值时点2022年1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40642</v>
      </c>
    </row>
    <row r="21" spans="1:2" s="1337" customFormat="1">
      <c r="A21" s="1335" t="s">
        <v>1143</v>
      </c>
      <c r="B21" s="1336">
        <f ca="1">'预评函-2'!D7</f>
        <v>35337</v>
      </c>
    </row>
    <row r="22" spans="1:2" s="1337" customFormat="1">
      <c r="A22" s="1335" t="s">
        <v>1144</v>
      </c>
      <c r="B22" s="1336" t="str">
        <f ca="1">'预评函-2'!D6</f>
        <v>肆亿零陆佰肆拾贰万元整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40642</v>
      </c>
    </row>
    <row r="31" spans="1:2" s="1337" customFormat="1">
      <c r="A31" s="1335" t="s">
        <v>1182</v>
      </c>
      <c r="B31" s="1336">
        <f ca="1">'预评函-2'!D15</f>
        <v>35337</v>
      </c>
    </row>
    <row r="32" spans="1:2" s="1337" customFormat="1">
      <c r="A32" s="1335" t="s">
        <v>1149</v>
      </c>
      <c r="B32" s="1336" t="str">
        <f ca="1">'预评函-2'!D14</f>
        <v>肆亿零陆佰肆拾贰万元整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北京市松榆南路52、54、56号房地产</v>
      </c>
    </row>
    <row r="42" spans="1:2" s="1337" customFormat="1" ht="31.2">
      <c r="A42" s="1335" t="s">
        <v>1196</v>
      </c>
      <c r="B42" s="1336" t="str">
        <f>'预评函-3'!B2</f>
        <v>建筑面积</v>
      </c>
    </row>
    <row r="43" spans="1:2" s="1337" customFormat="1">
      <c r="A43" s="1335" t="s">
        <v>1197</v>
      </c>
      <c r="B43" s="1336">
        <f>'预评函-3'!B4</f>
        <v>11501.220000000001</v>
      </c>
    </row>
    <row r="44" spans="1:2" s="1337" customFormat="1" ht="31.2">
      <c r="A44" s="1335" t="s">
        <v>1181</v>
      </c>
      <c r="B44" s="1336" t="str">
        <f>'预评函-3'!C2</f>
        <v>(分摊)土地面积</v>
      </c>
    </row>
    <row r="45" spans="1:2" s="1337" customFormat="1">
      <c r="A45" s="1335" t="s">
        <v>1153</v>
      </c>
      <c r="B45" s="1336">
        <f>'预评函-3'!C4</f>
        <v>732.75</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6.2" thickBot="1">
      <c r="A73" s="1338" t="s">
        <v>1171</v>
      </c>
      <c r="B73" s="1339">
        <f ca="1">'预评函-4'!B5</f>
        <v>1120070131</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5" sqref="I25"/>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2972</v>
      </c>
      <c r="C17" s="1702"/>
    </row>
    <row r="18" spans="1:3">
      <c r="A18" s="1701" t="s">
        <v>1671</v>
      </c>
      <c r="B18" s="1701" t="s">
        <v>3116</v>
      </c>
      <c r="C18" s="1702"/>
    </row>
    <row r="19" spans="1:3">
      <c r="A19" s="1701" t="s">
        <v>1672</v>
      </c>
      <c r="B19" s="1701" t="s">
        <v>3207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华房地产开发有限公司拟使用北京市松榆南路52、54、56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1"/>
      <c r="B54" s="1709" t="s">
        <v>832</v>
      </c>
      <c r="C54" s="1706" t="s">
        <v>1189</v>
      </c>
    </row>
    <row r="55" spans="1:4">
      <c r="A55" s="3271"/>
      <c r="B55" s="1709" t="s">
        <v>833</v>
      </c>
      <c r="C55" s="1706" t="s">
        <v>1190</v>
      </c>
    </row>
    <row r="56" spans="1:4">
      <c r="A56" s="3271"/>
      <c r="B56" s="1709" t="s">
        <v>834</v>
      </c>
      <c r="C56" s="1706" t="s">
        <v>1194</v>
      </c>
    </row>
    <row r="57" spans="1:4">
      <c r="A57" s="327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33" sqref="M33"/>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2851</v>
      </c>
      <c r="B1" s="3272" t="str">
        <f>IF(B10="北京市","北京市",C10)&amp;F10&amp;IF(结果表!G1="在建","出让国有建设用地使用权及在建建筑物",IF(结果表!G1="土地","出让国有建设用地使用权",))&amp;B9&amp;"预评估"</f>
        <v>北京市松榆南路52、54、56号房地产抵押价值预评估</v>
      </c>
      <c r="C1" s="3273"/>
      <c r="D1" s="3273"/>
      <c r="E1" s="3273"/>
      <c r="F1" s="3273"/>
      <c r="G1" s="3273"/>
      <c r="H1" s="3273"/>
      <c r="I1" s="3274"/>
      <c r="J1" s="2663"/>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北京市松榆南路52、54、56号房地产抵押价值</v>
      </c>
      <c r="T1" s="1901"/>
      <c r="U1" s="1901"/>
      <c r="V1" s="1901"/>
      <c r="W1" s="1901"/>
      <c r="X1" s="1901"/>
      <c r="Y1" s="1901"/>
      <c r="Z1" s="1901"/>
      <c r="AA1" s="1901"/>
      <c r="AB1" s="1901"/>
    </row>
    <row r="2" spans="1:28">
      <c r="A2" s="2561" t="s">
        <v>2852</v>
      </c>
      <c r="B2" s="2565"/>
      <c r="C2" s="2566"/>
      <c r="D2" s="2865"/>
      <c r="E2" s="2855"/>
      <c r="F2" s="2855"/>
      <c r="G2" s="2856"/>
      <c r="H2" s="2856"/>
      <c r="I2" s="2856"/>
      <c r="J2" s="2663"/>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北京市松榆南路52、54、56号房地产</v>
      </c>
      <c r="T2" s="1901"/>
      <c r="U2" s="1901"/>
      <c r="V2" s="1901"/>
      <c r="W2" s="1901"/>
      <c r="X2" s="1901"/>
      <c r="Y2" s="1901"/>
      <c r="Z2" s="1901"/>
      <c r="AA2" s="1901"/>
      <c r="AB2" s="1901"/>
    </row>
    <row r="3" spans="1:28">
      <c r="A3" s="308" t="s">
        <v>2853</v>
      </c>
      <c r="B3" s="2567">
        <v>44572</v>
      </c>
      <c r="C3" s="2568" t="s">
        <v>2854</v>
      </c>
      <c r="D3" s="2567">
        <f>B3</f>
        <v>44572</v>
      </c>
      <c r="E3" s="2856"/>
      <c r="F3" s="2856"/>
      <c r="G3" s="2856"/>
      <c r="H3" s="2856"/>
      <c r="I3" s="2856"/>
      <c r="J3" s="2663"/>
      <c r="K3" s="2562"/>
      <c r="L3" s="2563"/>
      <c r="M3" s="2563"/>
      <c r="N3" s="2564"/>
      <c r="O3" s="1731"/>
      <c r="P3" s="2564"/>
      <c r="Q3" s="2564"/>
      <c r="R3" s="2564"/>
      <c r="S3" s="1838"/>
      <c r="T3" s="1901"/>
      <c r="U3" s="1901"/>
      <c r="V3" s="1901"/>
      <c r="W3" s="1901"/>
      <c r="X3" s="1901"/>
      <c r="Y3" s="1901"/>
      <c r="Z3" s="1901"/>
      <c r="AA3" s="1901"/>
      <c r="AB3" s="1901"/>
    </row>
    <row r="4" spans="1:28" ht="13.8" thickBot="1">
      <c r="A4" s="1222" t="s">
        <v>2855</v>
      </c>
      <c r="B4" s="2569" t="s">
        <v>3121</v>
      </c>
      <c r="C4" s="2570">
        <f ca="1">SUMIF(注册房地产估价师,B4,估价师及机构信息!B3:B24)</f>
        <v>1120100036</v>
      </c>
      <c r="D4" s="2569" t="s">
        <v>3122</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48.6" thickTop="1">
      <c r="A5" s="2573" t="s">
        <v>2856</v>
      </c>
      <c r="B5" s="3215" t="s">
        <v>3123</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2857</v>
      </c>
      <c r="B6" s="2577"/>
      <c r="C6" s="2578"/>
      <c r="D6" s="2579"/>
      <c r="E6" s="2855"/>
      <c r="F6" s="2857"/>
      <c r="G6" s="2857"/>
      <c r="H6" s="2857"/>
      <c r="I6" s="2857"/>
      <c r="J6" s="2633"/>
      <c r="K6" s="2807" t="str">
        <f>IF(COUNTIF(B6,"*上海银行*"),"上海银行","")</f>
        <v/>
      </c>
      <c r="L6" s="2805"/>
      <c r="M6" s="2805"/>
      <c r="N6" s="2633"/>
      <c r="O6" s="2644"/>
      <c r="P6" s="2633"/>
      <c r="Q6" s="2633"/>
      <c r="R6" s="2633"/>
    </row>
    <row r="7" spans="1:28" ht="52.8">
      <c r="A7" s="2576" t="s">
        <v>2858</v>
      </c>
      <c r="B7" s="2580" t="str">
        <f>B5</f>
        <v>北京汉华房地产开发有限公司</v>
      </c>
      <c r="C7" s="2578"/>
      <c r="D7" s="2579"/>
      <c r="E7" s="2855"/>
      <c r="F7" s="2857"/>
      <c r="G7" s="2857"/>
      <c r="H7" s="2857"/>
      <c r="I7" s="2857"/>
      <c r="J7" s="2633"/>
      <c r="K7" s="2808"/>
      <c r="L7" s="2805"/>
      <c r="M7" s="2805"/>
      <c r="N7" s="2633"/>
      <c r="O7" s="2644"/>
      <c r="P7" s="2633"/>
      <c r="Q7" s="2633"/>
      <c r="R7" s="2633"/>
    </row>
    <row r="8" spans="1:28">
      <c r="A8" s="2581" t="s">
        <v>2859</v>
      </c>
      <c r="B8" s="2582" t="s">
        <v>3124</v>
      </c>
      <c r="C8" s="2583"/>
      <c r="D8" s="3275" t="s">
        <v>2860</v>
      </c>
      <c r="E8" s="2584" t="s">
        <v>3125</v>
      </c>
      <c r="F8" s="2585"/>
      <c r="G8" s="2856"/>
      <c r="H8" s="2856"/>
      <c r="I8" s="2856"/>
      <c r="J8" s="2633"/>
      <c r="K8" s="2806"/>
      <c r="L8" s="2805"/>
      <c r="M8" s="2805"/>
      <c r="N8" s="2633"/>
      <c r="O8" s="2644"/>
      <c r="P8" s="2633"/>
      <c r="Q8" s="2633"/>
      <c r="R8" s="2633"/>
    </row>
    <row r="9" spans="1:28" ht="13.8" thickBot="1">
      <c r="A9" s="2586" t="s">
        <v>2861</v>
      </c>
      <c r="B9" s="2587" t="s">
        <v>3125</v>
      </c>
      <c r="C9" s="2588"/>
      <c r="D9" s="3276"/>
      <c r="E9" s="2587" t="s">
        <v>70</v>
      </c>
      <c r="F9" s="2589"/>
      <c r="G9" s="2858"/>
      <c r="H9" s="2858"/>
      <c r="I9" s="2858"/>
      <c r="J9" s="2633"/>
      <c r="K9" s="2808"/>
      <c r="L9" s="2805"/>
      <c r="M9" s="2805"/>
      <c r="N9" s="2633"/>
      <c r="O9" s="2644"/>
      <c r="P9" s="2633"/>
      <c r="Q9" s="2633"/>
      <c r="R9" s="2633"/>
    </row>
    <row r="10" spans="1:28" ht="13.8" thickTop="1">
      <c r="A10" s="2590" t="s">
        <v>2862</v>
      </c>
      <c r="B10" s="2591" t="s">
        <v>3126</v>
      </c>
      <c r="C10" s="3216" t="s">
        <v>3127</v>
      </c>
      <c r="D10" s="2575"/>
      <c r="E10" s="2592" t="s">
        <v>2863</v>
      </c>
      <c r="F10" s="2859" t="s">
        <v>3128</v>
      </c>
      <c r="G10" s="2860"/>
      <c r="H10" s="2861"/>
      <c r="I10" s="2862"/>
      <c r="J10" s="2633"/>
      <c r="K10" s="2808"/>
      <c r="L10" s="2805"/>
      <c r="M10" s="2805"/>
      <c r="N10" s="2633"/>
      <c r="O10" s="2644"/>
      <c r="P10" s="2633"/>
      <c r="Q10" s="2633"/>
      <c r="R10" s="2633"/>
    </row>
    <row r="11" spans="1:28">
      <c r="A11" s="2593" t="s">
        <v>2864</v>
      </c>
      <c r="B11" s="2594" t="s">
        <v>3129</v>
      </c>
      <c r="C11" s="2595"/>
      <c r="D11" s="2596"/>
      <c r="E11" s="2564"/>
      <c r="F11" s="2564"/>
      <c r="G11" s="2564"/>
      <c r="H11" s="2564"/>
      <c r="I11" s="2564"/>
      <c r="J11" s="2633"/>
      <c r="K11" s="2808"/>
      <c r="L11" s="2805"/>
      <c r="M11" s="2805"/>
      <c r="N11" s="2633"/>
      <c r="O11" s="2644"/>
      <c r="P11" s="2633"/>
      <c r="Q11" s="2633"/>
      <c r="R11" s="2633"/>
    </row>
    <row r="12" spans="1:28">
      <c r="A12" s="2597" t="s">
        <v>2865</v>
      </c>
      <c r="B12" s="2594" t="s">
        <v>3130</v>
      </c>
      <c r="C12" s="329" t="s">
        <v>2866</v>
      </c>
      <c r="D12" s="2598" t="s">
        <v>2867</v>
      </c>
      <c r="E12" s="2598" t="s">
        <v>2868</v>
      </c>
      <c r="F12" s="2598" t="s">
        <v>2869</v>
      </c>
      <c r="G12" s="2598" t="s">
        <v>2870</v>
      </c>
      <c r="H12" s="2598" t="s">
        <v>2871</v>
      </c>
      <c r="I12" s="2598" t="s">
        <v>2872</v>
      </c>
      <c r="J12" s="2633"/>
      <c r="K12" s="2808"/>
      <c r="L12" s="2805"/>
      <c r="M12" s="2805"/>
      <c r="N12" s="2633"/>
      <c r="O12" s="2644"/>
      <c r="P12" s="2633"/>
      <c r="Q12" s="2633"/>
      <c r="R12" s="2633"/>
    </row>
    <row r="13" spans="1:28">
      <c r="A13" s="1213"/>
      <c r="B13" s="2599"/>
      <c r="C13" s="2600" t="s">
        <v>2873</v>
      </c>
      <c r="D13" s="965">
        <v>61783</v>
      </c>
      <c r="E13" s="965">
        <v>54478</v>
      </c>
      <c r="F13" s="965"/>
      <c r="G13" s="965">
        <v>58130</v>
      </c>
      <c r="H13" s="965"/>
      <c r="I13" s="965">
        <v>48141</v>
      </c>
      <c r="J13" s="2633"/>
      <c r="K13" s="2808"/>
      <c r="L13" s="2805"/>
      <c r="M13" s="2805"/>
      <c r="N13" s="2633"/>
      <c r="O13" s="2644"/>
      <c r="P13" s="2633"/>
      <c r="Q13" s="2633"/>
      <c r="R13" s="2633"/>
    </row>
    <row r="14" spans="1:28">
      <c r="A14" s="1213"/>
      <c r="B14" s="2599"/>
      <c r="C14" s="2600" t="s">
        <v>2874</v>
      </c>
      <c r="D14" s="2601">
        <v>70</v>
      </c>
      <c r="E14" s="2601">
        <v>40</v>
      </c>
      <c r="F14" s="2601"/>
      <c r="G14" s="2601">
        <v>50</v>
      </c>
      <c r="H14" s="2601"/>
      <c r="I14" s="2601"/>
      <c r="J14" s="2633"/>
      <c r="K14" s="2809"/>
      <c r="L14" s="2805"/>
      <c r="M14" s="2805"/>
      <c r="N14" s="2633"/>
      <c r="O14" s="2644"/>
      <c r="P14" s="2633"/>
      <c r="Q14" s="2633"/>
      <c r="R14" s="2633"/>
    </row>
    <row r="15" spans="1:28">
      <c r="A15" s="326"/>
      <c r="B15" s="2602"/>
      <c r="C15" s="2603" t="s">
        <v>2875</v>
      </c>
      <c r="D15" s="2604">
        <f>IF(B12="出让",IF(D13="","",ROUNDDOWN(MIN((D13-$D$3)/365,D14),2)),D14)</f>
        <v>47.15</v>
      </c>
      <c r="E15" s="2604">
        <f>IF(B12="出让",IF(E13="","",ROUNDDOWN(MIN((E13-$D$3)/365,E14),2)),E14)</f>
        <v>27.13</v>
      </c>
      <c r="F15" s="2604" t="str">
        <f>IF(B12="出让",IF(F13="","",ROUNDDOWN(MIN((F13-$D$3)/365,F14),2)),F14)</f>
        <v/>
      </c>
      <c r="G15" s="2604">
        <f>IF(B12="出让",IF(G13="","",ROUNDDOWN(MIN((G13-$D$3)/365,G14),2)),G14)</f>
        <v>37.14</v>
      </c>
      <c r="H15" s="2604" t="str">
        <f>IF(B12="出让",IF(H13="","",ROUNDDOWN(MIN((H13-$D$3)/365,H14),2)),H14)</f>
        <v/>
      </c>
      <c r="I15" s="2604">
        <f>IF(B12="出让",IF(I13="","",ROUNDDOWN(MIN((I13-$D$3)/365,I14),2)),I14)</f>
        <v>9.77</v>
      </c>
      <c r="J15" s="2633"/>
      <c r="K15" s="2810"/>
      <c r="L15" s="2645"/>
      <c r="M15" s="2645"/>
      <c r="N15" s="2701"/>
      <c r="O15" s="2645"/>
      <c r="P15" s="2701"/>
      <c r="Q15" s="2633"/>
      <c r="R15" s="2633"/>
    </row>
    <row r="16" spans="1:28">
      <c r="A16" s="2592" t="s">
        <v>2876</v>
      </c>
      <c r="B16" s="3282"/>
      <c r="C16" s="3283"/>
      <c r="D16" s="3284"/>
      <c r="E16" s="2607" t="s">
        <v>2877</v>
      </c>
      <c r="F16" s="3285"/>
      <c r="G16" s="3286"/>
      <c r="H16" s="3286"/>
      <c r="I16" s="3287"/>
      <c r="J16" s="2633"/>
      <c r="K16" s="2810"/>
      <c r="L16" s="2645"/>
      <c r="M16" s="2645"/>
      <c r="N16" s="2701"/>
      <c r="O16" s="2645"/>
      <c r="P16" s="2701"/>
      <c r="Q16" s="2633"/>
      <c r="R16" s="2633"/>
    </row>
    <row r="17" spans="1:28">
      <c r="A17" s="319" t="s">
        <v>2878</v>
      </c>
      <c r="B17" s="308" t="s">
        <v>2879</v>
      </c>
      <c r="C17" s="11">
        <f>'数据-汇总表'!E3</f>
        <v>11501.220000000001</v>
      </c>
      <c r="D17" s="2515" t="s">
        <v>2880</v>
      </c>
      <c r="E17" s="3288" t="s">
        <v>2881</v>
      </c>
      <c r="F17" s="3289"/>
      <c r="G17" s="3289"/>
      <c r="H17" s="3289"/>
      <c r="I17" s="3290"/>
      <c r="J17" s="2633"/>
      <c r="K17" s="2811"/>
      <c r="L17" s="2645"/>
      <c r="M17" s="2645"/>
      <c r="N17" s="2701"/>
      <c r="O17" s="2645"/>
      <c r="P17" s="2701"/>
      <c r="Q17" s="2633"/>
      <c r="R17" s="2633"/>
      <c r="S17" s="2633"/>
      <c r="T17" s="2633"/>
      <c r="U17" s="2633"/>
      <c r="V17" s="2633"/>
    </row>
    <row r="18" spans="1:28" ht="24.6" thickBot="1">
      <c r="A18" s="2608" t="s">
        <v>2882</v>
      </c>
      <c r="B18" s="1222" t="s">
        <v>2883</v>
      </c>
      <c r="C18" s="2609">
        <f>'数据-汇总表'!D3</f>
        <v>732.75</v>
      </c>
      <c r="D18" s="1224" t="s">
        <v>2884</v>
      </c>
      <c r="E18" s="3291" t="s">
        <v>2885</v>
      </c>
      <c r="F18" s="3292"/>
      <c r="G18" s="3292"/>
      <c r="H18" s="3292"/>
      <c r="I18" s="3293"/>
      <c r="J18" s="2633"/>
      <c r="K18" s="2811"/>
      <c r="L18" s="2645"/>
      <c r="M18" s="2645"/>
      <c r="N18" s="2701"/>
      <c r="O18" s="2645"/>
      <c r="P18" s="2701"/>
      <c r="Q18" s="2633"/>
      <c r="R18" s="2633"/>
      <c r="S18" s="2633"/>
      <c r="T18" s="2633"/>
      <c r="U18" s="2633"/>
      <c r="V18" s="2633"/>
    </row>
    <row r="19" spans="1:28" ht="37.200000000000003" thickTop="1" thickBot="1">
      <c r="A19" s="333" t="s">
        <v>1680</v>
      </c>
      <c r="B19" s="313" t="s">
        <v>2886</v>
      </c>
      <c r="C19" s="1718"/>
      <c r="D19" s="1719" t="s">
        <v>2887</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2888</v>
      </c>
      <c r="B20" s="3278" t="s">
        <v>2889</v>
      </c>
      <c r="C20" s="3279"/>
      <c r="D20" s="3280" t="s">
        <v>2890</v>
      </c>
      <c r="E20" s="3281"/>
      <c r="F20" s="2840" t="s">
        <v>1681</v>
      </c>
      <c r="G20" s="2857"/>
      <c r="H20" s="2857"/>
      <c r="I20" s="2857"/>
      <c r="J20" s="2633"/>
      <c r="K20" s="3277"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36.6" thickBot="1">
      <c r="A21" s="2825"/>
      <c r="B21" s="2826" t="s">
        <v>2892</v>
      </c>
      <c r="C21" s="2827" t="s">
        <v>1682</v>
      </c>
      <c r="D21" s="1723" t="s">
        <v>2893</v>
      </c>
      <c r="E21" s="2828" t="s">
        <v>1682</v>
      </c>
      <c r="F21" s="2841"/>
      <c r="G21" s="2857"/>
      <c r="H21" s="2857"/>
      <c r="I21" s="2857"/>
      <c r="J21" s="2633"/>
      <c r="K21" s="327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36.6" thickBot="1">
      <c r="A22" s="2825"/>
      <c r="B22" s="2829" t="s">
        <v>2894</v>
      </c>
      <c r="C22" s="2827" t="s">
        <v>1683</v>
      </c>
      <c r="D22" s="2856"/>
      <c r="E22" s="2856"/>
      <c r="F22" s="2856"/>
      <c r="G22" s="2857"/>
      <c r="H22" s="2857"/>
      <c r="I22" s="2857"/>
      <c r="J22" s="2633"/>
      <c r="K22" s="327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2895</v>
      </c>
      <c r="B23" s="2694" t="s">
        <v>2896</v>
      </c>
      <c r="C23" s="2831"/>
      <c r="D23" s="2832" t="s">
        <v>2896</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1684</v>
      </c>
      <c r="C24" s="2834"/>
      <c r="D24" s="2830" t="s">
        <v>1684</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1685</v>
      </c>
      <c r="C25" s="2834"/>
      <c r="D25" s="2830" t="s">
        <v>1685</v>
      </c>
      <c r="E25" s="2835"/>
      <c r="F25" s="2856"/>
      <c r="G25" s="2857"/>
      <c r="H25" s="2857"/>
      <c r="I25" s="2857"/>
      <c r="J25" s="2633"/>
      <c r="K25" s="2808"/>
      <c r="L25" s="2805"/>
      <c r="M25" s="2805"/>
      <c r="N25" s="2701"/>
      <c r="O25" s="2645"/>
      <c r="P25" s="2701"/>
      <c r="Q25" s="2633"/>
      <c r="R25" s="2633"/>
      <c r="S25" s="2633"/>
      <c r="T25" s="2633"/>
      <c r="U25" s="2633"/>
      <c r="V25" s="2633"/>
    </row>
    <row r="26" spans="1:28" ht="13.8" thickBot="1">
      <c r="A26" s="2836"/>
      <c r="B26" s="2837" t="s">
        <v>1686</v>
      </c>
      <c r="C26" s="2838"/>
      <c r="D26" s="2836" t="s">
        <v>1686</v>
      </c>
      <c r="E26" s="2839"/>
      <c r="F26" s="2858"/>
      <c r="G26" s="2858"/>
      <c r="H26" s="2858"/>
      <c r="I26" s="2858"/>
      <c r="J26" s="2633"/>
      <c r="K26" s="2808"/>
      <c r="L26" s="2805"/>
      <c r="M26" s="2805"/>
      <c r="N26" s="2701"/>
      <c r="O26" s="2645"/>
      <c r="P26" s="2701"/>
      <c r="Q26" s="2633"/>
      <c r="R26" s="2633"/>
      <c r="S26" s="2633"/>
      <c r="T26" s="2633"/>
      <c r="U26" s="2633"/>
      <c r="V26" s="2633"/>
    </row>
    <row r="27" spans="1:28" ht="13.8" thickTop="1">
      <c r="A27" s="3295" t="s">
        <v>2897</v>
      </c>
      <c r="B27" s="326" t="s">
        <v>2898</v>
      </c>
      <c r="C27" s="2610" t="s">
        <v>3131</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95"/>
      <c r="B28" s="308" t="s">
        <v>2899</v>
      </c>
      <c r="C28" s="2612" t="s">
        <v>3132</v>
      </c>
      <c r="D28" s="2613"/>
      <c r="E28" s="2857"/>
      <c r="F28" s="2857"/>
      <c r="G28" s="2857"/>
      <c r="H28" s="2857"/>
      <c r="I28" s="2857"/>
      <c r="J28" s="2633"/>
      <c r="K28" s="2808"/>
      <c r="L28" s="2805"/>
      <c r="M28" s="2805"/>
      <c r="N28" s="2633"/>
      <c r="O28" s="2644"/>
      <c r="P28" s="2633"/>
      <c r="Q28" s="2633"/>
      <c r="R28" s="2633"/>
      <c r="S28" s="2633"/>
      <c r="T28" s="2633"/>
      <c r="U28" s="2633"/>
      <c r="V28" s="2633"/>
    </row>
    <row r="29" spans="1:28">
      <c r="A29" s="3295"/>
      <c r="B29" s="308" t="s">
        <v>2900</v>
      </c>
      <c r="C29" s="2614" t="s">
        <v>3133</v>
      </c>
      <c r="D29" s="2615"/>
      <c r="E29" s="2857"/>
      <c r="F29" s="2857"/>
      <c r="G29" s="2857"/>
      <c r="H29" s="2857"/>
      <c r="I29" s="2857"/>
      <c r="J29" s="2633"/>
      <c r="K29" s="2808"/>
      <c r="L29" s="2805"/>
      <c r="M29" s="2805"/>
      <c r="N29" s="2633"/>
      <c r="O29" s="2644"/>
      <c r="P29" s="2633"/>
      <c r="Q29" s="2633"/>
      <c r="R29" s="2633"/>
      <c r="S29" s="2633"/>
      <c r="T29" s="2633"/>
      <c r="U29" s="2633"/>
      <c r="V29" s="2633"/>
    </row>
    <row r="30" spans="1:28">
      <c r="A30" s="3296"/>
      <c r="B30" s="308" t="s">
        <v>2901</v>
      </c>
      <c r="C30" s="3297"/>
      <c r="D30" s="3298"/>
      <c r="E30" s="2857"/>
      <c r="F30" s="2857"/>
      <c r="G30" s="2857"/>
      <c r="H30" s="2857"/>
      <c r="I30" s="2857"/>
      <c r="J30" s="2633"/>
      <c r="K30" s="2808"/>
      <c r="L30" s="2805"/>
      <c r="M30" s="2805"/>
      <c r="N30" s="2633"/>
      <c r="O30" s="2644"/>
      <c r="P30" s="2633"/>
      <c r="Q30" s="2633"/>
      <c r="R30" s="2633"/>
      <c r="S30" s="2633"/>
      <c r="T30" s="2633"/>
      <c r="U30" s="2633"/>
      <c r="V30" s="2633"/>
    </row>
    <row r="31" spans="1:28">
      <c r="A31" s="3299" t="s">
        <v>2902</v>
      </c>
      <c r="B31" s="2616" t="s">
        <v>3134</v>
      </c>
      <c r="C31" s="2516" t="str">
        <f>IF(B31="现房","成新及维护状况正常否",IF(B31="在建","工程状态是否正常",IF(B31="土地","是否闲置","-")))</f>
        <v>成新及维护状况正常否</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300"/>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300"/>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2903</v>
      </c>
      <c r="B34" s="2184" t="s">
        <v>3135</v>
      </c>
      <c r="C34" s="2184" t="s">
        <v>3136</v>
      </c>
      <c r="D34" s="2184" t="s">
        <v>3137</v>
      </c>
      <c r="E34" s="2184" t="s">
        <v>3138</v>
      </c>
      <c r="F34" s="2184" t="s">
        <v>3139</v>
      </c>
      <c r="G34" s="2184" t="s">
        <v>3140</v>
      </c>
      <c r="H34" s="2184"/>
      <c r="I34" s="2857"/>
      <c r="J34" s="2633"/>
      <c r="K34" s="2621">
        <f>COUNTIF(B34:H34,"——")</f>
        <v>0</v>
      </c>
      <c r="L34" s="329" t="s">
        <v>2904</v>
      </c>
      <c r="M34" s="329" t="s">
        <v>2905</v>
      </c>
      <c r="N34" s="329" t="s">
        <v>2906</v>
      </c>
      <c r="O34" s="329" t="s">
        <v>2907</v>
      </c>
      <c r="P34" s="329" t="s">
        <v>2908</v>
      </c>
      <c r="Q34" s="329" t="s">
        <v>2909</v>
      </c>
      <c r="R34" s="329" t="s">
        <v>2910</v>
      </c>
      <c r="S34" s="3294" t="s">
        <v>2911</v>
      </c>
      <c r="T34" s="2622" t="str">
        <f>NUMBERSTRING(7-K34,1)&amp;"通"</f>
        <v>七通</v>
      </c>
      <c r="U34" s="2633"/>
      <c r="V34" s="2633"/>
    </row>
    <row r="35" spans="1:30">
      <c r="A35" s="2623"/>
      <c r="B35" s="3301" t="s">
        <v>2912</v>
      </c>
      <c r="C35" s="3301"/>
      <c r="D35" s="3301"/>
      <c r="E35" s="3301"/>
      <c r="F35" s="673" t="str">
        <f>C10</f>
        <v>朝阳区</v>
      </c>
      <c r="G35" s="2857"/>
      <c r="H35" s="2857"/>
      <c r="I35" s="2857"/>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94"/>
      <c r="T35" s="335" t="str">
        <f>IF(T34="一通",L35,IF(T34="二通",M35,IF(T34="三通",N35,IF(T34="四通",O35,IF(T34="五通",P35,IF(T34="六通",Q35,R35))))))</f>
        <v>通路、通电、通讯、通上水、通下水、平整、</v>
      </c>
      <c r="U35" s="2633"/>
      <c r="V35" s="2633"/>
    </row>
    <row r="36" spans="1:30">
      <c r="A36" s="2624"/>
      <c r="B36" s="673" t="s">
        <v>2868</v>
      </c>
      <c r="C36" s="673" t="s">
        <v>2869</v>
      </c>
      <c r="D36" s="673" t="s">
        <v>2867</v>
      </c>
      <c r="E36" s="673" t="s">
        <v>2872</v>
      </c>
      <c r="F36" s="2863"/>
      <c r="G36" s="2857"/>
      <c r="H36" s="2857"/>
      <c r="I36" s="2857"/>
      <c r="J36" s="2633"/>
      <c r="K36" s="2808"/>
      <c r="L36" s="2805"/>
      <c r="M36" s="2805"/>
      <c r="N36" s="2633"/>
      <c r="O36" s="2644"/>
      <c r="P36" s="2633"/>
      <c r="Q36" s="2633"/>
      <c r="R36" s="2633"/>
      <c r="S36" s="2633"/>
      <c r="T36" s="2633"/>
      <c r="U36" s="2633"/>
      <c r="V36" s="2633"/>
    </row>
    <row r="37" spans="1:30">
      <c r="A37" s="2823" t="s">
        <v>2913</v>
      </c>
      <c r="B37" s="2625" t="s">
        <v>137</v>
      </c>
      <c r="C37" s="2625"/>
      <c r="D37" s="2625"/>
      <c r="E37" s="2625"/>
      <c r="F37" s="2863"/>
      <c r="G37" s="2857"/>
      <c r="H37" s="2857"/>
      <c r="I37" s="2857"/>
      <c r="J37" s="2633"/>
      <c r="K37" s="2808"/>
      <c r="L37" s="2805"/>
      <c r="M37" s="2805"/>
      <c r="N37" s="2633"/>
      <c r="O37" s="2644"/>
      <c r="P37" s="2633"/>
      <c r="Q37" s="2633"/>
      <c r="R37" s="2633"/>
      <c r="S37" s="2633"/>
      <c r="T37" s="2633"/>
      <c r="U37" s="2633"/>
      <c r="V37" s="2633"/>
    </row>
    <row r="38" spans="1:30" ht="13.8" thickBot="1">
      <c r="A38" s="2824" t="s">
        <v>2914</v>
      </c>
      <c r="B38" s="2626" t="s">
        <v>324</v>
      </c>
      <c r="C38" s="2626"/>
      <c r="D38" s="2626"/>
      <c r="E38" s="2626"/>
      <c r="F38" s="2864"/>
      <c r="G38" s="2858"/>
      <c r="H38" s="2858"/>
      <c r="I38" s="2858"/>
      <c r="J38" s="2633"/>
      <c r="K38" s="2808"/>
      <c r="L38" s="2805"/>
      <c r="M38" s="2805"/>
      <c r="N38" s="2633"/>
      <c r="O38" s="2644"/>
      <c r="P38" s="2633"/>
      <c r="Q38" s="2633"/>
      <c r="R38" s="2633"/>
      <c r="S38" s="2633"/>
      <c r="T38" s="2633"/>
      <c r="U38" s="2633"/>
      <c r="V38" s="2633"/>
    </row>
    <row r="39" spans="1:30" s="2629" customFormat="1" ht="14.4" thickTop="1" thickBot="1">
      <c r="A39" s="2627" t="s">
        <v>2915</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2916</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2">
      <c r="A42" s="329" t="s">
        <v>2917</v>
      </c>
      <c r="B42" s="11" t="s">
        <v>2918</v>
      </c>
      <c r="C42" s="11" t="s">
        <v>2919</v>
      </c>
      <c r="D42" s="11" t="s">
        <v>2920</v>
      </c>
      <c r="E42" s="11" t="s">
        <v>2921</v>
      </c>
      <c r="F42" s="11" t="s">
        <v>2922</v>
      </c>
      <c r="G42" s="11" t="s">
        <v>2923</v>
      </c>
      <c r="H42" s="11" t="s">
        <v>2924</v>
      </c>
      <c r="I42" s="11" t="s">
        <v>2925</v>
      </c>
      <c r="J42" s="2819" t="s">
        <v>2926</v>
      </c>
      <c r="K42" s="2820" t="s">
        <v>2927</v>
      </c>
      <c r="L42" s="2820" t="s">
        <v>2928</v>
      </c>
      <c r="M42" s="2820" t="s">
        <v>2929</v>
      </c>
      <c r="N42" s="2813" t="s">
        <v>2930</v>
      </c>
      <c r="O42" s="2813" t="s">
        <v>2931</v>
      </c>
      <c r="P42" s="2813" t="s">
        <v>2932</v>
      </c>
      <c r="Q42" s="2814" t="s">
        <v>2933</v>
      </c>
      <c r="R42" s="2814" t="s">
        <v>2934</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f>SUM(B13:B22)</f>
        <v>732.75</v>
      </c>
      <c r="B3" s="14">
        <f>IF(C3="否",G5-AT5,G5)</f>
        <v>11501.220000000001</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1696</v>
      </c>
      <c r="B5" s="1501"/>
      <c r="C5" s="1501"/>
      <c r="D5" s="1503"/>
      <c r="E5" s="16" t="s">
        <v>1</v>
      </c>
      <c r="F5" s="16">
        <f>SUM(F13:F587)</f>
        <v>0</v>
      </c>
      <c r="G5" s="16">
        <f>SUM(G13:G587)</f>
        <v>11501.220000000001</v>
      </c>
      <c r="H5" s="16">
        <f t="shared" ref="H5:AT5" si="0">SUM(H13:H656)</f>
        <v>11501.220000000001</v>
      </c>
      <c r="I5" s="16">
        <f t="shared" si="0"/>
        <v>6924.4</v>
      </c>
      <c r="J5" s="16">
        <f t="shared" si="0"/>
        <v>0</v>
      </c>
      <c r="K5" s="16">
        <f t="shared" si="0"/>
        <v>2791.66</v>
      </c>
      <c r="L5" s="16">
        <f t="shared" si="0"/>
        <v>0</v>
      </c>
      <c r="M5" s="16">
        <f t="shared" si="0"/>
        <v>1785.1599999999999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11501.220000000001</v>
      </c>
      <c r="BA5" s="18">
        <f t="shared" si="1"/>
        <v>11501.220000000001</v>
      </c>
      <c r="BB5" s="18">
        <f t="shared" si="1"/>
        <v>6924.4</v>
      </c>
      <c r="BC5" s="18">
        <f t="shared" si="1"/>
        <v>2791.66</v>
      </c>
      <c r="BD5" s="18">
        <f t="shared" si="1"/>
        <v>1785.1599999999999</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1697</v>
      </c>
      <c r="B6" s="1741"/>
      <c r="C6" s="1741"/>
      <c r="D6" s="1742"/>
      <c r="E6" s="16">
        <f>H6+AC6+AT6</f>
        <v>732.75</v>
      </c>
      <c r="F6" s="16" t="s">
        <v>1</v>
      </c>
      <c r="G6" s="16" t="s">
        <v>2</v>
      </c>
      <c r="H6" s="20">
        <f>SUMIF(I$12:AB$12,"总值",I6:AB6)</f>
        <v>732.75</v>
      </c>
      <c r="I6" s="16">
        <f t="shared" ref="I6:AB6" si="2">ROUND($A$3*I5/$B$3,2)</f>
        <v>441.16</v>
      </c>
      <c r="J6" s="16">
        <f t="shared" si="2"/>
        <v>0</v>
      </c>
      <c r="K6" s="16">
        <f t="shared" si="2"/>
        <v>177.86</v>
      </c>
      <c r="L6" s="16">
        <f t="shared" si="2"/>
        <v>0</v>
      </c>
      <c r="M6" s="16">
        <f t="shared" si="2"/>
        <v>113.73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732.75</v>
      </c>
      <c r="AZ6" s="16" t="s">
        <v>3</v>
      </c>
      <c r="BA6" s="16">
        <f>ROUND($AY$6*BA5/$AZ$5,2)</f>
        <v>732.75</v>
      </c>
      <c r="BB6" s="16">
        <f>ROUND($AY$6*BB5/$AZ$5,2)</f>
        <v>441.16</v>
      </c>
      <c r="BC6" s="16">
        <f t="shared" ref="BC6:BH6" si="4">ROUND($AY$6*BC5/$AZ$5,2)</f>
        <v>177.86</v>
      </c>
      <c r="BD6" s="16">
        <f t="shared" si="4"/>
        <v>113.73</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1716</v>
      </c>
      <c r="I9" s="1758" t="s">
        <v>3141</v>
      </c>
      <c r="J9" s="918"/>
      <c r="K9" s="1758" t="s">
        <v>3142</v>
      </c>
      <c r="L9" s="918"/>
      <c r="M9" s="1758" t="s">
        <v>3142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3.2">
      <c r="A10" s="1749"/>
      <c r="B10" s="1749"/>
      <c r="C10" s="1749"/>
      <c r="D10" s="1749"/>
      <c r="E10" s="1749"/>
      <c r="F10" s="1749"/>
      <c r="G10" s="1202"/>
      <c r="H10" s="28"/>
      <c r="I10" s="1758" t="s">
        <v>1283</v>
      </c>
      <c r="J10" s="918"/>
      <c r="K10" s="1764" t="s">
        <v>1283</v>
      </c>
      <c r="L10" s="918"/>
      <c r="M10" s="1764" t="s">
        <v>3152</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t="s">
        <v>3154</v>
      </c>
      <c r="J11" s="1770"/>
      <c r="K11" s="1769" t="s">
        <v>3155</v>
      </c>
      <c r="L11" s="1770"/>
      <c r="M11" s="1769" t="s">
        <v>3152</v>
      </c>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商业</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独栋</v>
      </c>
      <c r="BC12" s="1779" t="str">
        <f>K11</f>
        <v>独立商业</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c r="A13" s="3217"/>
      <c r="B13" s="1182">
        <v>2.64</v>
      </c>
      <c r="C13" s="2632" t="s">
        <v>3143</v>
      </c>
      <c r="D13" s="1780" t="s">
        <v>3158</v>
      </c>
      <c r="E13" s="16">
        <f>IF($C$3="是",ROUND($A$3*G13/$B$3,2),ROUND($A$3*(G13-AT13)/$B$3,2))</f>
        <v>2.64</v>
      </c>
      <c r="F13" s="32"/>
      <c r="G13" s="33">
        <f>H13+AC13+AT13</f>
        <v>41.37</v>
      </c>
      <c r="H13" s="20">
        <f>SUMIF(I$12:AB$12,"总值",I13:AB13)</f>
        <v>41.37</v>
      </c>
      <c r="I13" s="39"/>
      <c r="J13" s="1781"/>
      <c r="K13" s="1781"/>
      <c r="L13" s="1781"/>
      <c r="M13" s="1781">
        <v>41.37</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2.64</v>
      </c>
      <c r="AX13" s="11" t="str">
        <f t="shared" si="6"/>
        <v>-2层01号</v>
      </c>
      <c r="AY13" s="1503">
        <f>ROUND($AY$6*AZ13/$AZ$5,2)</f>
        <v>2.64</v>
      </c>
      <c r="AZ13" s="16">
        <f>BA13+BL13</f>
        <v>41.37</v>
      </c>
      <c r="BA13" s="16">
        <f>SUM(BB13:BK13)</f>
        <v>41.37</v>
      </c>
      <c r="BB13" s="16">
        <f>IF($D13="是",I13-J13,0)</f>
        <v>0</v>
      </c>
      <c r="BC13" s="16">
        <f>IF($D13="是",K13-L13,0)</f>
        <v>0</v>
      </c>
      <c r="BD13" s="16">
        <f>IF($D13="是",M13-N13,0)</f>
        <v>41.37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3217"/>
      <c r="B14" s="1182">
        <v>23.78</v>
      </c>
      <c r="C14" s="3218" t="s">
        <v>3144</v>
      </c>
      <c r="D14" s="1780" t="s">
        <v>3158</v>
      </c>
      <c r="E14" s="16">
        <f>IF($C$3="是",ROUND($A$3*G14/$B$3,2),ROUND($A$3*(G14-AT14)/$B$3,2))</f>
        <v>23.78</v>
      </c>
      <c r="F14" s="32"/>
      <c r="G14" s="33">
        <f>H14+AC14+AT14</f>
        <v>373.28</v>
      </c>
      <c r="H14" s="20">
        <f>SUMIF(I$12:AB$12,"总值",I14:AB14)</f>
        <v>373.28</v>
      </c>
      <c r="I14" s="1781">
        <v>373.28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23.78</v>
      </c>
      <c r="AX14" s="11" t="str">
        <f t="shared" si="6"/>
        <v>1层54-106</v>
      </c>
      <c r="AY14" s="1503">
        <f>ROUND($AY$6*AZ14/$AZ$5,2)</f>
        <v>23.78</v>
      </c>
      <c r="AZ14" s="16">
        <f>BA14+BL14</f>
        <v>373.28</v>
      </c>
      <c r="BA14" s="16">
        <f>SUM(BB14:BK14)</f>
        <v>373.28</v>
      </c>
      <c r="BB14" s="16">
        <f>IF($D14="是",I14-J14,0)</f>
        <v>373.28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3217"/>
      <c r="B15" s="1182">
        <v>23.99</v>
      </c>
      <c r="C15" s="3219" t="s">
        <v>3145</v>
      </c>
      <c r="D15" s="1780" t="s">
        <v>3158</v>
      </c>
      <c r="E15" s="16">
        <f>IF($C$3="是",ROUND($A$3*G15/$B$3,2),ROUND($A$3*(G15-AT15)/$B$3,2))</f>
        <v>23.99</v>
      </c>
      <c r="F15" s="32"/>
      <c r="G15" s="33">
        <f>H15+AC15+AT15</f>
        <v>376.54</v>
      </c>
      <c r="H15" s="20">
        <f>SUMIF(I$12:AB$12,"总值",I15:AB15)</f>
        <v>376.54</v>
      </c>
      <c r="I15" s="1781">
        <v>376.54</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23.99</v>
      </c>
      <c r="AX15" s="11" t="str">
        <f t="shared" si="6"/>
        <v>1层54-105</v>
      </c>
      <c r="AY15" s="1503">
        <f>ROUND($AY$6*AZ15/$AZ$5,2)</f>
        <v>23.99</v>
      </c>
      <c r="AZ15" s="16">
        <f>BA15+BL15</f>
        <v>376.54</v>
      </c>
      <c r="BA15" s="16">
        <f>SUM(BB15:BK15)</f>
        <v>376.54</v>
      </c>
      <c r="BB15" s="16">
        <f>IF($D15="是",I15-J15,0)</f>
        <v>376.54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f>ROUND(I16/15.696,2)</f>
        <v>43.51</v>
      </c>
      <c r="C16" s="3219" t="s">
        <v>3146</v>
      </c>
      <c r="D16" s="1780" t="s">
        <v>3158</v>
      </c>
      <c r="E16" s="16">
        <f>IF($C$3="是",ROUND($A$3*G16/$B$3,2),ROUND($A$3*(G16-AT16)/$B$3,2))</f>
        <v>43.51</v>
      </c>
      <c r="F16" s="32"/>
      <c r="G16" s="33">
        <f>H16+AC16+AT16</f>
        <v>683.01</v>
      </c>
      <c r="H16" s="20">
        <f>SUMIF(I$12:AB$12,"总值",I16:AB16)</f>
        <v>683.01</v>
      </c>
      <c r="I16" s="1781">
        <v>683.01</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43.51</v>
      </c>
      <c r="AX16" s="11" t="str">
        <f t="shared" si="6"/>
        <v>1层54-104</v>
      </c>
      <c r="AY16" s="1503">
        <f>ROUND($AY$6*AZ16/$AZ$5,2)</f>
        <v>43.51</v>
      </c>
      <c r="AZ16" s="16">
        <f>BA16+BL16</f>
        <v>683.01</v>
      </c>
      <c r="BA16" s="16">
        <f>SUM(BB16:BK16)</f>
        <v>683.01</v>
      </c>
      <c r="BB16" s="16">
        <f>IF($D16="是",I16-J16,0)</f>
        <v>683.01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f>ROUND(I17/15.696,2)</f>
        <v>38.32</v>
      </c>
      <c r="C17" s="3219" t="s">
        <v>3147</v>
      </c>
      <c r="D17" s="1780" t="s">
        <v>3158</v>
      </c>
      <c r="E17" s="16">
        <f>IF($C$3="是",ROUND($A$3*G17/$B$3,2),ROUND($A$3*(G17-AT17)/$B$3,2))</f>
        <v>38.32</v>
      </c>
      <c r="F17" s="32"/>
      <c r="G17" s="33">
        <f>H17+AC17+AT17</f>
        <v>601.41999999999996</v>
      </c>
      <c r="H17" s="20">
        <f>SUMIF(I$12:AB$12,"总值",I17:AB17)</f>
        <v>601.41999999999996</v>
      </c>
      <c r="I17" s="1781">
        <v>601.41999999999996</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38.32</v>
      </c>
      <c r="AX17" s="11" t="str">
        <f t="shared" si="6"/>
        <v>1层54-103</v>
      </c>
      <c r="AY17" s="1503">
        <f>ROUND($AY$6*AZ17/$AZ$5,2)</f>
        <v>38.32</v>
      </c>
      <c r="AZ17" s="16">
        <f>BA17+BL17</f>
        <v>601.41999999999996</v>
      </c>
      <c r="BA17" s="16">
        <f>SUM(BB17:BK17)</f>
        <v>601.41999999999996</v>
      </c>
      <c r="BB17" s="16">
        <f>IF($D17="是",I17-J17,0)</f>
        <v>601.41999999999996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7.6">
      <c r="A18" s="3217"/>
      <c r="B18" s="34">
        <v>37.36</v>
      </c>
      <c r="C18" s="3220" t="s">
        <v>3148</v>
      </c>
      <c r="D18" s="1780" t="s">
        <v>3158</v>
      </c>
      <c r="E18" s="35">
        <f t="shared" ref="E18:E112" si="7">IF($C$3="是",ROUND($A$3*G18/$B$3,2),ROUND($A$3*(G18-AT18)/$B$3,2))</f>
        <v>37.36</v>
      </c>
      <c r="F18" s="36"/>
      <c r="G18" s="37">
        <f t="shared" ref="G18:G109" si="8">H18+AC18+AT18</f>
        <v>586.41</v>
      </c>
      <c r="H18" s="38">
        <f t="shared" ref="H18:H109" si="9">SUMIF(I$12:AB$12,"总值",I18:AB18)</f>
        <v>586.41</v>
      </c>
      <c r="I18" s="39">
        <v>586.41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37.36</v>
      </c>
      <c r="AX18" s="1497" t="str">
        <f t="shared" ref="AX18:AX112" si="13">C18</f>
        <v>1层54-102</v>
      </c>
      <c r="AY18" s="42">
        <f t="shared" ref="AY18:AY109" si="14">ROUND($AY$6*AZ18/$AZ$5,2)</f>
        <v>37.36</v>
      </c>
      <c r="AZ18" s="35">
        <f t="shared" ref="AZ18:AZ109" si="15">BA18+BL18</f>
        <v>586.41</v>
      </c>
      <c r="BA18" s="35">
        <f t="shared" ref="BA18:BA109" si="16">SUM(BB18:BK18)</f>
        <v>586.41</v>
      </c>
      <c r="BB18" s="35">
        <f t="shared" ref="BB18:BB109" si="17">IF($D18="是",I18-J18,0)</f>
        <v>586.41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7.6">
      <c r="A19" s="3217"/>
      <c r="B19" s="34">
        <v>37.270000000000003</v>
      </c>
      <c r="C19" s="3220" t="s">
        <v>3149</v>
      </c>
      <c r="D19" s="1780" t="s">
        <v>3158</v>
      </c>
      <c r="E19" s="35">
        <f t="shared" si="7"/>
        <v>37.270000000000003</v>
      </c>
      <c r="F19" s="36"/>
      <c r="G19" s="37">
        <f t="shared" si="8"/>
        <v>585.02</v>
      </c>
      <c r="H19" s="38">
        <f t="shared" si="9"/>
        <v>585.02</v>
      </c>
      <c r="I19" s="39">
        <v>585.02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37.270000000000003</v>
      </c>
      <c r="AX19" s="1497" t="str">
        <f t="shared" si="13"/>
        <v>1层54-101</v>
      </c>
      <c r="AY19" s="42">
        <f t="shared" si="14"/>
        <v>37.270000000000003</v>
      </c>
      <c r="AZ19" s="35">
        <f t="shared" si="15"/>
        <v>585.02</v>
      </c>
      <c r="BA19" s="35">
        <f t="shared" si="16"/>
        <v>585.02</v>
      </c>
      <c r="BB19" s="35">
        <f t="shared" si="17"/>
        <v>585.02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 r="A20" s="3217"/>
      <c r="B20" s="34">
        <v>236.92</v>
      </c>
      <c r="C20" s="3220" t="s">
        <v>3150</v>
      </c>
      <c r="D20" s="1780" t="s">
        <v>3158</v>
      </c>
      <c r="E20" s="35">
        <f t="shared" si="7"/>
        <v>236.92</v>
      </c>
      <c r="F20" s="36"/>
      <c r="G20" s="37">
        <f t="shared" si="8"/>
        <v>3718.72</v>
      </c>
      <c r="H20" s="38">
        <f t="shared" si="9"/>
        <v>3718.72</v>
      </c>
      <c r="I20" s="39">
        <v>3718.72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236.92</v>
      </c>
      <c r="AX20" s="1497" t="str">
        <f t="shared" si="13"/>
        <v>2层54-2</v>
      </c>
      <c r="AY20" s="42">
        <f t="shared" si="14"/>
        <v>236.92</v>
      </c>
      <c r="AZ20" s="35">
        <f t="shared" si="15"/>
        <v>3718.72</v>
      </c>
      <c r="BA20" s="35">
        <f t="shared" si="16"/>
        <v>3718.72</v>
      </c>
      <c r="BB20" s="35">
        <f t="shared" si="17"/>
        <v>3718.72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3217"/>
      <c r="B21" s="34">
        <v>177.86</v>
      </c>
      <c r="C21" s="3220" t="s">
        <v>3151</v>
      </c>
      <c r="D21" s="1780" t="s">
        <v>3158</v>
      </c>
      <c r="E21" s="35">
        <f t="shared" si="7"/>
        <v>177.86</v>
      </c>
      <c r="F21" s="36"/>
      <c r="G21" s="37">
        <f t="shared" si="8"/>
        <v>2791.66</v>
      </c>
      <c r="H21" s="38">
        <f t="shared" si="9"/>
        <v>2791.66</v>
      </c>
      <c r="I21" s="39"/>
      <c r="J21" s="39"/>
      <c r="K21" s="39">
        <v>2791.66</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177.86</v>
      </c>
      <c r="AX21" s="1497" t="str">
        <f t="shared" si="13"/>
        <v>-1层54-4</v>
      </c>
      <c r="AY21" s="42">
        <f t="shared" si="14"/>
        <v>177.86</v>
      </c>
      <c r="AZ21" s="35">
        <f t="shared" si="15"/>
        <v>2791.66</v>
      </c>
      <c r="BA21" s="35">
        <f t="shared" si="16"/>
        <v>2791.66</v>
      </c>
      <c r="BB21" s="35">
        <f t="shared" si="17"/>
        <v>0</v>
      </c>
      <c r="BC21" s="35">
        <f t="shared" si="18"/>
        <v>2791.66</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9"/>
      <c r="B22" s="1182">
        <f>ROUND(M22/15.696,2)</f>
        <v>111.1</v>
      </c>
      <c r="C22" s="3221" t="s">
        <v>3153</v>
      </c>
      <c r="D22" s="1780" t="s">
        <v>3158</v>
      </c>
      <c r="E22" s="35">
        <f t="shared" si="7"/>
        <v>111.1</v>
      </c>
      <c r="F22" s="36"/>
      <c r="G22" s="37">
        <f t="shared" si="8"/>
        <v>1743.79</v>
      </c>
      <c r="H22" s="38">
        <f t="shared" si="9"/>
        <v>1743.79</v>
      </c>
      <c r="I22" s="39"/>
      <c r="J22" s="39"/>
      <c r="K22" s="39"/>
      <c r="L22" s="39"/>
      <c r="M22" s="39">
        <v>1743.79</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111.1</v>
      </c>
      <c r="AX22" s="1497" t="str">
        <f t="shared" si="13"/>
        <v>车库</v>
      </c>
      <c r="AY22" s="42">
        <f t="shared" si="14"/>
        <v>111.1</v>
      </c>
      <c r="AZ22" s="35">
        <f t="shared" si="15"/>
        <v>1743.79</v>
      </c>
      <c r="BA22" s="35">
        <f t="shared" si="16"/>
        <v>1743.79</v>
      </c>
      <c r="BB22" s="35">
        <f t="shared" si="17"/>
        <v>0</v>
      </c>
      <c r="BC22" s="35">
        <f t="shared" si="18"/>
        <v>0</v>
      </c>
      <c r="BD22" s="35">
        <f t="shared" si="19"/>
        <v>1743.79</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20"/>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20"/>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20"/>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20"/>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20"/>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20"/>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20"/>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20"/>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20"/>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20"/>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20"/>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20"/>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20"/>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20"/>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20"/>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20"/>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20"/>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20"/>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20"/>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20"/>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20"/>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20"/>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2" t="s">
        <v>0</v>
      </c>
      <c r="B1" s="3302" t="s">
        <v>4</v>
      </c>
      <c r="C1" s="3302" t="s">
        <v>5</v>
      </c>
      <c r="D1" s="3303" t="s">
        <v>53</v>
      </c>
      <c r="E1" s="3303" t="s">
        <v>54</v>
      </c>
      <c r="F1" s="3303"/>
      <c r="G1" s="3303"/>
      <c r="H1" s="3303"/>
      <c r="I1" s="3303"/>
      <c r="J1" s="3303"/>
      <c r="K1" s="3303"/>
      <c r="L1" s="3303"/>
      <c r="M1" s="3303"/>
    </row>
    <row r="2" spans="1:13" ht="27" customHeight="1">
      <c r="A2" s="3302"/>
      <c r="B2" s="3302"/>
      <c r="C2" s="3302"/>
      <c r="D2" s="3303"/>
      <c r="E2" s="3303" t="s">
        <v>37</v>
      </c>
      <c r="F2" s="3303" t="s">
        <v>38</v>
      </c>
      <c r="G2" s="3303"/>
      <c r="H2" s="3303"/>
      <c r="I2" s="3303"/>
      <c r="J2" s="3303" t="s">
        <v>39</v>
      </c>
      <c r="K2" s="3303"/>
      <c r="L2" s="3303"/>
      <c r="M2" s="3303"/>
    </row>
    <row r="3" spans="1:13" ht="46.8">
      <c r="A3" s="3302"/>
      <c r="B3" s="3302"/>
      <c r="C3" s="3302"/>
      <c r="D3" s="3303"/>
      <c r="E3" s="330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3" t="s">
        <v>55</v>
      </c>
      <c r="B9" s="3303"/>
      <c r="C9" s="33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abSelected="1" view="pageBreakPreview" topLeftCell="A7" zoomScale="90" zoomScaleNormal="100" zoomScaleSheetLayoutView="90" workbookViewId="0">
      <selection activeCell="G37" sqref="G37"/>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2"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1755</v>
      </c>
      <c r="B1" s="1273"/>
      <c r="C1" s="1273"/>
      <c r="D1" s="1273"/>
      <c r="E1" s="1273"/>
      <c r="F1" s="1273"/>
      <c r="G1" s="1273"/>
      <c r="H1" s="1273"/>
      <c r="I1" s="1273"/>
      <c r="J1" s="1273"/>
      <c r="K1" s="1273"/>
      <c r="L1" s="1273"/>
      <c r="M1" s="1273"/>
      <c r="N1" s="1273"/>
      <c r="O1" s="1273"/>
      <c r="P1" s="1273"/>
    </row>
    <row r="2" spans="1:16" ht="14.4">
      <c r="A2" s="3313" t="s">
        <v>1756</v>
      </c>
      <c r="B2" s="3313"/>
      <c r="C2" s="3313"/>
      <c r="D2" s="904" t="s">
        <v>1732</v>
      </c>
      <c r="E2" s="1794" t="s">
        <v>1733</v>
      </c>
      <c r="F2" s="2852"/>
      <c r="G2" s="2843"/>
      <c r="H2" s="2844"/>
      <c r="I2" s="2518" t="s">
        <v>1757</v>
      </c>
      <c r="J2" s="2852"/>
      <c r="K2" s="2852"/>
      <c r="L2" s="2852"/>
      <c r="M2" s="2852"/>
      <c r="N2" s="2854"/>
      <c r="O2" s="2852"/>
      <c r="P2" s="2852"/>
    </row>
    <row r="3" spans="1:16" ht="15" thickBot="1">
      <c r="A3" s="3314" t="s">
        <v>1730</v>
      </c>
      <c r="B3" s="3314"/>
      <c r="C3" s="3314"/>
      <c r="D3" s="46">
        <f>'数据-基础表'!AY6</f>
        <v>732.75</v>
      </c>
      <c r="E3" s="46">
        <f>'数据-基础表'!AZ5</f>
        <v>11501.220000000001</v>
      </c>
      <c r="F3" s="2852"/>
      <c r="G3" s="1279"/>
      <c r="H3" s="1157" t="s">
        <v>1731</v>
      </c>
      <c r="I3" s="964">
        <f>ROUND('数据-基础表'!B3/'数据-基础表'!A3,2)</f>
        <v>15.7</v>
      </c>
      <c r="J3" s="2852"/>
      <c r="K3" s="2852"/>
      <c r="L3" s="2852"/>
      <c r="M3" s="2852"/>
      <c r="N3" s="2854"/>
      <c r="O3" s="2852"/>
      <c r="P3" s="2852"/>
    </row>
    <row r="4" spans="1:16" ht="14.4">
      <c r="A4" s="3315"/>
      <c r="B4" s="3316"/>
      <c r="C4" s="3317"/>
      <c r="D4" s="1796" t="s">
        <v>1732</v>
      </c>
      <c r="E4" s="1797" t="s">
        <v>1733</v>
      </c>
      <c r="F4" s="2852"/>
      <c r="G4" s="2845" t="s">
        <v>1758</v>
      </c>
      <c r="H4" s="1157" t="s">
        <v>1738</v>
      </c>
      <c r="I4" s="964">
        <f>ROUND(SUMIF('数据-基础表'!I9:AS9,"地上",'数据-基础表'!I5:AS5)/'数据-基础表'!A3,2)</f>
        <v>9.4499999999999993</v>
      </c>
      <c r="J4" s="2852"/>
      <c r="K4" s="2852"/>
      <c r="L4" s="2852"/>
      <c r="M4" s="2852"/>
      <c r="N4" s="2854"/>
      <c r="O4" s="2852"/>
      <c r="P4" s="2852"/>
    </row>
    <row r="5" spans="1:16" ht="14.4">
      <c r="A5" s="47" t="s">
        <v>1734</v>
      </c>
      <c r="B5" s="3318" t="s">
        <v>1735</v>
      </c>
      <c r="C5" s="3318"/>
      <c r="D5" s="48">
        <f>ROUND($D$3*E5/$E$3,2)</f>
        <v>0</v>
      </c>
      <c r="E5" s="49">
        <f>SUMIF('数据-基础表'!$11:$11,"住宅",'数据-基础表'!$5:$5)</f>
        <v>0</v>
      </c>
      <c r="F5" s="2852"/>
      <c r="G5" s="1279"/>
      <c r="H5" s="1157" t="s">
        <v>1731</v>
      </c>
      <c r="I5" s="964">
        <f>ROUND(E31/D31,2)</f>
        <v>15.7</v>
      </c>
      <c r="J5" s="2852"/>
      <c r="K5" s="2852"/>
      <c r="L5" s="2852"/>
      <c r="M5" s="2852"/>
      <c r="N5" s="2852"/>
      <c r="O5" s="2852"/>
      <c r="P5" s="2852"/>
    </row>
    <row r="6" spans="1:16" ht="15" thickBot="1">
      <c r="A6" s="1799"/>
      <c r="B6" s="3318" t="s">
        <v>1736</v>
      </c>
      <c r="C6" s="3318"/>
      <c r="D6" s="48">
        <f>ROUND($D$3*E6/$E$3,2)</f>
        <v>732.75</v>
      </c>
      <c r="E6" s="49">
        <f>E3-E5</f>
        <v>11501.220000000001</v>
      </c>
      <c r="F6" s="2852"/>
      <c r="G6" s="2846" t="s">
        <v>1737</v>
      </c>
      <c r="H6" s="1280" t="s">
        <v>1738</v>
      </c>
      <c r="I6" s="2847">
        <f>ROUND(F31/D31,2)</f>
        <v>9.4499999999999993</v>
      </c>
      <c r="J6" s="2852"/>
      <c r="K6" s="2852"/>
      <c r="L6" s="2852"/>
      <c r="M6" s="2852"/>
      <c r="N6" s="2852"/>
      <c r="O6" s="2852"/>
      <c r="P6" s="2852"/>
    </row>
    <row r="7" spans="1:16" ht="15" thickBot="1">
      <c r="A7" s="3310"/>
      <c r="B7" s="3311"/>
      <c r="C7" s="3312"/>
      <c r="D7" s="1796" t="s">
        <v>1732</v>
      </c>
      <c r="E7" s="1800" t="s">
        <v>1739</v>
      </c>
      <c r="F7" s="2852"/>
      <c r="G7" s="2848" t="s">
        <v>1740</v>
      </c>
      <c r="H7" s="2849"/>
      <c r="I7" s="2850">
        <v>6.84</v>
      </c>
      <c r="J7" s="2852"/>
      <c r="K7" s="2852"/>
      <c r="L7" s="2852"/>
      <c r="M7" s="2852"/>
      <c r="N7" s="2852"/>
      <c r="O7" s="2852"/>
      <c r="P7" s="2852"/>
    </row>
    <row r="8" spans="1:16" ht="14.4">
      <c r="A8" s="47" t="s">
        <v>1741</v>
      </c>
      <c r="B8" s="50" t="s">
        <v>1742</v>
      </c>
      <c r="C8" s="48" t="s">
        <v>1743</v>
      </c>
      <c r="D8" s="48">
        <f t="shared" ref="D8:D15" si="0">ROUND($D$3*E8/$E$3,2)</f>
        <v>441.16</v>
      </c>
      <c r="E8" s="51">
        <f>SUMIF('数据-基础表'!BB10:BK10,"地上",'数据-基础表'!BB5:BK5)</f>
        <v>6924.4</v>
      </c>
      <c r="F8" s="2852"/>
      <c r="G8" s="2853"/>
      <c r="H8" s="2853"/>
      <c r="I8" s="2852"/>
      <c r="J8" s="2852"/>
      <c r="K8" s="2852"/>
      <c r="L8" s="2852"/>
      <c r="M8" s="2852"/>
      <c r="N8" s="2852"/>
      <c r="O8" s="2852"/>
      <c r="P8" s="2852"/>
    </row>
    <row r="9" spans="1:16" ht="14.4">
      <c r="A9" s="1801"/>
      <c r="B9" s="1802"/>
      <c r="C9" s="48" t="s">
        <v>1744</v>
      </c>
      <c r="D9" s="48">
        <f t="shared" si="0"/>
        <v>0</v>
      </c>
      <c r="E9" s="52">
        <v>0</v>
      </c>
      <c r="F9" s="2852"/>
      <c r="G9" s="2853"/>
      <c r="H9" s="2853"/>
      <c r="I9" s="2852"/>
      <c r="J9" s="2852"/>
      <c r="K9" s="2852"/>
      <c r="L9" s="2852"/>
      <c r="M9" s="2852"/>
      <c r="N9" s="2852"/>
      <c r="O9" s="2852"/>
      <c r="P9" s="2852"/>
    </row>
    <row r="10" spans="1:16" ht="14.4">
      <c r="A10" s="1801"/>
      <c r="B10" s="1802"/>
      <c r="C10" s="48" t="s">
        <v>1753</v>
      </c>
      <c r="D10" s="48">
        <f t="shared" si="0"/>
        <v>177.86</v>
      </c>
      <c r="E10" s="51">
        <f>SUMPRODUCT(('数据-基础表'!BB10:BK10="地下")*('数据-基础表'!BB11:BK11="商业")*('数据-基础表'!BB5:BK5))</f>
        <v>2791.66</v>
      </c>
      <c r="F10" s="2852"/>
      <c r="G10" s="2853"/>
      <c r="H10" s="2853"/>
      <c r="I10" s="2852"/>
      <c r="J10" s="2852"/>
      <c r="K10" s="2852"/>
      <c r="L10" s="2852"/>
      <c r="M10" s="2852"/>
      <c r="N10" s="2852"/>
      <c r="O10" s="2852"/>
      <c r="P10" s="2852"/>
    </row>
    <row r="11" spans="1:16" ht="14.4">
      <c r="A11" s="1801"/>
      <c r="B11" s="1802"/>
      <c r="C11" s="48" t="s">
        <v>1745</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ht="14.4">
      <c r="A12" s="1801"/>
      <c r="B12" s="1802"/>
      <c r="C12" s="48" t="s">
        <v>1746</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ht="14.4">
      <c r="A13" s="1801"/>
      <c r="B13" s="1802"/>
      <c r="C13" s="48" t="s">
        <v>1747</v>
      </c>
      <c r="D13" s="48">
        <f t="shared" si="0"/>
        <v>113.73</v>
      </c>
      <c r="E13" s="51">
        <f>SUMPRODUCT(('数据-基础表'!BB10:BK10="地下")*('数据-基础表'!BB11:BK11="车库")*('数据-基础表'!BB5:BK5))</f>
        <v>1785.1599999999999</v>
      </c>
      <c r="F13" s="2852"/>
      <c r="G13" s="2853"/>
      <c r="H13" s="2853"/>
      <c r="I13" s="2852"/>
      <c r="J13" s="2852"/>
      <c r="K13" s="2852"/>
      <c r="L13" s="2852"/>
      <c r="M13" s="2852"/>
      <c r="N13" s="2852"/>
      <c r="O13" s="2852"/>
      <c r="P13" s="2852"/>
    </row>
    <row r="14" spans="1:16" ht="14.4">
      <c r="A14" s="1801"/>
      <c r="B14" s="1802"/>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1754</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 thickBot="1">
      <c r="A16" s="1799"/>
      <c r="B16" s="1802"/>
      <c r="C16" s="50" t="s">
        <v>1748</v>
      </c>
      <c r="D16" s="50">
        <f>SUM(D8:D15)</f>
        <v>732.75</v>
      </c>
      <c r="E16" s="53">
        <f>SUM(E8:E15)</f>
        <v>11501.22</v>
      </c>
      <c r="F16" s="2852"/>
      <c r="G16" s="2853"/>
      <c r="H16" s="1803" t="s">
        <v>1760</v>
      </c>
      <c r="I16" s="1804"/>
      <c r="J16" s="1273"/>
      <c r="K16" s="3307" t="s">
        <v>1760</v>
      </c>
      <c r="L16" s="3308"/>
      <c r="M16" s="3308"/>
      <c r="N16" s="3308"/>
      <c r="O16" s="3308"/>
      <c r="P16" s="3309"/>
    </row>
    <row r="17" spans="1:19" ht="14.4">
      <c r="A17" s="1805" t="s">
        <v>1761</v>
      </c>
      <c r="B17" s="1806" t="s">
        <v>1762</v>
      </c>
      <c r="C17" s="1807" t="s">
        <v>1763</v>
      </c>
      <c r="D17" s="1808" t="s">
        <v>1751</v>
      </c>
      <c r="E17" s="1809" t="s">
        <v>1752</v>
      </c>
      <c r="F17" s="1810"/>
      <c r="G17" s="1811"/>
      <c r="H17" s="1812" t="s">
        <v>1764</v>
      </c>
      <c r="I17" s="1813" t="s">
        <v>1749</v>
      </c>
      <c r="J17" s="1273"/>
      <c r="K17" s="3304" t="s">
        <v>1765</v>
      </c>
      <c r="L17" s="3305"/>
      <c r="M17" s="3306"/>
      <c r="N17" s="3304" t="s">
        <v>1766</v>
      </c>
      <c r="O17" s="3305"/>
      <c r="P17" s="3306"/>
      <c r="R17" s="1795" t="s">
        <v>1767</v>
      </c>
      <c r="S17" s="60"/>
    </row>
    <row r="18" spans="1:19" ht="14.4">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ht="14.4">
      <c r="A19" s="1822"/>
      <c r="B19" s="50" t="s">
        <v>1750</v>
      </c>
      <c r="C19" s="3222" t="s">
        <v>3156</v>
      </c>
      <c r="D19" s="48">
        <f>ROUND($D$3*E19/$E$3,2)</f>
        <v>619.02</v>
      </c>
      <c r="E19" s="56">
        <f t="shared" ref="E19:E26" si="1">SUM(F19:G19)</f>
        <v>9716.06</v>
      </c>
      <c r="F19" s="2992">
        <f>'数据-基础表'!I5</f>
        <v>6924.4</v>
      </c>
      <c r="G19" s="2993">
        <f>'数据-基础表'!K5</f>
        <v>2791.66</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619.02</v>
      </c>
      <c r="S19" s="1158">
        <f t="shared" si="5"/>
        <v>9716.06</v>
      </c>
    </row>
    <row r="20" spans="1:19" ht="14.4">
      <c r="A20" s="1826"/>
      <c r="B20" s="50" t="s">
        <v>1778</v>
      </c>
      <c r="C20" s="3222" t="s">
        <v>3157</v>
      </c>
      <c r="D20" s="48">
        <f t="shared" ref="D20:D26" si="6">ROUND($D$3*E20/$E$3,2)</f>
        <v>113.73</v>
      </c>
      <c r="E20" s="56">
        <f t="shared" si="1"/>
        <v>1785.1599999999999</v>
      </c>
      <c r="F20" s="2992"/>
      <c r="G20" s="2993">
        <f>'数据-基础表'!M5</f>
        <v>1785.1599999999999</v>
      </c>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113.73</v>
      </c>
      <c r="S20" s="1158">
        <f t="shared" si="5"/>
        <v>1785.1599999999999</v>
      </c>
    </row>
    <row r="21" spans="1:19" ht="14.4">
      <c r="A21" s="1826"/>
      <c r="B21" s="50" t="s">
        <v>1778</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1778</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1778</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1778</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1778</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1778</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1779</v>
      </c>
      <c r="D27" s="1274">
        <f>SUM(D19:D26)</f>
        <v>732.75</v>
      </c>
      <c r="E27" s="1275">
        <f>IF(SUM(E19:E26)='数据-基础表'!BA5,SUM(E19:E26),IF(F27="地上面积有误","面积有误","地下面积有误"))</f>
        <v>11501.22</v>
      </c>
      <c r="F27" s="1274">
        <f>IF(SUM(F19:F26)=E8,SUM(F19:F26),"地上面积有误")</f>
        <v>6924.4</v>
      </c>
      <c r="G27" s="1276">
        <f>SUM(G19:G26)</f>
        <v>4576.82</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732.75</v>
      </c>
      <c r="S27" s="1157">
        <f>IF(SUM(S19:S26)=$E$3,SUM(S19:S26),SUM(S19:S26)&amp;"误差"&amp;ROUND(SUM(S19:S26)-E3,2))</f>
        <v>11501.22</v>
      </c>
    </row>
    <row r="28" spans="1:19" ht="14.4">
      <c r="A28" s="1826"/>
      <c r="B28" s="50" t="s">
        <v>1780</v>
      </c>
      <c r="C28" s="1169"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ht="14.4">
      <c r="A29" s="1826"/>
      <c r="B29" s="50" t="s">
        <v>1780</v>
      </c>
      <c r="C29" s="1830"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4.4">
      <c r="A30" s="1826"/>
      <c r="B30" s="50"/>
      <c r="C30" s="1831" t="s">
        <v>1779</v>
      </c>
      <c r="D30" s="1274">
        <f>SUM(D28:D29)</f>
        <v>0</v>
      </c>
      <c r="E30" s="1274">
        <f>SUM(E28:E29)</f>
        <v>0</v>
      </c>
      <c r="F30" s="1274">
        <f>SUM(F28:F29)</f>
        <v>0</v>
      </c>
      <c r="G30" s="1276">
        <f>SUM(G28:G29)</f>
        <v>0</v>
      </c>
      <c r="H30" s="2852"/>
      <c r="I30" s="2852"/>
      <c r="J30" s="2852"/>
      <c r="K30" s="2852"/>
      <c r="L30" s="2852"/>
      <c r="M30" s="2852"/>
      <c r="N30" s="2852"/>
      <c r="O30" s="2852"/>
      <c r="P30" s="2852"/>
    </row>
    <row r="31" spans="1:19" ht="15" thickBot="1">
      <c r="A31" s="1832"/>
      <c r="B31" s="1833"/>
      <c r="C31" s="944" t="s">
        <v>1783</v>
      </c>
      <c r="D31" s="685">
        <f>D27+D30</f>
        <v>732.75</v>
      </c>
      <c r="E31" s="685">
        <f>E27+E30</f>
        <v>11501.22</v>
      </c>
      <c r="F31" s="686">
        <f>F27+F30</f>
        <v>6924.4</v>
      </c>
      <c r="G31" s="687">
        <f>G27+G30</f>
        <v>4576.82</v>
      </c>
      <c r="H31" s="2852"/>
      <c r="I31" s="2852"/>
      <c r="J31" s="2852"/>
      <c r="K31" s="2852"/>
      <c r="L31" s="2852"/>
      <c r="M31" s="2852"/>
      <c r="N31" s="2852"/>
      <c r="O31" s="2852"/>
      <c r="P31" s="2852"/>
    </row>
    <row r="32" spans="1:19" ht="14.4">
      <c r="A32" s="1798"/>
      <c r="B32" s="1798" t="s">
        <v>1784</v>
      </c>
      <c r="C32" s="1798"/>
      <c r="D32" s="1798"/>
      <c r="E32" s="1184">
        <f>SUMIF(C19:C26,"*住宅*",E19:E26)</f>
        <v>0</v>
      </c>
      <c r="F32" s="1798"/>
      <c r="G32" s="1798"/>
      <c r="H32" s="2852"/>
      <c r="I32" s="2852"/>
      <c r="J32" s="2852"/>
      <c r="K32" s="2852"/>
      <c r="L32" s="2852"/>
      <c r="M32" s="2852"/>
      <c r="N32" s="2852"/>
      <c r="O32" s="2852"/>
      <c r="P32" s="2852"/>
    </row>
    <row r="33" spans="4:7">
      <c r="D33" s="1834"/>
    </row>
    <row r="34" spans="4:7">
      <c r="F34" s="1793">
        <f ca="1">F35*10000/F31</f>
        <v>37031.367338686388</v>
      </c>
      <c r="G34" s="1793">
        <v>15000</v>
      </c>
    </row>
    <row r="35" spans="4:7">
      <c r="F35" s="1793">
        <f ca="1">系统读取表!D14-'数据-汇总表'!G34</f>
        <v>25642</v>
      </c>
      <c r="G35" s="1793">
        <f>G34*G31/10000</f>
        <v>6865.23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7.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 thickBot="1">
      <c r="A2" s="1839" t="s">
        <v>1786</v>
      </c>
      <c r="B2" s="1176">
        <f>项目基本情况!D3</f>
        <v>44572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1"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3159</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商业</v>
      </c>
      <c r="B6" s="1869" t="str">
        <f>IF(A6=0,"","经营性")</f>
        <v>经营性</v>
      </c>
      <c r="C6" s="1870" t="s">
        <v>1283</v>
      </c>
      <c r="D6" s="967">
        <f>SUMIF(项目基本情况!D$12:I$12,C6,项目基本情况!D$14:I$14)</f>
        <v>40</v>
      </c>
      <c r="E6" s="966">
        <f>IF(B6="","",SUMIF(项目基本情况!D$12:I$12,C6,项目基本情况!D$13:I$13))</f>
        <v>54478</v>
      </c>
      <c r="F6" s="68">
        <f>SUMIF(项目基本情况!D$12:I$12,C6,项目基本情况!D$15:I$15)</f>
        <v>27.13</v>
      </c>
      <c r="G6" s="69">
        <f>IF(ISERROR(ROUND(POWER(1+H6,D6-F6)*(POWER(1+H6,F6)-1)/(POWER(1+H6,D6)-1),3)),0,ROUND(POWER(1+H6,D6-F6)*(POWER(1+H6,F6)-1)/(POWER(1+H6,D6)-1),3))</f>
        <v>0.85499999999999998</v>
      </c>
      <c r="H6" s="741">
        <v>0.05</v>
      </c>
      <c r="I6" s="741">
        <v>5.5E-2</v>
      </c>
      <c r="J6" s="70">
        <v>7.4999999999999997E-2</v>
      </c>
      <c r="K6" s="1161">
        <f>SUMIF('数据-汇总表'!C$19:C$33,A6,'数据-汇总表'!E$19:E$33)</f>
        <v>9716.06</v>
      </c>
      <c r="L6" s="742">
        <v>5000</v>
      </c>
      <c r="M6" s="71">
        <f t="shared" ref="M6:M14" si="0">ROUND(K6*L6/10000,0)</f>
        <v>4858</v>
      </c>
      <c r="N6" s="740">
        <v>0.8</v>
      </c>
      <c r="O6" s="71" t="str">
        <f>IF($N$5="成新度","——",ROUND(M6*N6,0))</f>
        <v>——</v>
      </c>
      <c r="P6" s="72" t="str">
        <f>IF($N$5="成新度","——",M6-O6)</f>
        <v>——</v>
      </c>
      <c r="Q6" s="743">
        <v>0.2</v>
      </c>
      <c r="R6" s="73">
        <f ca="1">SUMIF('数据-汇总表'!C$19:C$33,A6,'数据-汇总表'!R$19:R$27)</f>
        <v>619.02</v>
      </c>
      <c r="S6" s="54">
        <f>IF('数据-汇总表'!$I$17="按面积比例",SUMIF('数据-汇总表'!C$19:C$33,A6,'数据-汇总表'!K$19:K$33),SUMIF('数据-汇总表'!C$19:C$33,A6,'数据-汇总表'!N$19:N$33))</f>
        <v>0</v>
      </c>
      <c r="T6" s="1306">
        <f>ROUND($L$14*S6/10000,0)</f>
        <v>0</v>
      </c>
      <c r="U6" s="74">
        <v>8</v>
      </c>
      <c r="V6" s="75">
        <v>0.03</v>
      </c>
      <c r="W6" s="75">
        <v>0.1</v>
      </c>
      <c r="X6" s="1171"/>
      <c r="Y6" s="76">
        <f>N6</f>
        <v>0.8</v>
      </c>
      <c r="Z6" s="77"/>
      <c r="AA6" s="70"/>
      <c r="AB6" s="70"/>
      <c r="AC6" s="1171"/>
      <c r="AD6" s="78"/>
      <c r="AE6" s="1172">
        <f ca="1">IF(AN6="",0,SUMIF(INDIRECT("'"&amp;AN6&amp;"'"&amp;"!E:E"),$AE$5,INDIRECT("'"&amp;AN6&amp;"'"&amp;"!F:F")))</f>
        <v>27.13</v>
      </c>
      <c r="AF6" s="3203"/>
      <c r="AG6" s="143">
        <f>IF(AF6="",0,AE6-AF6)</f>
        <v>0</v>
      </c>
      <c r="AH6" s="79"/>
      <c r="AI6" s="81">
        <v>365</v>
      </c>
      <c r="AJ6" s="82"/>
      <c r="AK6" s="83">
        <v>0.01</v>
      </c>
      <c r="AL6" s="84">
        <v>1.5E-3</v>
      </c>
      <c r="AM6" s="85">
        <v>0.01</v>
      </c>
      <c r="AN6" s="1871" t="s">
        <v>3160</v>
      </c>
      <c r="AO6" s="55">
        <f ca="1">SUMIF(INDIRECT("'"&amp;AN6&amp;"'"&amp;"!A:A"),"总价",INDIRECT("'"&amp;AN6&amp;"'"&amp;"!B:B"))</f>
        <v>38703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t="str">
        <f>'数据-汇总表'!C20</f>
        <v>车库</v>
      </c>
      <c r="B7" s="1869" t="str">
        <f t="shared" ref="B7:B13" si="1">IF(A7=0,"","经营性")</f>
        <v>经营性</v>
      </c>
      <c r="C7" s="1870" t="s">
        <v>3152</v>
      </c>
      <c r="D7" s="967">
        <f>SUMIF(项目基本情况!D$12:I$12,C7,项目基本情况!D$14:I$14)</f>
        <v>50</v>
      </c>
      <c r="E7" s="966">
        <f>IF(B7="","",SUMIF(项目基本情况!D$12:I$12,C7,项目基本情况!D$13:I$13))</f>
        <v>58130</v>
      </c>
      <c r="F7" s="68">
        <f>SUMIF(项目基本情况!D$12:I$12,C7,项目基本情况!D$15:I$15)</f>
        <v>37.14</v>
      </c>
      <c r="G7" s="69">
        <f t="shared" ref="G7:G11" si="2">IF(ISERROR(ROUND(POWER(1+H7,D7-F7)*(POWER(1+H7,F7)-1)/(POWER(1+H7,D7)-1),3)),0,ROUND(POWER(1+H7,D7-F7)*(POWER(1+H7,F7)-1)/(POWER(1+H7,D7)-1),3))</f>
        <v>0.90500000000000003</v>
      </c>
      <c r="H7" s="741">
        <v>4.4999999999999998E-2</v>
      </c>
      <c r="I7" s="741">
        <v>0.05</v>
      </c>
      <c r="J7" s="70">
        <v>7.0000000000000007E-2</v>
      </c>
      <c r="K7" s="1161">
        <f>SUMIF('数据-汇总表'!C$19:C$33,A7,'数据-汇总表'!E$19:E$33)</f>
        <v>1785.1599999999999</v>
      </c>
      <c r="L7" s="742">
        <v>3500</v>
      </c>
      <c r="M7" s="71">
        <f t="shared" si="0"/>
        <v>625</v>
      </c>
      <c r="N7" s="740">
        <f>N6</f>
        <v>0.8</v>
      </c>
      <c r="O7" s="71" t="str">
        <f t="shared" ref="O7:O14" si="3">IF($N$5="成新度","——",ROUND(M7*N7,0))</f>
        <v>——</v>
      </c>
      <c r="P7" s="72" t="str">
        <f t="shared" ref="P7:P14" si="4">IF($N$5="成新度","——",M7-O7)</f>
        <v>——</v>
      </c>
      <c r="Q7" s="743">
        <v>0.05</v>
      </c>
      <c r="R7" s="73">
        <f ca="1">SUMIF('数据-汇总表'!C$19:C$33,A7,'数据-汇总表'!R$19:R$27)</f>
        <v>113.73</v>
      </c>
      <c r="S7" s="54">
        <f>IF('数据-汇总表'!$I$17="按面积比例",SUMIF('数据-汇总表'!C$19:C$33,A7,'数据-汇总表'!K$19:K$33),SUMIF('数据-汇总表'!C$19:C$33,A7,'数据-汇总表'!N$19:N$33))</f>
        <v>0</v>
      </c>
      <c r="T7" s="1306">
        <f t="shared" ref="T7:T13" si="5">ROUND($L$14*S7/10000,0)</f>
        <v>0</v>
      </c>
      <c r="U7" s="74">
        <v>1000</v>
      </c>
      <c r="V7" s="75">
        <v>2.5000000000000001E-2</v>
      </c>
      <c r="W7" s="75">
        <v>0.1</v>
      </c>
      <c r="X7" s="1171"/>
      <c r="Y7" s="76">
        <f>N7</f>
        <v>0.8</v>
      </c>
      <c r="Z7" s="77"/>
      <c r="AA7" s="70"/>
      <c r="AB7" s="70"/>
      <c r="AC7" s="1171"/>
      <c r="AD7" s="78"/>
      <c r="AE7" s="1172">
        <f t="shared" ref="AE7:AE13" ca="1" si="6">IF(AN7="",0,SUMIF(INDIRECT("'"&amp;AN7&amp;"'"&amp;"!E:E"),$AE$5,INDIRECT("'"&amp;AN7&amp;"'"&amp;"!F:F")))</f>
        <v>37.14</v>
      </c>
      <c r="AF7" s="1502">
        <f>AF6</f>
        <v>0</v>
      </c>
      <c r="AG7" s="143">
        <f t="shared" ref="AG7:AG13" ca="1" si="7">IF(AF7="",0,AE7-AF7)</f>
        <v>37.14</v>
      </c>
      <c r="AH7" s="79">
        <v>47</v>
      </c>
      <c r="AI7" s="81">
        <v>12</v>
      </c>
      <c r="AJ7" s="82"/>
      <c r="AK7" s="83">
        <f>AK6</f>
        <v>0.01</v>
      </c>
      <c r="AL7" s="83">
        <f>AL6</f>
        <v>1.5E-3</v>
      </c>
      <c r="AM7" s="83">
        <f>AM6</f>
        <v>0.01</v>
      </c>
      <c r="AN7" s="1871" t="s">
        <v>3206</v>
      </c>
      <c r="AO7" s="55">
        <f t="shared" ref="AO7:AO13" ca="1" si="8">SUMIF(INDIRECT("'"&amp;AN7&amp;"'"&amp;"!A:A"),"总价",INDIRECT("'"&amp;AN7&amp;"'"&amp;"!B:B"))</f>
        <v>0</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1834</v>
      </c>
      <c r="B16" s="93"/>
      <c r="C16" s="942"/>
      <c r="D16" s="1876"/>
      <c r="E16" s="93"/>
      <c r="F16" s="93"/>
      <c r="G16" s="94">
        <f>ROUND(SUMPRODUCT(G6:G13,K6:K13)/SUMPRODUCT((G6:G13&gt;0)*(K6:K13)),3)</f>
        <v>0.86299999999999999</v>
      </c>
      <c r="H16" s="95">
        <f>ROUND(SUMPRODUCT(H6:H13,K6:K13)/SUMPRODUCT((H6:H13&gt;0)*(K6:K13)),3)</f>
        <v>4.9000000000000002E-2</v>
      </c>
      <c r="I16" s="96"/>
      <c r="J16" s="96"/>
      <c r="K16" s="97">
        <f>SUM(K6:K15)</f>
        <v>11501.22</v>
      </c>
      <c r="L16" s="98">
        <f>ROUND(M16*10000/SUM(K6:K14),0)</f>
        <v>4767</v>
      </c>
      <c r="M16" s="98">
        <f>SUM(M6:M14)</f>
        <v>5483</v>
      </c>
      <c r="N16" s="99">
        <f>ROUND(SUMPRODUCT(M6:M14,N6:N14)/M16,3)</f>
        <v>0.8</v>
      </c>
      <c r="O16" s="98">
        <f>SUM(O6:O14)</f>
        <v>0</v>
      </c>
      <c r="P16" s="98">
        <f>SUM(P6:P14)</f>
        <v>0</v>
      </c>
      <c r="Q16" s="100">
        <f>ROUND(SUMPRODUCT(Q6:Q13,K6:K13)/SUMPRODUCT((Q6:Q13&gt;0)*(K6:K13)),2)</f>
        <v>0.18</v>
      </c>
      <c r="R16" s="1165">
        <f ca="1">SUM(R6:R13)</f>
        <v>732.75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c r="M18" s="2866"/>
      <c r="N18" s="2866"/>
      <c r="O18" s="2866"/>
      <c r="P18" s="2866"/>
      <c r="Q18" s="2866"/>
      <c r="R18" s="2866"/>
      <c r="S18" s="2866"/>
      <c r="T18" s="2866"/>
      <c r="U18" s="2866">
        <f>4800*10000/K6/365</f>
        <v>13.534997654920669</v>
      </c>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4">
      <c r="A19" s="1878" t="s">
        <v>1836</v>
      </c>
      <c r="B19" s="108">
        <v>0</v>
      </c>
      <c r="C19" s="2996" t="s">
        <v>2984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4">
      <c r="A20" s="1879" t="s">
        <v>1837</v>
      </c>
      <c r="B20" s="109">
        <v>2</v>
      </c>
      <c r="C20" s="2997" t="s">
        <v>2982</v>
      </c>
      <c r="D20" s="2871"/>
      <c r="E20" s="2868"/>
      <c r="F20" s="2868"/>
      <c r="G20" s="2868"/>
      <c r="H20" s="2868"/>
      <c r="I20" s="2868"/>
      <c r="J20" s="2868"/>
      <c r="K20" s="2867"/>
      <c r="L20" s="2867"/>
      <c r="M20" s="2866"/>
      <c r="N20" s="2866"/>
      <c r="O20" s="2866"/>
      <c r="P20" s="2866"/>
      <c r="Q20" s="2866"/>
      <c r="R20" s="2866"/>
      <c r="S20" s="2866"/>
      <c r="T20" s="2866"/>
      <c r="U20" s="2866"/>
      <c r="V20" s="3226" t="s">
        <v>3184</v>
      </c>
      <c r="W20" s="3226" t="s">
        <v>3185</v>
      </c>
      <c r="X20" s="3226" t="s">
        <v>3187</v>
      </c>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4">
      <c r="A21" s="1880" t="s">
        <v>1838</v>
      </c>
      <c r="B21" s="109">
        <v>2</v>
      </c>
      <c r="C21" s="2868"/>
      <c r="D21" s="2871"/>
      <c r="E21" s="2868"/>
      <c r="F21" s="2868"/>
      <c r="G21" s="2868"/>
      <c r="H21" s="2868"/>
      <c r="I21" s="2868"/>
      <c r="J21" s="2868"/>
      <c r="K21" s="2867"/>
      <c r="L21" s="2867"/>
      <c r="M21" s="2866"/>
      <c r="N21" s="2866"/>
      <c r="O21" s="2866"/>
      <c r="P21" s="2866"/>
      <c r="Q21" s="2866"/>
      <c r="R21" s="2866"/>
      <c r="S21" s="2866"/>
      <c r="T21" s="2866"/>
      <c r="U21" s="2866" t="s">
        <v>3181</v>
      </c>
      <c r="V21" s="2866">
        <f>'数据-基础表'!I14+'数据-基础表'!I15+'数据-基础表'!I16+'数据-基础表'!I17+'数据-基础表'!I18+'数据-基础表'!I19</f>
        <v>3205.68</v>
      </c>
      <c r="W21" s="2866">
        <v>1</v>
      </c>
      <c r="X21" s="2866">
        <v>8</v>
      </c>
      <c r="Y21" s="2866"/>
      <c r="Z21" s="2866">
        <f>X21*V21</f>
        <v>25645.439999999999</v>
      </c>
      <c r="AA21" s="2866"/>
      <c r="AB21" s="2866"/>
      <c r="AC21" s="2866"/>
      <c r="AD21" s="2866"/>
      <c r="AE21" s="2866"/>
      <c r="AF21" s="2866"/>
      <c r="AG21" s="2866"/>
      <c r="AH21" s="2866"/>
      <c r="AI21" s="2866"/>
      <c r="AJ21" s="2866"/>
      <c r="AK21" s="2866"/>
      <c r="AL21" s="2866"/>
      <c r="AM21" s="2866"/>
      <c r="AN21" s="2866"/>
      <c r="AO21" s="2866"/>
      <c r="AP21" s="2866"/>
      <c r="AQ21" s="2866"/>
      <c r="AR21" s="2866"/>
    </row>
    <row r="22" spans="1:67" ht="14.4">
      <c r="A22" s="1879" t="s">
        <v>1839</v>
      </c>
      <c r="B22" s="110">
        <f>B19+B20</f>
        <v>2</v>
      </c>
      <c r="C22" s="2868"/>
      <c r="D22" s="2871"/>
      <c r="E22" s="2868"/>
      <c r="F22" s="2868"/>
      <c r="G22" s="2868"/>
      <c r="H22" s="2868"/>
      <c r="I22" s="2868"/>
      <c r="J22" s="2868"/>
      <c r="K22" s="2867"/>
      <c r="L22" s="2867"/>
      <c r="M22" s="2866"/>
      <c r="N22" s="2866"/>
      <c r="O22" s="2866"/>
      <c r="P22" s="2866"/>
      <c r="Q22" s="2866"/>
      <c r="R22" s="2866"/>
      <c r="S22" s="2866"/>
      <c r="T22" s="2866"/>
      <c r="U22" s="2866" t="s">
        <v>3182</v>
      </c>
      <c r="V22" s="2866">
        <f>'数据-基础表'!I20</f>
        <v>3718.72</v>
      </c>
      <c r="W22" s="2866">
        <v>0.7</v>
      </c>
      <c r="X22" s="2866">
        <f>ROUND(X21*W22,1)</f>
        <v>5.6</v>
      </c>
      <c r="Y22" s="2866"/>
      <c r="Z22" s="2866">
        <f t="shared" ref="Z22:Z25" si="12">X22*V22</f>
        <v>20824.831999999999</v>
      </c>
      <c r="AA22" s="2866"/>
      <c r="AB22" s="2866"/>
      <c r="AC22" s="2866"/>
      <c r="AD22" s="2866"/>
      <c r="AE22" s="2866"/>
      <c r="AF22" s="2866"/>
      <c r="AG22" s="2866"/>
      <c r="AH22" s="2866"/>
      <c r="AI22" s="2866"/>
      <c r="AJ22" s="2866"/>
      <c r="AK22" s="2866"/>
      <c r="AL22" s="2866"/>
      <c r="AM22" s="2866"/>
      <c r="AN22" s="2866"/>
      <c r="AO22" s="2866"/>
      <c r="AP22" s="2866"/>
      <c r="AQ22" s="2866"/>
      <c r="AR22" s="2866"/>
    </row>
    <row r="23" spans="1:67" ht="14.4">
      <c r="A23" s="1880" t="s">
        <v>1840</v>
      </c>
      <c r="B23" s="110">
        <f>B19+B21</f>
        <v>2</v>
      </c>
      <c r="C23" s="2868"/>
      <c r="D23" s="2871"/>
      <c r="E23" s="2868"/>
      <c r="F23" s="2868"/>
      <c r="G23" s="2868"/>
      <c r="H23" s="2868"/>
      <c r="I23" s="2868"/>
      <c r="J23" s="2868"/>
      <c r="K23" s="2867"/>
      <c r="L23" s="2867"/>
      <c r="M23" s="2866"/>
      <c r="N23" s="2866"/>
      <c r="O23" s="2866"/>
      <c r="P23" s="2866"/>
      <c r="Q23" s="2866"/>
      <c r="R23" s="2866"/>
      <c r="S23" s="2866"/>
      <c r="T23" s="2866"/>
      <c r="U23" s="2866" t="s">
        <v>3183</v>
      </c>
      <c r="V23" s="2866">
        <f>'数据-基础表'!K21</f>
        <v>2791.66</v>
      </c>
      <c r="W23" s="2866">
        <v>0.4</v>
      </c>
      <c r="X23" s="2866">
        <f>ROUND(X21*W23,1)</f>
        <v>3.2</v>
      </c>
      <c r="Y23" s="2866"/>
      <c r="Z23" s="2866">
        <f t="shared" si="12"/>
        <v>8933.3119999999999</v>
      </c>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3226" t="s">
        <v>3186</v>
      </c>
      <c r="V24" s="2866">
        <f>SUM(V21:V23)</f>
        <v>9716.06</v>
      </c>
      <c r="W24" s="2866"/>
      <c r="X24" s="2866">
        <f>ROUND(V21/V24*X21+V22/V24*X22+V23/V24*X23,1)</f>
        <v>5.7</v>
      </c>
      <c r="Y24" s="2866"/>
      <c r="Z24" s="2866">
        <f>(Z21+Z22+Z23+Z25)/V24</f>
        <v>6.7397261853055666</v>
      </c>
      <c r="AA24" s="2866"/>
      <c r="AB24" s="2866"/>
      <c r="AC24" s="2866"/>
      <c r="AD24" s="2866"/>
      <c r="AE24" s="2866"/>
      <c r="AF24" s="2866"/>
      <c r="AG24" s="2866"/>
      <c r="AH24" s="2866"/>
      <c r="AI24" s="2866"/>
      <c r="AJ24" s="2866"/>
      <c r="AK24" s="2866"/>
      <c r="AL24" s="2866"/>
      <c r="AM24" s="2866"/>
      <c r="AN24" s="2866"/>
      <c r="AO24" s="2866"/>
      <c r="AP24" s="2866"/>
      <c r="AQ24" s="2866"/>
      <c r="AR24" s="2866"/>
    </row>
    <row r="25" spans="1:67" ht="14.4"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t="s">
        <v>3222</v>
      </c>
      <c r="V25" s="2866">
        <v>1800</v>
      </c>
      <c r="W25" s="2866"/>
      <c r="X25" s="2866">
        <f>X22</f>
        <v>5.6</v>
      </c>
      <c r="Y25" s="2866"/>
      <c r="Z25" s="2866">
        <f t="shared" si="12"/>
        <v>10080</v>
      </c>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1842</v>
      </c>
      <c r="B26" s="1882"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8.8">
      <c r="A27" s="1883" t="s">
        <v>1845</v>
      </c>
      <c r="B27" s="112">
        <v>160</v>
      </c>
      <c r="C27" s="2998" t="s">
        <v>2986</v>
      </c>
      <c r="D27" s="2874"/>
      <c r="E27" s="2854"/>
      <c r="F27" s="2854"/>
      <c r="G27" s="2868"/>
      <c r="H27" s="2868"/>
      <c r="I27" s="2868"/>
      <c r="J27" s="2868"/>
      <c r="K27" s="2867"/>
      <c r="L27" s="2867"/>
      <c r="M27" s="2866"/>
      <c r="N27" s="2866"/>
      <c r="O27" s="2866"/>
      <c r="P27" s="2866"/>
      <c r="Q27" s="2866"/>
      <c r="R27" s="2866"/>
      <c r="S27" s="2866"/>
      <c r="T27" s="2866"/>
      <c r="U27" s="2866">
        <f>租约!I13</f>
        <v>4271.8761424000004</v>
      </c>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1846</v>
      </c>
      <c r="B28" s="115">
        <v>200</v>
      </c>
      <c r="C28" s="2875"/>
      <c r="D28" s="2874"/>
      <c r="E28" s="2854"/>
      <c r="F28" s="2854"/>
      <c r="G28" s="2868"/>
      <c r="H28" s="2868"/>
      <c r="I28" s="2868"/>
      <c r="J28" s="2868"/>
      <c r="K28" s="2867"/>
      <c r="L28" s="2867"/>
      <c r="M28" s="2866"/>
      <c r="N28" s="2866"/>
      <c r="O28" s="2866"/>
      <c r="P28" s="2866"/>
      <c r="Q28" s="2866"/>
      <c r="R28" s="2866"/>
      <c r="S28" s="2866"/>
      <c r="T28" s="2866"/>
      <c r="U28" s="2866">
        <f>U27*10000/K6/365</f>
        <v>12.045798660311572</v>
      </c>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1847</v>
      </c>
      <c r="B29" s="117">
        <f ca="1">成本法!C10</f>
        <v>230</v>
      </c>
      <c r="C29" s="2999" t="s">
        <v>2973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1848</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1850</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1851</v>
      </c>
      <c r="B33" s="682">
        <v>0.03</v>
      </c>
      <c r="C33" s="3000" t="s">
        <v>2974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1852</v>
      </c>
      <c r="B34" s="118">
        <v>0</v>
      </c>
      <c r="C34" s="3000" t="s">
        <v>2975</v>
      </c>
      <c r="D34" s="2879" t="s">
        <v>2983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1853</v>
      </c>
      <c r="B35" s="115">
        <f>B30</f>
        <v>200</v>
      </c>
      <c r="C35" s="3000" t="s">
        <v>2976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0" t="s">
        <v>2977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4">
      <c r="A37" s="1887" t="s">
        <v>1855</v>
      </c>
      <c r="B37" s="120">
        <v>0.02</v>
      </c>
      <c r="C37" s="3000" t="s">
        <v>2978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4">
      <c r="A38" s="1885" t="s">
        <v>1856</v>
      </c>
      <c r="B38" s="118">
        <v>0.02</v>
      </c>
      <c r="C38" s="3000" t="s">
        <v>2978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4">
      <c r="A39" s="1888"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8.2" thickBot="1">
      <c r="A40" s="3012" t="s">
        <v>3161</v>
      </c>
      <c r="B40" s="1210">
        <f ca="1">IF(A40="利息：取LPR",存贷款利率!G1,存贷款利率!G1+C40)</f>
        <v>4.2999999999999997E-2</v>
      </c>
      <c r="C40" s="3011">
        <v>4.4999999999999997E-3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4">
      <c r="A41" s="1883" t="s">
        <v>1858</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4">
      <c r="A42" s="1889"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4">
      <c r="A43" s="1889" t="s">
        <v>1860</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4">
      <c r="A44" s="1890" t="s">
        <v>1861</v>
      </c>
      <c r="B44" s="124">
        <v>7.0000000000000007E-2</v>
      </c>
      <c r="C44" s="3000" t="s">
        <v>2987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4">
      <c r="A45" s="1890" t="s">
        <v>1862</v>
      </c>
      <c r="B45" s="122">
        <v>0.03</v>
      </c>
      <c r="C45" s="2999" t="s">
        <v>2979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4">
      <c r="A46" s="1890" t="s">
        <v>1863</v>
      </c>
      <c r="B46" s="122">
        <v>0.02</v>
      </c>
      <c r="C46" s="2999" t="s">
        <v>2980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1864</v>
      </c>
      <c r="B47" s="125">
        <v>0</v>
      </c>
      <c r="C47" s="3002" t="s">
        <v>2988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4">
      <c r="A48" s="1892" t="s">
        <v>1865</v>
      </c>
      <c r="B48" s="126">
        <v>0.03</v>
      </c>
      <c r="C48" s="2999" t="s">
        <v>2979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1866</v>
      </c>
      <c r="B49" s="122">
        <v>5.0000000000000001E-4</v>
      </c>
      <c r="C49" s="2999" t="s">
        <v>2981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4">
      <c r="A50" s="1893"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4">
      <c r="A52" s="1893" t="s">
        <v>1869</v>
      </c>
      <c r="B52" s="129">
        <f>SUMIF(A54:A63,B53,B54:B63)</f>
        <v>12</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8.8">
      <c r="A53" s="1885" t="s">
        <v>1870</v>
      </c>
      <c r="B53" s="1894" t="s">
        <v>137</v>
      </c>
      <c r="C53" s="2854" t="s">
        <v>1871</v>
      </c>
      <c r="D53" s="3001" t="s">
        <v>2985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4">
      <c r="A54" s="1895"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4">
      <c r="A55" s="1895" t="s">
        <v>1873</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4">
      <c r="A56" s="1895" t="s">
        <v>1874</v>
      </c>
      <c r="B56" s="80">
        <v>18</v>
      </c>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4">
      <c r="A57" s="1895" t="s">
        <v>1875</v>
      </c>
      <c r="B57" s="80">
        <v>12</v>
      </c>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4">
      <c r="A58" s="1895"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4">
      <c r="A59" s="1895" t="s">
        <v>1877</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4">
      <c r="A60" s="1895"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4">
      <c r="A61" s="1895"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4">
      <c r="A62" s="1895"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842" customWidth="1"/>
    <col min="2" max="2" width="24.44140625" style="1727" customWidth="1"/>
    <col min="3" max="3" width="24.44140625" style="2702" customWidth="1"/>
    <col min="4" max="4" width="2.6640625" style="2702" customWidth="1"/>
    <col min="5" max="5" width="5.88671875" style="2702" customWidth="1"/>
    <col min="6" max="6" width="27" style="1727" customWidth="1"/>
    <col min="7" max="7" width="27" style="2703" customWidth="1"/>
    <col min="8" max="8" width="11.88671875" style="2683" customWidth="1"/>
    <col min="9" max="9" width="16.77734375" style="2684" customWidth="1"/>
    <col min="10" max="10" width="2.6640625" style="2683" customWidth="1"/>
    <col min="11" max="11" width="11.88671875" style="2683" customWidth="1"/>
    <col min="12" max="12" width="16.77734375" style="2684" customWidth="1"/>
    <col min="13" max="13" width="2.6640625" style="2683" customWidth="1"/>
    <col min="14" max="14" width="11.88671875" style="2683" customWidth="1"/>
    <col min="15" max="15" width="16.77734375" style="2684" customWidth="1"/>
    <col min="16" max="16" width="2.6640625" style="2683" customWidth="1"/>
    <col min="17" max="17" width="11.88671875" style="2683" customWidth="1"/>
    <col min="18" max="18" width="16.77734375" style="2685" customWidth="1"/>
    <col min="19" max="29" width="9" style="907"/>
    <col min="30" max="16384" width="9" style="1842"/>
  </cols>
  <sheetData>
    <row r="1" spans="1:29" s="2651" customFormat="1" ht="18" thickBot="1">
      <c r="A1" s="3319" t="s">
        <v>2965</v>
      </c>
      <c r="B1" s="3320"/>
      <c r="C1" s="3320"/>
      <c r="D1" s="3320"/>
      <c r="E1" s="3320"/>
      <c r="F1" s="3320"/>
      <c r="G1" s="332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4.4" thickBot="1">
      <c r="A2" s="2652"/>
      <c r="B2" s="2653"/>
      <c r="C2" s="2654" t="s">
        <v>2961</v>
      </c>
      <c r="D2" s="2655"/>
      <c r="E2" s="2652"/>
      <c r="F2" s="2656"/>
      <c r="G2" s="2654" t="s">
        <v>2962</v>
      </c>
      <c r="H2" s="907"/>
      <c r="I2" s="907"/>
      <c r="J2" s="907"/>
      <c r="K2" s="907"/>
      <c r="L2" s="907"/>
      <c r="M2" s="907"/>
      <c r="N2" s="907"/>
      <c r="O2" s="907"/>
      <c r="P2" s="907"/>
      <c r="Q2" s="907"/>
      <c r="R2" s="907"/>
    </row>
    <row r="3" spans="1:29" ht="39.6">
      <c r="A3" s="2635" t="s">
        <v>2963</v>
      </c>
      <c r="B3" s="2657" t="s">
        <v>2935</v>
      </c>
      <c r="C3" s="3223" t="s">
        <v>3163</v>
      </c>
      <c r="D3" s="2658"/>
      <c r="E3" s="2636" t="s">
        <v>2963</v>
      </c>
      <c r="F3" s="2659" t="s">
        <v>2936</v>
      </c>
      <c r="G3" s="2660" t="s">
        <v>2964</v>
      </c>
      <c r="H3" s="907"/>
      <c r="I3" s="907"/>
      <c r="J3" s="907"/>
      <c r="K3" s="907"/>
      <c r="L3" s="907"/>
      <c r="M3" s="907"/>
      <c r="N3" s="907"/>
      <c r="O3" s="907"/>
      <c r="P3" s="907"/>
      <c r="Q3" s="907"/>
      <c r="R3" s="907"/>
    </row>
    <row r="4" spans="1:29" ht="36">
      <c r="A4" s="2636"/>
      <c r="B4" s="329" t="s">
        <v>2937</v>
      </c>
      <c r="C4" s="3224" t="s">
        <v>3164</v>
      </c>
      <c r="D4" s="2658"/>
      <c r="E4" s="2661"/>
      <c r="F4" s="1527" t="s">
        <v>2938</v>
      </c>
      <c r="G4" s="2662" t="s">
        <v>2939</v>
      </c>
      <c r="H4" s="907"/>
      <c r="I4" s="907"/>
      <c r="J4" s="907"/>
      <c r="K4" s="907"/>
      <c r="L4" s="907"/>
      <c r="M4" s="907"/>
      <c r="N4" s="907"/>
      <c r="O4" s="907"/>
      <c r="P4" s="907"/>
      <c r="Q4" s="907"/>
      <c r="R4" s="907"/>
    </row>
    <row r="5" spans="1:29" ht="24">
      <c r="A5" s="2636"/>
      <c r="B5" s="329" t="s">
        <v>2940</v>
      </c>
      <c r="C5" s="3224" t="s">
        <v>3164</v>
      </c>
      <c r="D5" s="2658"/>
      <c r="E5" s="2661"/>
      <c r="F5" s="329" t="s">
        <v>2941</v>
      </c>
      <c r="G5" s="2662" t="s">
        <v>2942</v>
      </c>
      <c r="H5" s="907"/>
      <c r="I5" s="907"/>
      <c r="J5" s="907"/>
      <c r="K5" s="907"/>
      <c r="L5" s="907"/>
      <c r="M5" s="907"/>
      <c r="N5" s="907"/>
      <c r="O5" s="907"/>
      <c r="P5" s="907"/>
      <c r="Q5" s="907"/>
      <c r="R5" s="907"/>
    </row>
    <row r="6" spans="1:29" ht="24">
      <c r="A6" s="2636"/>
      <c r="B6" s="329" t="s">
        <v>2943</v>
      </c>
      <c r="C6" s="3225" t="s">
        <v>3165</v>
      </c>
      <c r="D6" s="2658"/>
      <c r="E6" s="2661"/>
      <c r="F6" s="329" t="s">
        <v>2944</v>
      </c>
      <c r="G6" s="2662" t="s">
        <v>2945</v>
      </c>
      <c r="H6" s="907"/>
      <c r="I6" s="907"/>
      <c r="J6" s="907"/>
      <c r="K6" s="907"/>
      <c r="L6" s="907"/>
      <c r="M6" s="907"/>
      <c r="N6" s="907"/>
      <c r="O6" s="907"/>
      <c r="P6" s="907"/>
      <c r="Q6" s="907"/>
      <c r="R6" s="907"/>
    </row>
    <row r="7" spans="1:29" ht="36.6" thickBot="1">
      <c r="A7" s="2636"/>
      <c r="B7" s="329" t="s">
        <v>2941</v>
      </c>
      <c r="C7" s="3225" t="s">
        <v>3165</v>
      </c>
      <c r="D7" s="2663"/>
      <c r="E7" s="2664"/>
      <c r="F7" s="2665" t="s">
        <v>2946</v>
      </c>
      <c r="G7" s="2666" t="s">
        <v>2947</v>
      </c>
      <c r="H7" s="907"/>
      <c r="I7" s="907"/>
      <c r="J7" s="907"/>
      <c r="K7" s="907"/>
      <c r="L7" s="907"/>
      <c r="M7" s="907"/>
      <c r="N7" s="907"/>
      <c r="O7" s="907"/>
      <c r="P7" s="907"/>
      <c r="Q7" s="907"/>
      <c r="R7" s="907"/>
    </row>
    <row r="8" spans="1:29">
      <c r="A8" s="2636"/>
      <c r="B8" s="329" t="s">
        <v>2944</v>
      </c>
      <c r="C8" s="3225" t="s">
        <v>3166</v>
      </c>
      <c r="D8" s="2663"/>
      <c r="E8" s="2663"/>
      <c r="F8" s="2667"/>
      <c r="G8" s="2667"/>
      <c r="H8" s="907"/>
      <c r="I8" s="907"/>
      <c r="J8" s="907"/>
      <c r="K8" s="907"/>
      <c r="L8" s="907"/>
      <c r="M8" s="907"/>
      <c r="N8" s="907"/>
      <c r="O8" s="907"/>
      <c r="P8" s="907"/>
      <c r="Q8" s="907"/>
      <c r="R8" s="907"/>
    </row>
    <row r="9" spans="1:29">
      <c r="A9" s="2636"/>
      <c r="B9" s="329" t="s">
        <v>2948</v>
      </c>
      <c r="C9" s="3224" t="s">
        <v>3165</v>
      </c>
      <c r="D9" s="2658"/>
      <c r="E9" s="2663"/>
      <c r="F9" s="2667"/>
      <c r="G9" s="2667"/>
      <c r="H9" s="907"/>
      <c r="I9" s="907"/>
      <c r="J9" s="907"/>
      <c r="K9" s="907"/>
      <c r="L9" s="907"/>
      <c r="M9" s="907"/>
      <c r="N9" s="907"/>
      <c r="O9" s="907"/>
      <c r="P9" s="907"/>
      <c r="Q9" s="907"/>
      <c r="R9" s="907"/>
    </row>
    <row r="10" spans="1:29" s="2673" customFormat="1" ht="14.4" thickBot="1">
      <c r="A10" s="2637"/>
      <c r="B10" s="2668" t="s">
        <v>2949</v>
      </c>
      <c r="C10" s="2669"/>
      <c r="D10" s="2658"/>
      <c r="E10" s="2658"/>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3"/>
      <c r="C11" s="2658"/>
      <c r="D11" s="2658"/>
      <c r="E11" s="2658"/>
      <c r="F11" s="2663"/>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7.399999999999999">
      <c r="A12" s="2674"/>
      <c r="B12" s="2663"/>
      <c r="C12" s="2658"/>
      <c r="D12" s="2676"/>
      <c r="E12" s="2658"/>
      <c r="F12" s="2663"/>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 thickBot="1">
      <c r="A13" s="2682" t="s">
        <v>2966</v>
      </c>
      <c r="B13" s="2676"/>
      <c r="C13" s="2676"/>
      <c r="D13" s="2674"/>
      <c r="E13" s="2676"/>
      <c r="F13" s="2676"/>
      <c r="G13" s="2676"/>
    </row>
    <row r="14" spans="1:29" ht="14.4" thickBot="1">
      <c r="A14" s="2686"/>
      <c r="B14" s="2686"/>
      <c r="C14" s="2687" t="s">
        <v>2950</v>
      </c>
      <c r="D14" s="2658"/>
      <c r="E14" s="2688"/>
      <c r="F14" s="2688"/>
      <c r="G14" s="2654" t="s">
        <v>2951</v>
      </c>
    </row>
    <row r="15" spans="1:29" ht="39.6">
      <c r="A15" s="2638" t="s">
        <v>2952</v>
      </c>
      <c r="B15" s="2689" t="s">
        <v>2935</v>
      </c>
      <c r="C15" s="2690" t="str">
        <f>C3</f>
        <v>较好</v>
      </c>
      <c r="D15" s="2658"/>
      <c r="E15" s="2639" t="s">
        <v>2953</v>
      </c>
      <c r="F15" s="2689" t="s">
        <v>2954</v>
      </c>
      <c r="G15" s="2691" t="str">
        <f>G3</f>
        <v>估价对象位于XX开发区，园区建设成熟度XX，产业集聚程度XX</v>
      </c>
    </row>
    <row r="16" spans="1:29" ht="39.6">
      <c r="A16" s="2640"/>
      <c r="B16" s="2692" t="s">
        <v>2937</v>
      </c>
      <c r="C16" s="2693" t="str">
        <f>C4</f>
        <v>较好</v>
      </c>
      <c r="D16" s="2658"/>
      <c r="E16" s="2641"/>
      <c r="F16" s="2694" t="s">
        <v>2938</v>
      </c>
      <c r="G16" s="2695" t="str">
        <f>G4</f>
        <v>估价对象周边道路状况、公共交通通达情况、停车便捷程度，综合评价交通便捷度较好</v>
      </c>
    </row>
    <row r="17" spans="1:18">
      <c r="A17" s="2640"/>
      <c r="B17" s="2692" t="s">
        <v>2940</v>
      </c>
      <c r="C17" s="2693" t="str">
        <f>C5</f>
        <v>较好</v>
      </c>
      <c r="D17" s="2663"/>
      <c r="E17" s="2641"/>
      <c r="F17" s="2694" t="s">
        <v>2955</v>
      </c>
      <c r="G17" s="2696"/>
    </row>
    <row r="18" spans="1:18" ht="39.6">
      <c r="A18" s="2640"/>
      <c r="B18" s="2694" t="s">
        <v>2943</v>
      </c>
      <c r="C18" s="2695" t="str">
        <f>C6</f>
        <v>较好</v>
      </c>
      <c r="D18" s="2663"/>
      <c r="E18" s="2641"/>
      <c r="F18" s="2694" t="s">
        <v>2946</v>
      </c>
      <c r="G18" s="2695" t="str">
        <f>G7</f>
        <v>该园区内是否有污染型企业，绿化情况，卫生条件，整体环境状况判断</v>
      </c>
    </row>
    <row r="19" spans="1:18" ht="26.4">
      <c r="A19" s="2640"/>
      <c r="B19" s="2694" t="s">
        <v>2956</v>
      </c>
      <c r="C19" s="2696"/>
      <c r="D19" s="2658"/>
      <c r="E19" s="2641"/>
      <c r="F19" s="329" t="s">
        <v>2941</v>
      </c>
      <c r="G19" s="2695" t="str">
        <f>G5</f>
        <v>估价对象所在区域公共配套设施齐备情况</v>
      </c>
    </row>
    <row r="20" spans="1:18" ht="26.4">
      <c r="A20" s="2640"/>
      <c r="B20" s="2694" t="s">
        <v>2957</v>
      </c>
      <c r="C20" s="2693" t="str">
        <f>C9</f>
        <v>较好</v>
      </c>
      <c r="D20" s="2663"/>
      <c r="E20" s="2641"/>
      <c r="F20" s="329" t="s">
        <v>2944</v>
      </c>
      <c r="G20" s="2695" t="str">
        <f>G6</f>
        <v>估价对象所在区域基础设施水平</v>
      </c>
    </row>
    <row r="21" spans="1:18">
      <c r="A21" s="2640"/>
      <c r="B21" s="329" t="s">
        <v>2941</v>
      </c>
      <c r="C21" s="2695" t="str">
        <f>C7</f>
        <v>较好</v>
      </c>
      <c r="D21" s="2658"/>
      <c r="E21" s="2641"/>
      <c r="F21" s="2694" t="s">
        <v>2958</v>
      </c>
      <c r="G21" s="2697"/>
    </row>
    <row r="22" spans="1:18" ht="13.5" customHeight="1">
      <c r="A22" s="2640"/>
      <c r="B22" s="329" t="s">
        <v>2944</v>
      </c>
      <c r="C22" s="2695" t="str">
        <f>C8</f>
        <v>七通</v>
      </c>
      <c r="D22" s="2658"/>
      <c r="E22" s="2641"/>
      <c r="F22" s="2694" t="s">
        <v>2949</v>
      </c>
      <c r="G22" s="2696"/>
    </row>
    <row r="23" spans="1:18" s="907" customFormat="1" ht="14.4" thickBot="1">
      <c r="A23" s="2640"/>
      <c r="B23" s="2694" t="s">
        <v>2958</v>
      </c>
      <c r="C23" s="2697"/>
      <c r="D23" s="1897"/>
      <c r="E23" s="2642"/>
      <c r="F23" s="2698" t="s">
        <v>2959</v>
      </c>
      <c r="G23" s="2699"/>
      <c r="H23" s="2683"/>
      <c r="I23" s="2684"/>
      <c r="J23" s="2683"/>
      <c r="K23" s="2683"/>
      <c r="L23" s="2684"/>
      <c r="M23" s="2683"/>
      <c r="N23" s="2683"/>
      <c r="O23" s="2684"/>
      <c r="P23" s="2683"/>
      <c r="Q23" s="2683"/>
      <c r="R23" s="2685"/>
    </row>
    <row r="24" spans="1:18" s="907" customFormat="1" ht="14.4" thickBot="1">
      <c r="A24" s="2643"/>
      <c r="B24" s="2698" t="s">
        <v>2960</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05" customWidth="1"/>
    <col min="2" max="9" width="15.77734375" style="2705" customWidth="1"/>
    <col min="10" max="16384" width="9" style="2705"/>
  </cols>
  <sheetData>
    <row r="1" spans="1:11" ht="16.2">
      <c r="A1" s="2704" t="s">
        <v>1271</v>
      </c>
      <c r="B1" s="2704">
        <f>SUM(B14:B23)</f>
        <v>11501.220000000001</v>
      </c>
      <c r="C1" s="2881"/>
      <c r="D1" s="2881"/>
      <c r="E1" s="2881"/>
      <c r="F1" s="2881"/>
      <c r="G1" s="2882"/>
      <c r="H1" s="2883"/>
      <c r="I1" s="2883"/>
      <c r="J1" s="2883"/>
      <c r="K1" s="2883"/>
    </row>
    <row r="2" spans="1:11" ht="16.2">
      <c r="A2" s="2704" t="s">
        <v>1259</v>
      </c>
      <c r="B2" s="2704">
        <f>SUM(C14:C23)</f>
        <v>732.75</v>
      </c>
      <c r="C2" s="2881"/>
      <c r="D2" s="2881"/>
      <c r="E2" s="2881"/>
      <c r="F2" s="2881"/>
      <c r="G2" s="2882"/>
      <c r="H2" s="2883"/>
      <c r="I2" s="2883"/>
      <c r="J2" s="2883"/>
      <c r="K2" s="2883"/>
    </row>
    <row r="3" spans="1:11" ht="15.6">
      <c r="A3" s="2704" t="s">
        <v>1268</v>
      </c>
      <c r="B3" s="2706">
        <f>项目基本情况!D3</f>
        <v>44572</v>
      </c>
      <c r="C3" s="2881"/>
      <c r="D3" s="2881"/>
      <c r="E3" s="2881"/>
      <c r="F3" s="2881"/>
      <c r="G3" s="2882"/>
      <c r="H3" s="2883"/>
      <c r="I3" s="2883"/>
      <c r="J3" s="2883"/>
      <c r="K3" s="2883"/>
    </row>
    <row r="4" spans="1:11" ht="31.2">
      <c r="A4" s="2704" t="s">
        <v>1267</v>
      </c>
      <c r="B4" s="2704" t="s">
        <v>1266</v>
      </c>
      <c r="C4" s="2704" t="s">
        <v>1265</v>
      </c>
      <c r="D4" s="2704" t="s">
        <v>1264</v>
      </c>
      <c r="E4" s="2881"/>
      <c r="F4" s="2882"/>
      <c r="G4" s="2882"/>
      <c r="H4" s="2883"/>
      <c r="I4" s="2883"/>
      <c r="J4" s="2883"/>
      <c r="K4" s="2883"/>
    </row>
    <row r="5" spans="1:11" ht="15.6">
      <c r="A5" s="2704" t="s">
        <v>1263</v>
      </c>
      <c r="B5" s="2704">
        <f ca="1">SUM(D14:D23)</f>
        <v>40642</v>
      </c>
      <c r="C5" s="2704">
        <f ca="1">ROUND(B5*10000/$B$1,0)</f>
        <v>35337</v>
      </c>
      <c r="D5" s="2704">
        <f ca="1">ROUND(B5*10000/$B$2,0)</f>
        <v>554650</v>
      </c>
      <c r="E5" s="2881"/>
      <c r="F5" s="2882"/>
      <c r="G5" s="2882"/>
      <c r="H5" s="2883"/>
      <c r="I5" s="2883"/>
      <c r="J5" s="2883"/>
      <c r="K5" s="2883"/>
    </row>
    <row r="6" spans="1:11" ht="15.6">
      <c r="A6" s="2704" t="s">
        <v>1262</v>
      </c>
      <c r="B6" s="2704">
        <f ca="1">SUM(G14:G23)</f>
        <v>40642</v>
      </c>
      <c r="C6" s="2704">
        <f ca="1">ROUND(B6*10000/$B$1,0)</f>
        <v>35337</v>
      </c>
      <c r="D6" s="2704">
        <f ca="1">ROUND(B6*10000/$B$2,0)</f>
        <v>554650</v>
      </c>
      <c r="E6" s="2881"/>
      <c r="F6" s="2882"/>
      <c r="G6" s="2882"/>
      <c r="H6" s="2883"/>
      <c r="I6" s="2883"/>
      <c r="J6" s="2883"/>
      <c r="K6" s="2883"/>
    </row>
    <row r="7" spans="1:11" ht="15.6">
      <c r="A7" s="2704" t="s">
        <v>1270</v>
      </c>
      <c r="B7" s="2704">
        <f>SUM(H14:H23)</f>
        <v>0</v>
      </c>
      <c r="C7" s="2704">
        <f>ROUND(B7*10000/$B$1,0)</f>
        <v>0</v>
      </c>
      <c r="D7" s="2704">
        <f>ROUND(B7*10000/$B$2,0)</f>
        <v>0</v>
      </c>
      <c r="E7" s="2881"/>
      <c r="F7" s="2882"/>
      <c r="G7" s="2882"/>
      <c r="H7" s="2883"/>
      <c r="I7" s="2883"/>
      <c r="J7" s="2883"/>
      <c r="K7" s="2883"/>
    </row>
    <row r="8" spans="1:11" ht="15.6">
      <c r="A8" s="2704" t="s">
        <v>1193</v>
      </c>
      <c r="B8" s="2704">
        <f>SUM(I14:I23)</f>
        <v>0</v>
      </c>
      <c r="C8" s="2704">
        <f>ROUND(B8*10000/$B$1,0)</f>
        <v>0</v>
      </c>
      <c r="D8" s="2704">
        <f>ROUND(B8*10000/$B$2,0)</f>
        <v>0</v>
      </c>
      <c r="E8" s="2881"/>
      <c r="F8" s="2882"/>
      <c r="G8" s="2882"/>
      <c r="H8" s="2883"/>
      <c r="I8" s="2883"/>
      <c r="J8" s="2883"/>
      <c r="K8" s="2883"/>
    </row>
    <row r="9" spans="1:11" ht="15.6">
      <c r="A9" s="2704" t="s">
        <v>1261</v>
      </c>
      <c r="B9" s="2712"/>
      <c r="C9" s="2881"/>
      <c r="D9" s="2881"/>
      <c r="E9" s="2881"/>
      <c r="F9" s="2882"/>
      <c r="G9" s="2882"/>
      <c r="H9" s="2883"/>
      <c r="I9" s="2883"/>
      <c r="J9" s="2883"/>
      <c r="K9" s="2883"/>
    </row>
    <row r="10" spans="1:11" ht="15.6">
      <c r="A10" s="2704" t="s">
        <v>1260</v>
      </c>
      <c r="B10" s="2712"/>
      <c r="C10" s="2881"/>
      <c r="D10" s="2881"/>
      <c r="E10" s="2881"/>
      <c r="F10" s="2882"/>
      <c r="G10" s="2882"/>
      <c r="H10" s="2883"/>
      <c r="I10" s="2883"/>
      <c r="J10" s="2883"/>
      <c r="K10" s="2883"/>
    </row>
    <row r="11" spans="1:11" ht="15.6">
      <c r="A11" s="2704" t="s">
        <v>1276</v>
      </c>
      <c r="B11" s="2712"/>
      <c r="C11" s="2881"/>
      <c r="D11" s="2881"/>
      <c r="E11" s="2881"/>
      <c r="F11" s="2882"/>
      <c r="G11" s="2882"/>
      <c r="H11" s="2883"/>
      <c r="I11" s="2883"/>
      <c r="J11" s="2883"/>
      <c r="K11" s="2883"/>
    </row>
    <row r="12" spans="1:11" ht="15.6">
      <c r="A12" s="2881"/>
      <c r="B12" s="2881"/>
      <c r="C12" s="2881"/>
      <c r="D12" s="2881"/>
      <c r="E12" s="2881"/>
      <c r="F12" s="2882"/>
      <c r="G12" s="2882"/>
      <c r="H12" s="2883"/>
      <c r="I12" s="2883"/>
      <c r="J12" s="2883"/>
      <c r="K12" s="2883"/>
    </row>
    <row r="13" spans="1:11" ht="31.8">
      <c r="A13" s="2707" t="s">
        <v>1275</v>
      </c>
      <c r="B13" s="2708" t="s">
        <v>1272</v>
      </c>
      <c r="C13" s="2708" t="s">
        <v>1274</v>
      </c>
      <c r="D13" s="2708" t="s">
        <v>1273</v>
      </c>
      <c r="E13" s="2704" t="s">
        <v>1265</v>
      </c>
      <c r="F13" s="2704" t="s">
        <v>1264</v>
      </c>
      <c r="G13" s="2708" t="s">
        <v>1258</v>
      </c>
      <c r="H13" s="2708" t="s">
        <v>1269</v>
      </c>
      <c r="I13" s="2708" t="s">
        <v>1257</v>
      </c>
      <c r="J13" s="2882"/>
      <c r="K13" s="2883"/>
    </row>
    <row r="14" spans="1:11" ht="15.6">
      <c r="A14" s="2709" t="s">
        <v>1256</v>
      </c>
      <c r="B14" s="2710">
        <f>结果表!B118</f>
        <v>11501.220000000001</v>
      </c>
      <c r="C14" s="2710">
        <f>结果表!C118</f>
        <v>732.75</v>
      </c>
      <c r="D14" s="2710">
        <f ca="1">结果表!H118</f>
        <v>40642</v>
      </c>
      <c r="E14" s="2710">
        <f ca="1">ROUND(D14*10000/B14,0)</f>
        <v>35337</v>
      </c>
      <c r="F14" s="2710">
        <f ca="1">ROUND(D14*10000/C14,0)</f>
        <v>554650</v>
      </c>
      <c r="G14" s="2710">
        <f ca="1">结果表!D122</f>
        <v>40642</v>
      </c>
      <c r="H14" s="2710" t="str">
        <f>结果表!D124</f>
        <v>——</v>
      </c>
      <c r="I14" s="2710" t="str">
        <f>结果表!D126</f>
        <v>——</v>
      </c>
      <c r="J14" s="2882"/>
      <c r="K14" s="2883"/>
    </row>
    <row r="15" spans="1:11" ht="15.6">
      <c r="A15" s="2709" t="s">
        <v>1255</v>
      </c>
      <c r="B15" s="2711"/>
      <c r="C15" s="2711"/>
      <c r="D15" s="2711"/>
      <c r="E15" s="2710" t="e">
        <f t="shared" ref="E15:E23" si="0">ROUND(D15*10000/B15,0)</f>
        <v>#DIV/0!</v>
      </c>
      <c r="F15" s="2710" t="e">
        <f t="shared" ref="F15:F23" si="1">ROUND(D15*10000/C15,0)</f>
        <v>#DIV/0!</v>
      </c>
      <c r="G15" s="1471"/>
      <c r="H15" s="1471"/>
      <c r="I15" s="2711"/>
      <c r="J15" s="2882"/>
      <c r="K15" s="2883"/>
    </row>
    <row r="16" spans="1:11" ht="15.6">
      <c r="A16" s="2709" t="s">
        <v>1254</v>
      </c>
      <c r="B16" s="2711"/>
      <c r="C16" s="2711"/>
      <c r="D16" s="2711"/>
      <c r="E16" s="2710" t="e">
        <f t="shared" si="0"/>
        <v>#DIV/0!</v>
      </c>
      <c r="F16" s="2710" t="e">
        <f t="shared" si="1"/>
        <v>#DIV/0!</v>
      </c>
      <c r="G16" s="1471"/>
      <c r="H16" s="1471"/>
      <c r="I16" s="2711"/>
      <c r="J16" s="2883"/>
      <c r="K16" s="2883"/>
    </row>
    <row r="17" spans="1:11" ht="15.6">
      <c r="A17" s="2709" t="s">
        <v>1253</v>
      </c>
      <c r="B17" s="2711"/>
      <c r="C17" s="2711"/>
      <c r="D17" s="2711"/>
      <c r="E17" s="2710" t="e">
        <f t="shared" si="0"/>
        <v>#DIV/0!</v>
      </c>
      <c r="F17" s="2710" t="e">
        <f t="shared" si="1"/>
        <v>#DIV/0!</v>
      </c>
      <c r="G17" s="1471"/>
      <c r="H17" s="1471"/>
      <c r="I17" s="2711"/>
      <c r="J17" s="2883"/>
      <c r="K17" s="2883"/>
    </row>
    <row r="18" spans="1:11" ht="15.6">
      <c r="A18" s="2709" t="s">
        <v>1252</v>
      </c>
      <c r="B18" s="2711"/>
      <c r="C18" s="2711"/>
      <c r="D18" s="2711"/>
      <c r="E18" s="2710" t="e">
        <f t="shared" si="0"/>
        <v>#DIV/0!</v>
      </c>
      <c r="F18" s="2710" t="e">
        <f t="shared" si="1"/>
        <v>#DIV/0!</v>
      </c>
      <c r="G18" s="2711"/>
      <c r="H18" s="2711"/>
      <c r="I18" s="2711"/>
      <c r="J18" s="2883"/>
      <c r="K18" s="2883"/>
    </row>
    <row r="19" spans="1:11" ht="15.6">
      <c r="A19" s="2709" t="s">
        <v>1251</v>
      </c>
      <c r="B19" s="2711"/>
      <c r="C19" s="2711"/>
      <c r="D19" s="2711"/>
      <c r="E19" s="2710" t="e">
        <f t="shared" si="0"/>
        <v>#DIV/0!</v>
      </c>
      <c r="F19" s="2710" t="e">
        <f t="shared" si="1"/>
        <v>#DIV/0!</v>
      </c>
      <c r="G19" s="2711"/>
      <c r="H19" s="2711"/>
      <c r="I19" s="2711"/>
      <c r="J19" s="2883"/>
      <c r="K19" s="2883"/>
    </row>
    <row r="20" spans="1:11" ht="15.6">
      <c r="A20" s="2709" t="s">
        <v>1250</v>
      </c>
      <c r="B20" s="2711"/>
      <c r="C20" s="2711"/>
      <c r="D20" s="2711"/>
      <c r="E20" s="2710" t="e">
        <f t="shared" si="0"/>
        <v>#DIV/0!</v>
      </c>
      <c r="F20" s="2710" t="e">
        <f t="shared" si="1"/>
        <v>#DIV/0!</v>
      </c>
      <c r="G20" s="2711"/>
      <c r="H20" s="2711"/>
      <c r="I20" s="2711"/>
      <c r="J20" s="2883"/>
      <c r="K20" s="2883"/>
    </row>
    <row r="21" spans="1:11" ht="15.6">
      <c r="A21" s="2709" t="s">
        <v>1249</v>
      </c>
      <c r="B21" s="2711"/>
      <c r="C21" s="2711"/>
      <c r="D21" s="2711"/>
      <c r="E21" s="2710" t="e">
        <f t="shared" si="0"/>
        <v>#DIV/0!</v>
      </c>
      <c r="F21" s="2710" t="e">
        <f t="shared" si="1"/>
        <v>#DIV/0!</v>
      </c>
      <c r="G21" s="2711"/>
      <c r="H21" s="2711"/>
      <c r="I21" s="2711"/>
      <c r="J21" s="2883"/>
      <c r="K21" s="2883"/>
    </row>
    <row r="22" spans="1:11" ht="15.6">
      <c r="A22" s="2709" t="s">
        <v>1248</v>
      </c>
      <c r="B22" s="2711"/>
      <c r="C22" s="2711"/>
      <c r="D22" s="2711"/>
      <c r="E22" s="2710" t="e">
        <f t="shared" si="0"/>
        <v>#DIV/0!</v>
      </c>
      <c r="F22" s="2710" t="e">
        <f t="shared" si="1"/>
        <v>#DIV/0!</v>
      </c>
      <c r="G22" s="2711"/>
      <c r="H22" s="2711"/>
      <c r="I22" s="2711"/>
      <c r="J22" s="2883"/>
      <c r="K22" s="2883"/>
    </row>
    <row r="23" spans="1:11" ht="15.6">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6" sqref="K26"/>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1887</v>
      </c>
      <c r="B1" s="1903"/>
      <c r="C1" s="1904"/>
      <c r="D1" s="1903"/>
      <c r="E1" s="1903"/>
      <c r="F1" s="1905" t="s">
        <v>1888</v>
      </c>
      <c r="G1" s="1716" t="s">
        <v>3134</v>
      </c>
      <c r="H1" s="1906" t="str">
        <f>IF(G1="现房","——","估价对象范围")</f>
        <v>——</v>
      </c>
      <c r="I1" s="1907" t="s">
        <v>3178</v>
      </c>
    </row>
    <row r="2" spans="1:12" ht="21.75" customHeight="1" thickBot="1">
      <c r="A2" s="3391" t="str">
        <f>项目基本情况!S2</f>
        <v>北京市松榆南路52、54、56号房地产</v>
      </c>
      <c r="B2" s="3392"/>
      <c r="C2" s="3392"/>
      <c r="D2" s="3392"/>
      <c r="E2" s="3392"/>
      <c r="F2" s="3392"/>
      <c r="G2" s="3392"/>
      <c r="H2" s="3392"/>
      <c r="I2" s="3393"/>
    </row>
    <row r="3" spans="1:12" ht="13.2">
      <c r="A3" s="3395" t="s">
        <v>1889</v>
      </c>
      <c r="B3" s="3396"/>
      <c r="C3" s="3396"/>
      <c r="D3" s="3396"/>
      <c r="E3" s="3396"/>
      <c r="F3" s="3396"/>
      <c r="G3" s="3396"/>
      <c r="H3" s="3396"/>
      <c r="I3" s="3396"/>
    </row>
    <row r="4" spans="1:12" ht="14.4">
      <c r="A4" s="1910" t="s">
        <v>1890</v>
      </c>
      <c r="B4" s="1911" t="s">
        <v>1891</v>
      </c>
      <c r="C4" s="1912" t="s">
        <v>3179</v>
      </c>
      <c r="D4" s="1912" t="s">
        <v>3208</v>
      </c>
      <c r="E4" s="3400" t="s">
        <v>1892</v>
      </c>
      <c r="F4" s="3401"/>
      <c r="G4" s="3401"/>
      <c r="H4" s="3401"/>
      <c r="I4" s="340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6" t="s">
        <v>1893</v>
      </c>
      <c r="B5" s="3394">
        <v>25</v>
      </c>
      <c r="C5" s="3397"/>
      <c r="D5" s="3385"/>
      <c r="E5" s="136" t="s">
        <v>1894</v>
      </c>
      <c r="F5" s="1913"/>
      <c r="G5" s="1913"/>
      <c r="H5" s="1913"/>
      <c r="I5" s="1527"/>
    </row>
    <row r="6" spans="1:12" ht="13.2">
      <c r="A6" s="3336"/>
      <c r="B6" s="3394"/>
      <c r="C6" s="3399"/>
      <c r="D6" s="3385"/>
      <c r="E6" s="136" t="s">
        <v>1895</v>
      </c>
      <c r="F6" s="1913"/>
      <c r="G6" s="1913"/>
      <c r="H6" s="1913"/>
      <c r="I6" s="1527"/>
    </row>
    <row r="7" spans="1:12" ht="13.2">
      <c r="A7" s="3336"/>
      <c r="B7" s="3394"/>
      <c r="C7" s="3398"/>
      <c r="D7" s="3385"/>
      <c r="E7" s="136" t="s">
        <v>1896</v>
      </c>
      <c r="F7" s="1913"/>
      <c r="G7" s="1913"/>
      <c r="H7" s="1913"/>
      <c r="I7" s="1527"/>
    </row>
    <row r="8" spans="1:12" ht="13.2">
      <c r="A8" s="3336" t="s">
        <v>1897</v>
      </c>
      <c r="B8" s="3394">
        <v>15</v>
      </c>
      <c r="C8" s="3397"/>
      <c r="D8" s="3385"/>
      <c r="E8" s="136" t="s">
        <v>1898</v>
      </c>
      <c r="F8" s="1913"/>
      <c r="G8" s="1913"/>
      <c r="H8" s="1913"/>
      <c r="I8" s="1527"/>
    </row>
    <row r="9" spans="1:12" ht="13.2">
      <c r="A9" s="3336"/>
      <c r="B9" s="3394"/>
      <c r="C9" s="3398"/>
      <c r="D9" s="3385"/>
      <c r="E9" s="136" t="s">
        <v>1899</v>
      </c>
      <c r="F9" s="1913"/>
      <c r="G9" s="1913"/>
      <c r="H9" s="1913"/>
      <c r="I9" s="1527"/>
    </row>
    <row r="10" spans="1:12" ht="13.2">
      <c r="A10" s="3336" t="s">
        <v>1900</v>
      </c>
      <c r="B10" s="3394">
        <v>15</v>
      </c>
      <c r="C10" s="3397"/>
      <c r="D10" s="3385"/>
      <c r="E10" s="136" t="s">
        <v>1901</v>
      </c>
      <c r="F10" s="1913"/>
      <c r="G10" s="1913"/>
      <c r="H10" s="1913"/>
      <c r="I10" s="1527"/>
    </row>
    <row r="11" spans="1:12" ht="13.2">
      <c r="A11" s="3336"/>
      <c r="B11" s="3394"/>
      <c r="C11" s="3398"/>
      <c r="D11" s="3385"/>
      <c r="E11" s="136" t="s">
        <v>1902</v>
      </c>
      <c r="F11" s="1913"/>
      <c r="G11" s="1913"/>
      <c r="H11" s="1913"/>
      <c r="I11" s="1527"/>
    </row>
    <row r="12" spans="1:12" ht="13.2">
      <c r="A12" s="3336" t="s">
        <v>1903</v>
      </c>
      <c r="B12" s="3394">
        <v>15</v>
      </c>
      <c r="C12" s="3397"/>
      <c r="D12" s="3385"/>
      <c r="E12" s="136" t="s">
        <v>1904</v>
      </c>
      <c r="F12" s="1913"/>
      <c r="G12" s="1913"/>
      <c r="H12" s="1913"/>
      <c r="I12" s="1527"/>
    </row>
    <row r="13" spans="1:12" ht="13.2">
      <c r="A13" s="3336"/>
      <c r="B13" s="3394"/>
      <c r="C13" s="3398"/>
      <c r="D13" s="3385"/>
      <c r="E13" s="136" t="s">
        <v>1905</v>
      </c>
      <c r="F13" s="1913"/>
      <c r="G13" s="1913"/>
      <c r="H13" s="1913"/>
      <c r="I13" s="1527"/>
    </row>
    <row r="14" spans="1:12" ht="13.2">
      <c r="A14" s="3336" t="s">
        <v>1906</v>
      </c>
      <c r="B14" s="3394">
        <v>30</v>
      </c>
      <c r="C14" s="3397">
        <v>5</v>
      </c>
      <c r="D14" s="3385">
        <v>5</v>
      </c>
      <c r="E14" s="136" t="s">
        <v>1907</v>
      </c>
      <c r="F14" s="1913"/>
      <c r="G14" s="1913"/>
      <c r="H14" s="1913"/>
      <c r="I14" s="1527"/>
    </row>
    <row r="15" spans="1:12" ht="13.2">
      <c r="A15" s="3336"/>
      <c r="B15" s="3394"/>
      <c r="C15" s="3399"/>
      <c r="D15" s="3385"/>
      <c r="E15" s="136" t="s">
        <v>1908</v>
      </c>
      <c r="F15" s="1913"/>
      <c r="G15" s="1913"/>
      <c r="H15" s="1913"/>
      <c r="I15" s="1527"/>
    </row>
    <row r="16" spans="1:12" ht="13.2">
      <c r="A16" s="3336"/>
      <c r="B16" s="3394"/>
      <c r="C16" s="3398"/>
      <c r="D16" s="3385"/>
      <c r="E16" s="136" t="s">
        <v>1909</v>
      </c>
      <c r="F16" s="1913"/>
      <c r="G16" s="1913"/>
      <c r="H16" s="1913"/>
      <c r="I16" s="1527"/>
    </row>
    <row r="17" spans="1:36" ht="14.4">
      <c r="A17" s="1914" t="s">
        <v>1910</v>
      </c>
      <c r="B17" s="60"/>
      <c r="C17" s="137">
        <f>SUM(C5:C16)</f>
        <v>5</v>
      </c>
      <c r="D17" s="137">
        <f>SUM(D5:D16)</f>
        <v>5</v>
      </c>
      <c r="E17" s="134"/>
      <c r="F17" s="134"/>
      <c r="G17" s="134"/>
      <c r="H17" s="134"/>
      <c r="I17" s="134"/>
      <c r="K17" s="308"/>
      <c r="L17" s="308" t="s">
        <v>1911</v>
      </c>
      <c r="M17" s="308" t="s">
        <v>1912</v>
      </c>
    </row>
    <row r="18" spans="1:36" ht="31.95" customHeight="1" thickBot="1">
      <c r="A18" s="1915" t="s">
        <v>1913</v>
      </c>
      <c r="B18" s="1916"/>
      <c r="C18" s="138">
        <f>ROUND(C17/SUM(C17:D17),2)</f>
        <v>0.5</v>
      </c>
      <c r="D18" s="138">
        <f>1-C18</f>
        <v>0.5</v>
      </c>
      <c r="E18" s="3416" t="s">
        <v>2810</v>
      </c>
      <c r="F18" s="3417"/>
      <c r="G18" s="3417"/>
      <c r="H18" s="3417"/>
      <c r="I18" s="3417"/>
      <c r="K18" s="308" t="s">
        <v>1914</v>
      </c>
      <c r="L18" s="308">
        <f>IF(C1="",'数据-汇总表'!E3,SUMIF(项目类型,C1,'数据-汇总表'!E17:E26)+SUMIF(项目类型,C1,'数据-汇总表'!I17:I26))</f>
        <v>11501.220000000001</v>
      </c>
      <c r="M18" s="308">
        <f>IF(C1="",'数据-汇总表'!E3,SUMIF(项目类型,C1,'数据-汇总表'!E17:E26))</f>
        <v>11501.220000000001</v>
      </c>
    </row>
    <row r="19" spans="1:36" ht="14.4">
      <c r="A19" s="1917" t="s">
        <v>1915</v>
      </c>
      <c r="B19" s="1918" t="s">
        <v>1916</v>
      </c>
      <c r="C19" s="139">
        <f ca="1">SUMIF(INDIRECT("'"&amp;C4&amp;"'"&amp;"!A:A"),结果表!B19,INDIRECT("'"&amp;C4&amp;"'"&amp;"!B:B"))</f>
        <v>42581</v>
      </c>
      <c r="D19" s="140">
        <f ca="1">SUMIF(INDIRECT("'"&amp;D4&amp;"'"&amp;"!A:A"),结果表!B19,INDIRECT("'"&amp;D4&amp;"'"&amp;"!B:B"))</f>
        <v>38703</v>
      </c>
      <c r="E19" s="1917" t="s">
        <v>1917</v>
      </c>
      <c r="F19" s="1918" t="s">
        <v>1916</v>
      </c>
      <c r="G19" s="141">
        <f ca="1">ROUND(C19*$C$18+D19*$D$18,0)</f>
        <v>40642</v>
      </c>
      <c r="H19" s="1919" t="s">
        <v>1918</v>
      </c>
      <c r="I19" s="134"/>
      <c r="K19" s="308" t="s">
        <v>1919</v>
      </c>
      <c r="L19" s="308">
        <f>IF(C1="",'数据-汇总表'!D3,SUMIF(项目类型,C1,'数据-汇总表'!D17:D26)+SUMIF(项目类型,C1,'数据-汇总表'!H17:H27))</f>
        <v>732.75</v>
      </c>
      <c r="M19" s="308">
        <f>IF(C1="",'数据-汇总表'!D3,SUMIF(项目类型,C1,'数据-汇总表'!D17:D26))</f>
        <v>732.75</v>
      </c>
    </row>
    <row r="20" spans="1:36" ht="14.4">
      <c r="A20" s="1920"/>
      <c r="B20" s="1157" t="s">
        <v>1920</v>
      </c>
      <c r="C20" s="142">
        <f ca="1">SUMIF(INDIRECT("'"&amp;C4&amp;"'"&amp;"!A:A"),结果表!B20,INDIRECT("'"&amp;C4&amp;"'"&amp;"!B:B"))</f>
        <v>37023</v>
      </c>
      <c r="D20" s="143">
        <f ca="1">SUMIF(INDIRECT("'"&amp;D4&amp;"'"&amp;"!A:A"),结果表!B20,INDIRECT("'"&amp;D4&amp;"'"&amp;"!B:B"))</f>
        <v>33651</v>
      </c>
      <c r="E20" s="1920"/>
      <c r="F20" s="1157" t="s">
        <v>1920</v>
      </c>
      <c r="G20" s="144">
        <f ca="1">ROUND(C20*$C$18+D20*$D$18,0)</f>
        <v>35337</v>
      </c>
      <c r="H20" s="917" t="s">
        <v>1921</v>
      </c>
      <c r="I20" s="134"/>
    </row>
    <row r="21" spans="1:36" ht="15" customHeight="1" thickBot="1">
      <c r="A21" s="937"/>
      <c r="B21" s="1921" t="s">
        <v>1922</v>
      </c>
      <c r="C21" s="728">
        <f ca="1">ROUND(C19*10000/L19,0)</f>
        <v>581112</v>
      </c>
      <c r="D21" s="729">
        <f ca="1">ROUND(D19*10000/L19,0)</f>
        <v>528188</v>
      </c>
      <c r="E21" s="937"/>
      <c r="F21" s="1921" t="s">
        <v>1922</v>
      </c>
      <c r="G21" s="145">
        <f ca="1">ROUND(G19*10000/L19,0)</f>
        <v>554650</v>
      </c>
      <c r="H21" s="1922" t="s">
        <v>1921</v>
      </c>
      <c r="I21" s="134"/>
    </row>
    <row r="22" spans="1:36" ht="15" thickBot="1">
      <c r="A22" s="1844" t="s">
        <v>1923</v>
      </c>
      <c r="B22" s="1923"/>
      <c r="C22" s="1924"/>
      <c r="D22" s="730">
        <f ca="1">IF(C19&lt;D19,D19/C19-1,C19/D19-1)</f>
        <v>0.10019895098571174</v>
      </c>
      <c r="E22" s="134"/>
      <c r="F22" s="134"/>
      <c r="G22" s="134"/>
      <c r="H22" s="134"/>
      <c r="I22" s="134"/>
    </row>
    <row r="23" spans="1:36" ht="13.8" thickBot="1">
      <c r="A23" s="1903"/>
      <c r="B23" s="1903"/>
      <c r="C23" s="1903"/>
      <c r="D23" s="1903"/>
      <c r="E23" s="134"/>
      <c r="F23" s="134"/>
      <c r="G23" s="134"/>
      <c r="H23" s="134"/>
      <c r="I23" s="134"/>
    </row>
    <row r="24" spans="1:36" ht="14.4">
      <c r="A24" s="3409" t="s">
        <v>1924</v>
      </c>
      <c r="B24" s="1918" t="s">
        <v>1916</v>
      </c>
      <c r="C24" s="141">
        <f>IF(B30=0,0,D30)</f>
        <v>0</v>
      </c>
      <c r="D24" s="1925"/>
      <c r="E24" s="134"/>
      <c r="F24" s="134"/>
      <c r="G24" s="134"/>
      <c r="H24" s="134"/>
      <c r="I24" s="134"/>
    </row>
    <row r="25" spans="1:36" ht="14.4">
      <c r="A25" s="3410"/>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c r="K26" s="734">
        <v>20</v>
      </c>
    </row>
    <row r="27" spans="1:36" ht="13.8">
      <c r="A27" s="1927"/>
      <c r="B27" s="147">
        <v>0</v>
      </c>
      <c r="C27" s="147">
        <v>0</v>
      </c>
      <c r="D27" s="148">
        <f>ROUND(C27*B27/10000,0)</f>
        <v>0</v>
      </c>
      <c r="E27" s="134"/>
      <c r="F27" s="134"/>
      <c r="G27" s="134"/>
      <c r="H27" s="134"/>
      <c r="I27" s="134"/>
      <c r="K27" s="734">
        <v>44</v>
      </c>
    </row>
    <row r="28" spans="1:36" ht="13.8">
      <c r="A28" s="1927"/>
      <c r="B28" s="147"/>
      <c r="C28" s="147"/>
      <c r="D28" s="148"/>
      <c r="E28" s="134"/>
      <c r="F28" s="134"/>
      <c r="G28" s="134"/>
      <c r="H28" s="134"/>
      <c r="I28" s="134"/>
      <c r="K28" s="734">
        <f>K27*K26</f>
        <v>880</v>
      </c>
    </row>
    <row r="29" spans="1:36" ht="13.8">
      <c r="A29" s="1927"/>
      <c r="B29" s="147"/>
      <c r="C29" s="147"/>
      <c r="D29" s="148"/>
      <c r="E29" s="134"/>
      <c r="F29" s="134"/>
      <c r="G29" s="134"/>
      <c r="H29" s="134"/>
      <c r="I29" s="134"/>
    </row>
    <row r="30" spans="1:36" ht="15" thickBot="1">
      <c r="A30" s="147" t="s">
        <v>1929</v>
      </c>
      <c r="B30" s="147"/>
      <c r="C30" s="147"/>
      <c r="D30" s="147"/>
      <c r="E30" s="2491" t="s">
        <v>2811</v>
      </c>
      <c r="F30" s="134"/>
      <c r="G30" s="134"/>
      <c r="H30" s="134"/>
      <c r="I30" s="134"/>
    </row>
    <row r="31" spans="1:36" s="2497" customFormat="1" ht="26.4"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1930</v>
      </c>
      <c r="B32" s="1930"/>
      <c r="C32" s="149">
        <f ca="1">IF(D32="总价",G19-C24,G20-C25)</f>
        <v>40642</v>
      </c>
      <c r="D32" s="1931" t="s">
        <v>3180</v>
      </c>
      <c r="E32" s="134"/>
      <c r="F32" s="134"/>
      <c r="G32" s="134"/>
      <c r="H32" s="134"/>
      <c r="I32" s="134"/>
    </row>
    <row r="33" spans="1:15" ht="14.4">
      <c r="A33" s="894" t="s">
        <v>1931</v>
      </c>
      <c r="B33" s="1932"/>
      <c r="C33" s="1933"/>
      <c r="D33" s="1934"/>
      <c r="E33" s="1935" t="s">
        <v>1932</v>
      </c>
      <c r="F33" s="1936" t="str">
        <f>IF(D32="楼面单价","取值（单价）","取值（总价）")</f>
        <v>取值（总价）</v>
      </c>
      <c r="G33" s="134"/>
      <c r="H33" s="134"/>
      <c r="I33" s="134"/>
    </row>
    <row r="34" spans="1:15" ht="14.4">
      <c r="A34" s="1937"/>
      <c r="B34" s="1938" t="s">
        <v>1933</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1934</v>
      </c>
      <c r="F34" s="1470"/>
      <c r="G34" s="134"/>
      <c r="H34" s="134"/>
      <c r="I34" s="134"/>
    </row>
    <row r="35" spans="1:15" ht="15" thickBot="1">
      <c r="A35" s="1940"/>
      <c r="B35" s="1941" t="s">
        <v>1935</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1936</v>
      </c>
      <c r="F35" s="159"/>
      <c r="G35" s="134"/>
      <c r="H35" s="134"/>
      <c r="I35" s="134"/>
    </row>
    <row r="36" spans="1:15" ht="15" thickBot="1">
      <c r="A36" s="3386" t="s">
        <v>1937</v>
      </c>
      <c r="B36" s="1943" t="s">
        <v>1938</v>
      </c>
      <c r="C36" s="150"/>
      <c r="D36" s="1944"/>
      <c r="E36" s="1945"/>
      <c r="F36" s="1946"/>
      <c r="G36" s="134"/>
      <c r="H36" s="134"/>
      <c r="I36" s="134"/>
    </row>
    <row r="37" spans="1:15" ht="15" thickBot="1">
      <c r="A37" s="3387"/>
      <c r="B37" s="1830" t="s">
        <v>1939</v>
      </c>
      <c r="C37" s="152"/>
      <c r="D37" s="1273"/>
      <c r="E37" s="1273"/>
      <c r="F37" s="1946"/>
      <c r="G37" s="134"/>
      <c r="H37" s="134"/>
      <c r="I37" s="134"/>
    </row>
    <row r="38" spans="1:15" ht="15" thickBot="1">
      <c r="A38" s="3388"/>
      <c r="B38" s="1947" t="s">
        <v>1940</v>
      </c>
      <c r="C38" s="683"/>
      <c r="D38" s="1948" t="s">
        <v>1941</v>
      </c>
      <c r="E38" s="1273"/>
      <c r="F38" s="1946"/>
      <c r="G38" s="134"/>
      <c r="H38" s="134"/>
      <c r="I38" s="134"/>
    </row>
    <row r="39" spans="1:15" ht="14.4">
      <c r="A39" s="1920" t="s">
        <v>1942</v>
      </c>
      <c r="B39" s="1949" t="s">
        <v>1943</v>
      </c>
      <c r="C39" s="1950" t="s">
        <v>1944</v>
      </c>
      <c r="D39" s="1950" t="s">
        <v>1945</v>
      </c>
      <c r="E39" s="1951" t="s">
        <v>1946</v>
      </c>
      <c r="F39" s="1946"/>
      <c r="G39" s="134"/>
      <c r="H39" s="134"/>
      <c r="I39" s="134"/>
    </row>
    <row r="40" spans="1:15" ht="13.8">
      <c r="A40" s="1952" t="s">
        <v>1947</v>
      </c>
      <c r="B40" s="154"/>
      <c r="C40" s="155"/>
      <c r="D40" s="155"/>
      <c r="E40" s="156"/>
      <c r="F40" s="1946"/>
      <c r="G40" s="134"/>
      <c r="H40" s="134"/>
      <c r="I40" s="134"/>
    </row>
    <row r="41" spans="1:15" ht="13.8">
      <c r="A41" s="1952" t="s">
        <v>1948</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406" t="s">
        <v>1951</v>
      </c>
      <c r="B45" s="3407"/>
      <c r="C45" s="3408"/>
      <c r="D45" s="160">
        <f ca="1">ROUND(H101*F45,0)</f>
        <v>40642</v>
      </c>
      <c r="E45" s="161" t="s">
        <v>1952</v>
      </c>
      <c r="F45" s="162">
        <v>1</v>
      </c>
      <c r="G45" s="163" t="s">
        <v>1953</v>
      </c>
      <c r="H45" s="134"/>
      <c r="I45" s="134"/>
      <c r="J45" s="3323" t="s">
        <v>1954</v>
      </c>
      <c r="K45" s="3323"/>
      <c r="L45" s="3323"/>
      <c r="M45" s="3323"/>
      <c r="N45" s="3323"/>
      <c r="O45" s="3323"/>
    </row>
    <row r="46" spans="1:15" ht="14.25" customHeight="1">
      <c r="A46" s="3403" t="s">
        <v>1955</v>
      </c>
      <c r="B46" s="3404"/>
      <c r="C46" s="3404"/>
      <c r="D46" s="3404"/>
      <c r="E46" s="3404"/>
      <c r="F46" s="3404"/>
      <c r="G46" s="3405"/>
      <c r="H46" s="1962"/>
      <c r="I46" s="164"/>
      <c r="J46" s="2715">
        <v>1</v>
      </c>
      <c r="K46" s="3324" t="s">
        <v>1956</v>
      </c>
      <c r="L46" s="3324"/>
      <c r="M46" s="3325"/>
      <c r="N46" s="3325"/>
      <c r="O46" s="3325"/>
    </row>
    <row r="47" spans="1:15" ht="12" customHeight="1">
      <c r="A47" s="165" t="s">
        <v>1957</v>
      </c>
      <c r="B47" s="166"/>
      <c r="C47" s="167"/>
      <c r="D47" s="1219" t="s">
        <v>1958</v>
      </c>
      <c r="E47" s="308" t="s">
        <v>1959</v>
      </c>
      <c r="F47" s="168" t="s">
        <v>1960</v>
      </c>
      <c r="G47" s="2738" t="s">
        <v>1961</v>
      </c>
      <c r="H47" s="2739"/>
      <c r="I47" s="164"/>
      <c r="J47" s="2715">
        <v>2</v>
      </c>
      <c r="K47" s="3324" t="s">
        <v>1962</v>
      </c>
      <c r="L47" s="3324"/>
      <c r="M47" s="3326">
        <f>'数据-取费表'!B2</f>
        <v>44572</v>
      </c>
      <c r="N47" s="3326"/>
      <c r="O47" s="3326"/>
    </row>
    <row r="48" spans="1:15" ht="26.4">
      <c r="A48" s="3389" t="s">
        <v>1963</v>
      </c>
      <c r="B48" s="3390"/>
      <c r="C48" s="3390"/>
      <c r="D48" s="2517" t="b">
        <f>IF(H48="情况1",0,IF(H48="情况2",D52,IF(H48="情况3",D53,IF(H48="情况4",D54))))</f>
        <v>0</v>
      </c>
      <c r="E48" s="2527" t="str">
        <f>IF(H48="情况4","(销售额-原购置价)×税（费）率","销售额×税（费）率")</f>
        <v>销售额×税（费）率</v>
      </c>
      <c r="F48" s="2740">
        <f>IF(H48="情况1","免征",'数据-取费表'!B41)</f>
        <v>5.6000000000000001E-2</v>
      </c>
      <c r="G48" s="2741" t="s">
        <v>1964</v>
      </c>
      <c r="H48" s="2742"/>
      <c r="I48" s="1962"/>
      <c r="J48" s="2715">
        <v>3</v>
      </c>
      <c r="K48" s="3324" t="s">
        <v>1965</v>
      </c>
      <c r="L48" s="3324"/>
      <c r="M48" s="3327">
        <f ca="1">H101</f>
        <v>40642</v>
      </c>
      <c r="N48" s="3327"/>
      <c r="O48" s="3327"/>
    </row>
    <row r="49" spans="1:35" ht="25.5" customHeight="1">
      <c r="A49" s="2526" t="s">
        <v>1966</v>
      </c>
      <c r="B49" s="3372" t="s">
        <v>1967</v>
      </c>
      <c r="C49" s="3372"/>
      <c r="D49" s="1745">
        <v>0</v>
      </c>
      <c r="E49" s="330" t="s">
        <v>1968</v>
      </c>
      <c r="F49" s="2618" t="s">
        <v>34</v>
      </c>
      <c r="G49" s="3355"/>
      <c r="H49" s="2498" t="s">
        <v>2813</v>
      </c>
      <c r="I49" s="2499"/>
      <c r="J49" s="2715">
        <v>4</v>
      </c>
      <c r="K49" s="3324" t="str">
        <f>IF(项目基本情况!E8="房地产抵押价值","房地产抵押价值","抵押担保权已注销时的房地产抵押价值")</f>
        <v>房地产抵押价值</v>
      </c>
      <c r="L49" s="3324"/>
      <c r="M49" s="3327">
        <f ca="1">IF(项目基本情况!E8="房地产抵押价值",H107,H109)</f>
        <v>40642</v>
      </c>
      <c r="N49" s="3327"/>
      <c r="O49" s="3327"/>
    </row>
    <row r="50" spans="1:35" ht="25.5" customHeight="1">
      <c r="A50" s="2743"/>
      <c r="B50" s="3372" t="s">
        <v>1969</v>
      </c>
      <c r="C50" s="3372"/>
      <c r="D50" s="2744"/>
      <c r="E50" s="338"/>
      <c r="F50" s="2618"/>
      <c r="G50" s="3356"/>
      <c r="H50" s="2500" t="s">
        <v>2814</v>
      </c>
      <c r="I50" s="2499"/>
      <c r="J50" s="3323" t="s">
        <v>1970</v>
      </c>
      <c r="K50" s="3323"/>
      <c r="L50" s="3323"/>
      <c r="M50" s="3323"/>
      <c r="N50" s="3323"/>
      <c r="O50" s="3323"/>
    </row>
    <row r="51" spans="1:35" ht="20.399999999999999" customHeight="1">
      <c r="A51" s="2745"/>
      <c r="B51" s="3372" t="s">
        <v>1971</v>
      </c>
      <c r="C51" s="3372"/>
      <c r="D51" s="1219"/>
      <c r="E51" s="333"/>
      <c r="F51" s="2618"/>
      <c r="G51" s="3357"/>
      <c r="H51" s="2500" t="s">
        <v>2815</v>
      </c>
      <c r="I51" s="2499"/>
      <c r="J51" s="2716" t="s">
        <v>1972</v>
      </c>
      <c r="K51" s="3324" t="s">
        <v>1973</v>
      </c>
      <c r="L51" s="3324"/>
      <c r="M51" s="2716" t="s">
        <v>1974</v>
      </c>
      <c r="N51" s="2716" t="s">
        <v>1975</v>
      </c>
      <c r="O51" s="2716" t="s">
        <v>1976</v>
      </c>
    </row>
    <row r="52" spans="1:35" ht="24" customHeight="1">
      <c r="A52" s="2528" t="s">
        <v>1977</v>
      </c>
      <c r="B52" s="3372" t="s">
        <v>1978</v>
      </c>
      <c r="C52" s="3372"/>
      <c r="D52" s="1219">
        <f ca="1">ROUND(D45*'数据-取费表'!B41/(1+'数据-取费表'!C42),0)</f>
        <v>2168</v>
      </c>
      <c r="E52" s="2527" t="s">
        <v>1979</v>
      </c>
      <c r="F52" s="2746">
        <f>'数据-取费表'!B41</f>
        <v>5.6000000000000001E-2</v>
      </c>
      <c r="G52" s="2747"/>
      <c r="H52" s="2736"/>
      <c r="I52" s="1963"/>
      <c r="J52" s="2715">
        <v>1</v>
      </c>
      <c r="K52" s="3349" t="s">
        <v>1980</v>
      </c>
      <c r="L52" s="3349"/>
      <c r="M52" s="2717" t="b">
        <f>D48</f>
        <v>0</v>
      </c>
      <c r="N52" s="2715" t="str">
        <f>E48</f>
        <v>销售额×税（费）率</v>
      </c>
      <c r="O52" s="2718">
        <f>F48</f>
        <v>5.6000000000000001E-2</v>
      </c>
    </row>
    <row r="53" spans="1:35" ht="12" customHeight="1">
      <c r="A53" s="2528" t="s">
        <v>1981</v>
      </c>
      <c r="B53" s="3373" t="s">
        <v>2970</v>
      </c>
      <c r="C53" s="3374"/>
      <c r="D53" s="1219">
        <f ca="1">ROUND(D45*'数据-取费表'!B41/(1+'数据-取费表'!C42),0)</f>
        <v>2168</v>
      </c>
      <c r="E53" s="2527" t="s">
        <v>1979</v>
      </c>
      <c r="F53" s="2746">
        <f>'数据-取费表'!B41</f>
        <v>5.6000000000000001E-2</v>
      </c>
      <c r="G53" s="2747"/>
      <c r="H53" s="2736"/>
      <c r="I53" s="1963"/>
      <c r="J53" s="2715">
        <v>2</v>
      </c>
      <c r="K53" s="3349" t="s">
        <v>1982</v>
      </c>
      <c r="L53" s="3349"/>
      <c r="M53" s="2717">
        <f t="shared" ref="M53:O54" ca="1" si="0">D55</f>
        <v>20</v>
      </c>
      <c r="N53" s="2715" t="str">
        <f t="shared" si="0"/>
        <v>销售额×税（费）率</v>
      </c>
      <c r="O53" s="2718" t="str">
        <f t="shared" si="0"/>
        <v>免征</v>
      </c>
    </row>
    <row r="54" spans="1:35" ht="12" customHeight="1">
      <c r="A54" s="2528" t="s">
        <v>1983</v>
      </c>
      <c r="B54" s="3373" t="s">
        <v>2971</v>
      </c>
      <c r="C54" s="3374"/>
      <c r="D54" s="1219">
        <f ca="1">C68</f>
        <v>2168</v>
      </c>
      <c r="E54" s="333" t="s">
        <v>1984</v>
      </c>
      <c r="F54" s="2746">
        <f>'数据-取费表'!B41</f>
        <v>5.6000000000000001E-2</v>
      </c>
      <c r="G54" s="2747"/>
      <c r="H54" s="2748"/>
      <c r="I54" s="1963"/>
      <c r="J54" s="2715">
        <v>3</v>
      </c>
      <c r="K54" s="3349" t="s">
        <v>1985</v>
      </c>
      <c r="L54" s="3349"/>
      <c r="M54" s="2717">
        <f t="shared" ca="1" si="0"/>
        <v>23004</v>
      </c>
      <c r="N54" s="2715" t="str">
        <f t="shared" si="0"/>
        <v>增值额×税（费）率</v>
      </c>
      <c r="O54" s="2719" t="str">
        <f t="shared" si="0"/>
        <v>免征</v>
      </c>
    </row>
    <row r="55" spans="1:35" ht="24" customHeight="1">
      <c r="A55" s="3412" t="s">
        <v>1986</v>
      </c>
      <c r="B55" s="3390"/>
      <c r="C55" s="3390"/>
      <c r="D55" s="2517">
        <f ca="1">IF(H55="个人住宅",0,ROUND(D45*I55,0))</f>
        <v>20</v>
      </c>
      <c r="E55" s="2527" t="s">
        <v>1987</v>
      </c>
      <c r="F55" s="2746" t="str">
        <f>IF(H55="正常",I55,"免征")</f>
        <v>免征</v>
      </c>
      <c r="G55" s="2747"/>
      <c r="H55" s="2742"/>
      <c r="I55" s="170">
        <f>'数据-取费表'!B49</f>
        <v>5.0000000000000001E-4</v>
      </c>
      <c r="J55" s="2715">
        <f>IF(H59="非个人房产","",4)</f>
        <v>4</v>
      </c>
      <c r="K55" s="3349" t="str">
        <f>IF(H59="非个人房产","——","个人所得税")</f>
        <v>个人所得税</v>
      </c>
      <c r="L55" s="3349"/>
      <c r="M55" s="2720">
        <f ca="1">D59</f>
        <v>387</v>
      </c>
      <c r="N55" s="2198" t="str">
        <f>E59</f>
        <v>差额计税</v>
      </c>
      <c r="O55" s="2721">
        <f>F59</f>
        <v>0.01</v>
      </c>
    </row>
    <row r="56" spans="1:35" ht="25.2">
      <c r="A56" s="3412" t="s">
        <v>1988</v>
      </c>
      <c r="B56" s="3390"/>
      <c r="C56" s="3390"/>
      <c r="D56" s="2517">
        <f ca="1">IF(H56="个人住宅",D57,D58)</f>
        <v>23004</v>
      </c>
      <c r="E56" s="2527" t="s">
        <v>1989</v>
      </c>
      <c r="F56" s="2746" t="str">
        <f>IF(H56="正常",F58,"免征")</f>
        <v>免征</v>
      </c>
      <c r="G56" s="2749" t="s">
        <v>1990</v>
      </c>
      <c r="H56" s="2750"/>
      <c r="I56" s="1964"/>
      <c r="J56" s="2715" t="str">
        <f>IF(项目基本情况!K6="上海银行",IF(J55="",4,J55+1),"")</f>
        <v/>
      </c>
      <c r="K56" s="3330" t="str">
        <f>IF(项目基本情况!K6="上海银行","其他处置费用","")</f>
        <v/>
      </c>
      <c r="L56" s="3331"/>
      <c r="M56" s="2717" t="str">
        <f>IF(项目基本情况!K6="上海银行",M69,"")</f>
        <v/>
      </c>
      <c r="N56" s="3330" t="str">
        <f>IF(项目基本情况!K6="上海银行","包含处置中涉及的律师、诉讼、拍卖、评估等费用","")</f>
        <v/>
      </c>
      <c r="O56" s="3333"/>
    </row>
    <row r="57" spans="1:35" ht="13.2">
      <c r="A57" s="2528" t="s">
        <v>1966</v>
      </c>
      <c r="B57" s="3373" t="s">
        <v>1991</v>
      </c>
      <c r="C57" s="3374"/>
      <c r="D57" s="1745">
        <v>0</v>
      </c>
      <c r="E57" s="330" t="s">
        <v>1968</v>
      </c>
      <c r="F57" s="308"/>
      <c r="G57" s="2747"/>
      <c r="H57" s="2751"/>
      <c r="I57" s="1964"/>
      <c r="J57" s="3349">
        <f>IF(AND(J55="",J56=""),4,IF(项目基本情况!K6="上海银行",结果表!J56+1,结果表!J55+1))</f>
        <v>5</v>
      </c>
      <c r="K57" s="3349" t="s">
        <v>1992</v>
      </c>
      <c r="L57" s="2722" t="s">
        <v>1993</v>
      </c>
      <c r="M57" s="2723"/>
      <c r="N57" s="2724">
        <f ca="1">SUMIF(M52:M56,"&lt;9e307")</f>
        <v>23411</v>
      </c>
      <c r="O57" s="2725"/>
      <c r="P57" s="2885">
        <f ca="1">N57/M49</f>
        <v>0.5760297229467054</v>
      </c>
    </row>
    <row r="58" spans="1:35" ht="25.2">
      <c r="A58" s="2528" t="s">
        <v>1977</v>
      </c>
      <c r="B58" s="3373" t="s">
        <v>1994</v>
      </c>
      <c r="C58" s="3372"/>
      <c r="D58" s="2517">
        <f ca="1">IF(H58="转让取得",C81,C97)</f>
        <v>23004</v>
      </c>
      <c r="E58" s="2527" t="s">
        <v>1989</v>
      </c>
      <c r="F58" s="308" t="s">
        <v>34</v>
      </c>
      <c r="G58" s="2747"/>
      <c r="H58" s="2750"/>
      <c r="I58" s="1964"/>
      <c r="J58" s="3349"/>
      <c r="K58" s="3349"/>
      <c r="L58" s="2722" t="s">
        <v>1995</v>
      </c>
      <c r="M58" s="2726"/>
      <c r="N58" s="2727" t="str">
        <f ca="1">NUMBERSTRING(INT(N57*10000),2)&amp;"元整"</f>
        <v>贰亿叁仟肆佰壹拾壹万元整</v>
      </c>
      <c r="O58" s="2728"/>
    </row>
    <row r="59" spans="1:35" ht="24.6" thickBot="1">
      <c r="A59" s="3353" t="s">
        <v>1996</v>
      </c>
      <c r="B59" s="3354"/>
      <c r="C59" s="3354"/>
      <c r="D59" s="2752">
        <f ca="1">IF(H59="非个人房产","——",IF(H59="个人住宅（满五唯一有凭证）",0,IF(H59="个人其他（无凭证）",ROUND(D45*F59,0),ROUND(C67*F59,0))))</f>
        <v>387</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1990</v>
      </c>
      <c r="H59" s="2502"/>
      <c r="I59" s="2501" t="s">
        <v>2816</v>
      </c>
      <c r="J59" s="3351">
        <f>J57+1</f>
        <v>6</v>
      </c>
      <c r="K59" s="3349" t="s">
        <v>1997</v>
      </c>
      <c r="L59" s="2715" t="s">
        <v>1993</v>
      </c>
      <c r="M59" s="2729"/>
      <c r="N59" s="2730">
        <f ca="1">M49-N57</f>
        <v>17231</v>
      </c>
      <c r="O59" s="2731"/>
    </row>
    <row r="60" spans="1:35" ht="12" customHeight="1">
      <c r="A60" s="1965"/>
      <c r="B60" s="1903"/>
      <c r="C60" s="1903"/>
      <c r="D60" s="1903"/>
      <c r="E60" s="1733"/>
      <c r="F60" s="1964"/>
      <c r="G60" s="1964"/>
      <c r="H60" s="1966"/>
      <c r="I60" s="134"/>
      <c r="J60" s="3352"/>
      <c r="K60" s="3349"/>
      <c r="L60" s="2722" t="s">
        <v>1995</v>
      </c>
      <c r="M60" s="2726"/>
      <c r="N60" s="2727" t="str">
        <f ca="1">NUMBERSTRING(INT(N59*10000),2)&amp;"元整"</f>
        <v>壹亿柒仟贰佰叁拾壹万元整</v>
      </c>
      <c r="O60" s="2728"/>
    </row>
    <row r="61" spans="1:35" ht="13.8" thickBot="1">
      <c r="A61" s="3411" t="s">
        <v>1998</v>
      </c>
      <c r="B61" s="3411"/>
      <c r="C61" s="3411"/>
      <c r="D61" s="3411"/>
      <c r="E61" s="3411"/>
      <c r="F61" s="1964"/>
      <c r="G61" s="1964"/>
      <c r="H61" s="1966"/>
      <c r="I61" s="134"/>
      <c r="J61" s="2715">
        <f>J59+1</f>
        <v>7</v>
      </c>
      <c r="K61" s="3349" t="s">
        <v>1999</v>
      </c>
      <c r="L61" s="3349"/>
      <c r="M61" s="2732"/>
      <c r="N61" s="2733">
        <f ca="1">ROUND(N59*10000/'数据-汇总表'!E3,0)</f>
        <v>14982</v>
      </c>
      <c r="O61" s="2734"/>
    </row>
    <row r="62" spans="1:35" ht="13.2">
      <c r="A62" s="3368" t="s">
        <v>2000</v>
      </c>
      <c r="B62" s="3369"/>
      <c r="C62" s="2179"/>
      <c r="D62" s="2179" t="s">
        <v>2001</v>
      </c>
      <c r="E62" s="171" t="s">
        <v>2002</v>
      </c>
      <c r="F62" s="1964"/>
      <c r="G62" s="1964"/>
      <c r="H62" s="1966"/>
      <c r="I62" s="134"/>
    </row>
    <row r="63" spans="1:35" ht="13.2">
      <c r="A63" s="178" t="s">
        <v>775</v>
      </c>
      <c r="B63" s="172" t="s">
        <v>2003</v>
      </c>
      <c r="C63" s="2756">
        <f ca="1">ROUND((C64+C65)/(1+'数据-取费表'!C42),0)</f>
        <v>38707</v>
      </c>
      <c r="D63" s="172"/>
      <c r="E63" s="173"/>
      <c r="F63" s="1964"/>
      <c r="G63" s="1964"/>
      <c r="H63" s="1966"/>
      <c r="I63" s="134"/>
      <c r="J63" s="3332" t="s">
        <v>2004</v>
      </c>
      <c r="K63" s="1472" t="s">
        <v>2005</v>
      </c>
      <c r="L63" s="1472">
        <f ca="1">IF(M49&gt;10000,M49*0.5%,IF(AND(M49&gt;1000,M49&lt;=10000),M49*1%,IF(AND(M49&gt;100,M49&lt;=1000),M49*3%,IF(AND(M49&gt;10,M49&lt;=100),M49*5%,M49*8%))))</f>
        <v>203.21</v>
      </c>
      <c r="M63" s="308">
        <f ca="1">ROUND(L63,1)</f>
        <v>203.2</v>
      </c>
      <c r="N63" s="2735"/>
      <c r="Z63" s="1908"/>
      <c r="AI63" s="1909"/>
    </row>
    <row r="64" spans="1:35" ht="14.25" customHeight="1">
      <c r="A64" s="174" t="s">
        <v>770</v>
      </c>
      <c r="B64" s="175" t="s">
        <v>2006</v>
      </c>
      <c r="C64" s="2757">
        <f ca="1">D45</f>
        <v>40642</v>
      </c>
      <c r="D64" s="175" t="s">
        <v>32</v>
      </c>
      <c r="E64" s="177"/>
      <c r="F64" s="1964"/>
      <c r="G64" s="1964"/>
      <c r="H64" s="1966"/>
      <c r="I64" s="134"/>
      <c r="J64" s="3332"/>
      <c r="K64" s="1472" t="s">
        <v>2007</v>
      </c>
      <c r="L64" s="1472">
        <f ca="1">IF(M49&gt;2000,M49*0.5%,IF(AND(M49&gt;1000,M49&lt;=2000),M49*0.6%,IF(AND(M49&gt;500,M49&lt;=1000),M49*0.7%,IF(AND(M49&gt;200,M49&lt;=500),M49*0.8%,IF(AND(M49&gt;100,M49&lt;=200),M49*0.9%,IF(AND(M49&gt;50,M49&lt;=100),M49*1%,IF(AND(M49&gt;20,M49&lt;=50),M49*1.5%,IF(AND(M49&gt;10,M49&lt;=20),M49*2%,IF(AND(M49&gt;1,M49&lt;=10),M49*2.5%)))))))))</f>
        <v>203.21</v>
      </c>
      <c r="M64" s="308">
        <f t="shared" ref="M64:M65" ca="1" si="1">ROUND(L64,1)</f>
        <v>203.2</v>
      </c>
      <c r="N64" s="2736" t="s">
        <v>2008</v>
      </c>
      <c r="Z64" s="1908"/>
      <c r="AI64" s="1909"/>
    </row>
    <row r="65" spans="1:35" ht="14.25" customHeight="1">
      <c r="A65" s="174" t="s">
        <v>771</v>
      </c>
      <c r="B65" s="175" t="s">
        <v>2009</v>
      </c>
      <c r="C65" s="2758"/>
      <c r="D65" s="175"/>
      <c r="E65" s="177"/>
      <c r="F65" s="1964"/>
      <c r="G65" s="1964"/>
      <c r="H65" s="1966"/>
      <c r="I65" s="134"/>
      <c r="J65" s="3332"/>
      <c r="K65" s="1472" t="s">
        <v>2010</v>
      </c>
      <c r="L65" s="1472">
        <f ca="1">IF(M49&gt;1000,M49*0.1%,IF(AND(M49&gt;500,M49&lt;=1000),M49*0.5%,IF(AND(M49&gt;50,M49&lt;=500),M49*1%,IF(AND(M49&gt;1,M49&lt;=50),M49*1.5%))))</f>
        <v>40.642000000000003</v>
      </c>
      <c r="M65" s="308">
        <f t="shared" ca="1" si="1"/>
        <v>40.6</v>
      </c>
      <c r="N65" s="2736" t="s">
        <v>2008</v>
      </c>
      <c r="Z65" s="1908"/>
      <c r="AI65" s="1909"/>
    </row>
    <row r="66" spans="1:35" ht="14.25" customHeight="1">
      <c r="A66" s="178" t="s">
        <v>772</v>
      </c>
      <c r="B66" s="179" t="s">
        <v>2011</v>
      </c>
      <c r="C66" s="2759"/>
      <c r="D66" s="179" t="s">
        <v>32</v>
      </c>
      <c r="E66" s="1479" t="s">
        <v>1277</v>
      </c>
      <c r="F66" s="1964"/>
      <c r="G66" s="1964"/>
      <c r="H66" s="1966"/>
      <c r="I66" s="134"/>
      <c r="J66" s="3332"/>
      <c r="K66" s="1472" t="s">
        <v>2012</v>
      </c>
      <c r="L66" s="1472">
        <f ca="1">M49*0.5%</f>
        <v>203.21</v>
      </c>
      <c r="M66" s="308">
        <f ca="1">IF(L66&gt;0.5,0.5,ROUND(L66,0))</f>
        <v>0.5</v>
      </c>
      <c r="N66" s="2736" t="s">
        <v>2013</v>
      </c>
      <c r="Z66" s="1908"/>
      <c r="AI66" s="1909"/>
    </row>
    <row r="67" spans="1:35" ht="14.25" customHeight="1">
      <c r="A67" s="178" t="s">
        <v>773</v>
      </c>
      <c r="B67" s="179" t="s">
        <v>2014</v>
      </c>
      <c r="C67" s="2760">
        <f ca="1">C63-C66</f>
        <v>38707</v>
      </c>
      <c r="D67" s="175" t="s">
        <v>32</v>
      </c>
      <c r="E67" s="177"/>
      <c r="F67" s="1964"/>
      <c r="G67" s="1964"/>
      <c r="H67" s="1966"/>
      <c r="I67" s="134"/>
      <c r="J67" s="3332"/>
      <c r="K67" s="1472" t="s">
        <v>2015</v>
      </c>
      <c r="L67" s="1472">
        <f ca="1">IF(M49&gt;=10000,(8.25+(M49-10000)*0.01%),IF(AND(M49&gt;=8000,M49&lt;10000),(7.85+(M49-8000)*0.02%),IF(AND(M49&gt;=5000,M49&lt;8000),(6.65+(M49-5000)*0.04%),IF(AND(M49&gt;=2000,M49&lt;5000),(4.25+(PM49-2000)*0.08%),IF(AND(M49&gt;=1000,M49&lt;2000),(2.75+(M49-1000)*0.15%),IF(AND(M49&gt;=100,M49&lt;1000),(0.5+(M49-100)*0.25%),IF(AND(M49&gt;0,M49&lt;100),M49*0.5%)))))))</f>
        <v>11.3142</v>
      </c>
      <c r="M67" s="308">
        <f ca="1">ROUND(L67*0.9,1)</f>
        <v>10.199999999999999</v>
      </c>
      <c r="N67" s="2735"/>
      <c r="Z67" s="1908"/>
      <c r="AI67" s="1909"/>
    </row>
    <row r="68" spans="1:35" ht="14.25" customHeight="1" thickBot="1">
      <c r="A68" s="181" t="s">
        <v>774</v>
      </c>
      <c r="B68" s="182" t="s">
        <v>2016</v>
      </c>
      <c r="C68" s="2761">
        <f ca="1">IF(C67&lt;=0,0,ROUND(C67*D68,0))</f>
        <v>2168</v>
      </c>
      <c r="D68" s="2762">
        <f>'数据-取费表'!B41</f>
        <v>5.6000000000000001E-2</v>
      </c>
      <c r="E68" s="184"/>
      <c r="F68" s="1964"/>
      <c r="G68" s="1964"/>
      <c r="H68" s="1966"/>
      <c r="I68" s="134"/>
      <c r="J68" s="3332"/>
      <c r="K68" s="1472" t="s">
        <v>2017</v>
      </c>
      <c r="L68" s="1472">
        <f ca="1">IF(M49&gt;10000,M49*0.5%,IF(AND(M49&gt;5000,M49&lt;=10000),M49*1%,IF(AND(M49&gt;1000,M49&lt;=5000),M49*2%,IF(AND(M49&gt;200,M49&lt;=1000),M49*3%,M49*5%))))</f>
        <v>203.21</v>
      </c>
      <c r="M68" s="308">
        <f ca="1">ROUND(L68,1)</f>
        <v>203.2</v>
      </c>
      <c r="N68" s="2735"/>
      <c r="Z68" s="1908"/>
      <c r="AI68" s="1909"/>
    </row>
    <row r="69" spans="1:35" s="1928" customFormat="1" ht="16.5" customHeight="1">
      <c r="A69" s="1967"/>
      <c r="B69" s="1968"/>
      <c r="C69" s="1969"/>
      <c r="D69" s="1970"/>
      <c r="E69" s="1971"/>
      <c r="F69" s="1733"/>
      <c r="G69" s="1733"/>
      <c r="H69" s="1732"/>
      <c r="I69" s="1903"/>
      <c r="J69" s="3332"/>
      <c r="K69" s="1472" t="s">
        <v>2018</v>
      </c>
      <c r="L69" s="1472"/>
      <c r="M69" s="308">
        <f ca="1">ROUND(SUM(M63:M68),0)</f>
        <v>661</v>
      </c>
      <c r="N69" s="2737">
        <f ca="1">M69/M49</f>
        <v>1.6263963387628561E-2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376" t="s">
        <v>2019</v>
      </c>
      <c r="B70" s="3377"/>
      <c r="C70" s="3377"/>
      <c r="D70" s="3377"/>
      <c r="E70" s="3377"/>
      <c r="F70" s="3377"/>
      <c r="G70" s="3377"/>
      <c r="H70" s="3377"/>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368" t="s">
        <v>2000</v>
      </c>
      <c r="B71" s="3369"/>
      <c r="C71" s="2179"/>
      <c r="D71" s="2179" t="s">
        <v>2001</v>
      </c>
      <c r="E71" s="185" t="s">
        <v>2002</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2020</v>
      </c>
      <c r="C72" s="2760">
        <f ca="1">ROUND(D45/(1+'数据-取费表'!C42),0)</f>
        <v>38707</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2021</v>
      </c>
      <c r="C73" s="2760">
        <f ca="1">C74+C78</f>
        <v>232</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2023</v>
      </c>
      <c r="C75" s="2763"/>
      <c r="D75" s="175" t="s">
        <v>32</v>
      </c>
      <c r="E75" s="190" t="s">
        <v>2024</v>
      </c>
      <c r="F75" s="2764"/>
      <c r="G75" s="190" t="s">
        <v>2025</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6">
        <v>0.05</v>
      </c>
      <c r="E76" s="3373" t="s">
        <v>2027</v>
      </c>
      <c r="F76" s="3372"/>
      <c r="G76" s="3372"/>
      <c r="H76" s="337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7">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68">
        <f ca="1">ROUND(D45*D78/(1+'数据-取费表'!C42),0)</f>
        <v>232</v>
      </c>
      <c r="D78" s="2769">
        <f>'数据-取费表'!B43</f>
        <v>6.000000000000001E-3</v>
      </c>
      <c r="E78" s="3365" t="s">
        <v>2031</v>
      </c>
      <c r="F78" s="3366"/>
      <c r="G78" s="3366"/>
      <c r="H78" s="3367"/>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2032</v>
      </c>
      <c r="C79" s="2760">
        <f ca="1">C72-C73</f>
        <v>38475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0">
        <f ca="1">IF(C79&lt;=0,0,C79/C73)</f>
        <v>165.8405172413793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2034</v>
      </c>
      <c r="C81" s="2771">
        <f ca="1">ROUND(IF(C79&lt;=0,0,IF(C80&gt;=200%,C79*60%-C73*35%,IF(C80&gt;=100%,C79*50%-C73*15%,IF(C80&gt;=50%,C79*40%-C73*5%,IF(C80&lt;50%,C79*30%,0))))),0)</f>
        <v>23004</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376" t="s">
        <v>2035</v>
      </c>
      <c r="B83" s="3377"/>
      <c r="C83" s="3377"/>
      <c r="D83" s="3377"/>
      <c r="E83" s="3377"/>
      <c r="F83" s="3377"/>
      <c r="G83" s="3377"/>
      <c r="H83" s="337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368" t="s">
        <v>2000</v>
      </c>
      <c r="B84" s="3369"/>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2020</v>
      </c>
      <c r="C85" s="2760">
        <f ca="1">ROUND(D45/(1+'数据-取费表'!C42),0)</f>
        <v>38707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2021</v>
      </c>
      <c r="C86" s="2760">
        <f ca="1">IF(H88="仅含出让金",C87+C90+C91+C92+C93+C94,C87+C91+C92+C93+C94)</f>
        <v>232</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2036</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2037</v>
      </c>
      <c r="C88" s="2774"/>
      <c r="D88" s="2769"/>
      <c r="E88" s="199" t="s">
        <v>2038</v>
      </c>
      <c r="F88" s="2520"/>
      <c r="G88" s="200" t="s">
        <v>2039</v>
      </c>
      <c r="H88" s="1980"/>
      <c r="I88" s="1977"/>
      <c r="J88" s="2713" t="s">
        <v>2967</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2028</v>
      </c>
      <c r="C89" s="2768">
        <f>ROUND(C88*D89,0)</f>
        <v>0</v>
      </c>
      <c r="D89" s="2769">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2041</v>
      </c>
      <c r="C90" s="2774"/>
      <c r="D90" s="2769"/>
      <c r="E90" s="199" t="str">
        <f>IF(H88="-","土地取得成本中已包含该笔费用"," ")</f>
        <v xml:space="preserve"> </v>
      </c>
      <c r="F90" s="2520"/>
      <c r="G90" s="3334" t="s">
        <v>2808</v>
      </c>
      <c r="H90" s="3335"/>
      <c r="I90" s="1977"/>
      <c r="J90" s="2713" t="s">
        <v>2968</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68">
        <f>IF(H91="——",成本法!C33,I91)</f>
        <v>0</v>
      </c>
      <c r="D91" s="2769"/>
      <c r="E91" s="3365" t="s">
        <v>2044</v>
      </c>
      <c r="F91" s="3366"/>
      <c r="G91" s="336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68">
        <f>ROUND((C87+C90+C91)*D92,0)</f>
        <v>0</v>
      </c>
      <c r="D92" s="2775"/>
      <c r="E92" s="3365" t="s">
        <v>2047</v>
      </c>
      <c r="F92" s="3366"/>
      <c r="G92" s="3366"/>
      <c r="H92" s="3367"/>
      <c r="I92" s="1977"/>
      <c r="J92" s="2714" t="s">
        <v>2969</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68">
        <f ca="1">ROUND(D45*D93/(1+'数据-取费表'!C42),0)</f>
        <v>232</v>
      </c>
      <c r="D93" s="2769">
        <f>'数据-取费表'!B43</f>
        <v>6.000000000000001E-3</v>
      </c>
      <c r="E93" s="3365" t="s">
        <v>2031</v>
      </c>
      <c r="F93" s="3366"/>
      <c r="G93" s="3366"/>
      <c r="H93" s="3367"/>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4">
        <f>ROUND((C87+C90+C91)*D94,0)</f>
        <v>0</v>
      </c>
      <c r="D94" s="2769">
        <v>0.2</v>
      </c>
      <c r="E94" s="3413" t="s">
        <v>2051</v>
      </c>
      <c r="F94" s="3414"/>
      <c r="G94" s="3414"/>
      <c r="H94" s="341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2032</v>
      </c>
      <c r="C95" s="2760">
        <f ca="1">ROUND(C85-C86,0)</f>
        <v>38475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0">
        <f ca="1">IF(C95&lt;=0,0,C95/C86)</f>
        <v>165.8405172413793</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2034</v>
      </c>
      <c r="C97" s="2771">
        <f ca="1">ROUND(IF(C95&lt;=0,0,IF(C96&gt;=200%,C95*60%-C86*35%,IF(C96&gt;=100%,C95*50%-C86*15%,IF(C96&gt;=50%,C95*40%-C86*5%,IF(C96&lt;50%,C95*30%,0))))),0)</f>
        <v>23004</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15" t="s">
        <v>2053</v>
      </c>
      <c r="B100" s="3316"/>
      <c r="C100" s="3316"/>
      <c r="D100" s="3350"/>
      <c r="E100" s="3316" t="s">
        <v>2054</v>
      </c>
      <c r="F100" s="3316"/>
      <c r="G100" s="3316"/>
      <c r="H100" s="3350"/>
      <c r="I100" s="134"/>
    </row>
    <row r="101" spans="1:35" ht="18.75" customHeight="1">
      <c r="A101" s="3358" t="s">
        <v>2055</v>
      </c>
      <c r="B101" s="3359"/>
      <c r="C101" s="2777" t="str">
        <f>C4</f>
        <v>成本法</v>
      </c>
      <c r="D101" s="2778" t="str">
        <f>D4</f>
        <v>收益法（汇总）</v>
      </c>
      <c r="E101" s="3328" t="s">
        <v>2056</v>
      </c>
      <c r="F101" s="3329"/>
      <c r="G101" s="1983" t="s">
        <v>2057</v>
      </c>
      <c r="H101" s="2787">
        <f ca="1">H118</f>
        <v>40642</v>
      </c>
      <c r="I101" s="134"/>
    </row>
    <row r="102" spans="1:35" ht="18.75" customHeight="1">
      <c r="A102" s="3360" t="s">
        <v>2058</v>
      </c>
      <c r="B102" s="2776" t="s">
        <v>2057</v>
      </c>
      <c r="C102" s="2777">
        <f ca="1">C19</f>
        <v>42581</v>
      </c>
      <c r="D102" s="2778">
        <f ca="1">D19</f>
        <v>38703</v>
      </c>
      <c r="E102" s="3328"/>
      <c r="F102" s="3329"/>
      <c r="G102" s="1983" t="s">
        <v>2059</v>
      </c>
      <c r="H102" s="2747">
        <f ca="1">I118</f>
        <v>35337</v>
      </c>
      <c r="I102" s="134"/>
    </row>
    <row r="103" spans="1:35" ht="42.75" customHeight="1">
      <c r="A103" s="3360"/>
      <c r="B103" s="2776" t="s">
        <v>2059</v>
      </c>
      <c r="C103" s="2779">
        <f ca="1">C20</f>
        <v>37023</v>
      </c>
      <c r="D103" s="2780">
        <f ca="1">D20</f>
        <v>33651</v>
      </c>
      <c r="E103" s="3321" t="s">
        <v>2060</v>
      </c>
      <c r="F103" s="3322"/>
      <c r="G103" s="1984" t="s">
        <v>2061</v>
      </c>
      <c r="H103" s="2787">
        <f>IF(D36="正常操作",H104+H105+H106,H105+H106)</f>
        <v>0</v>
      </c>
      <c r="I103" s="134"/>
    </row>
    <row r="104" spans="1:35" ht="18.75" customHeight="1">
      <c r="A104" s="3360" t="s">
        <v>2062</v>
      </c>
      <c r="B104" s="2781" t="s">
        <v>2057</v>
      </c>
      <c r="C104" s="2782">
        <f ca="1">H118</f>
        <v>40642</v>
      </c>
      <c r="D104" s="2783"/>
      <c r="E104" s="1830" t="s">
        <v>2063</v>
      </c>
      <c r="F104" s="1821"/>
      <c r="G104" s="1984" t="s">
        <v>2061</v>
      </c>
      <c r="H104" s="2788">
        <f>IF(D36="同一抵押权人同一抵押物续贷",C36&amp;"（续贷，未扣减，详见特别提示）",C36)</f>
        <v>0</v>
      </c>
      <c r="I104" s="134"/>
    </row>
    <row r="105" spans="1:35" ht="18.75" customHeight="1" thickBot="1">
      <c r="A105" s="3370"/>
      <c r="B105" s="2784" t="s">
        <v>2059</v>
      </c>
      <c r="C105" s="2785">
        <f ca="1">I118</f>
        <v>35337</v>
      </c>
      <c r="D105" s="2786"/>
      <c r="E105" s="1830" t="s">
        <v>2064</v>
      </c>
      <c r="F105" s="1821"/>
      <c r="G105" s="1984" t="s">
        <v>2061</v>
      </c>
      <c r="H105" s="2789">
        <f>C37</f>
        <v>0</v>
      </c>
      <c r="I105" s="134"/>
    </row>
    <row r="106" spans="1:35" ht="18.75" customHeight="1">
      <c r="A106" s="1903" t="s">
        <v>2065</v>
      </c>
      <c r="B106" s="1903"/>
      <c r="C106" s="1903"/>
      <c r="D106" s="1903"/>
      <c r="E106" s="1985" t="s">
        <v>2066</v>
      </c>
      <c r="F106" s="1821"/>
      <c r="G106" s="1984" t="s">
        <v>2061</v>
      </c>
      <c r="H106" s="2789">
        <f>C38</f>
        <v>0</v>
      </c>
      <c r="I106" s="134"/>
    </row>
    <row r="107" spans="1:35" ht="18.75" customHeight="1">
      <c r="A107" s="134"/>
      <c r="B107" s="134"/>
      <c r="C107" s="134"/>
      <c r="D107" s="134"/>
      <c r="E107" s="3361" t="str">
        <f>IF(项目基本情况!E8="已注销","——","3.房地产抵押价值")</f>
        <v>3.房地产抵押价值</v>
      </c>
      <c r="F107" s="3329"/>
      <c r="G107" s="1983" t="s">
        <v>2057</v>
      </c>
      <c r="H107" s="2787">
        <f ca="1">IF(E107="——","——",H101-H103)</f>
        <v>40642</v>
      </c>
      <c r="I107" s="134"/>
    </row>
    <row r="108" spans="1:35" ht="18.75" customHeight="1">
      <c r="A108" s="134"/>
      <c r="B108" s="134"/>
      <c r="C108" s="134"/>
      <c r="D108" s="134"/>
      <c r="E108" s="3361"/>
      <c r="F108" s="3329"/>
      <c r="G108" s="1983" t="s">
        <v>2059</v>
      </c>
      <c r="H108" s="2747">
        <f ca="1">ROUND(H107*10000/'数据-汇总表'!E3,0)</f>
        <v>35337</v>
      </c>
      <c r="I108" s="134"/>
    </row>
    <row r="109" spans="1:35" ht="18.75" customHeight="1">
      <c r="A109" s="134"/>
      <c r="B109" s="134"/>
      <c r="C109" s="134"/>
      <c r="D109" s="134"/>
      <c r="E109" s="3361" t="str">
        <f>IF(项目基本情况!E8="已注销及未注销","4.抵押担保权已注销时的房地产抵押价值",IF(项目基本情况!E8="已注销","3.抵押担保权已注销时的房地产抵押价值","——"))</f>
        <v>——</v>
      </c>
      <c r="F109" s="3329"/>
      <c r="G109" s="1983" t="s">
        <v>2057</v>
      </c>
      <c r="H109" s="2790" t="str">
        <f>IF(E109="——","——",H101-H105-H106)</f>
        <v>——</v>
      </c>
      <c r="I109" s="134"/>
    </row>
    <row r="110" spans="1:35" ht="18.75" customHeight="1">
      <c r="A110" s="134"/>
      <c r="B110" s="134"/>
      <c r="C110" s="134"/>
      <c r="D110" s="134"/>
      <c r="E110" s="3361"/>
      <c r="F110" s="3329"/>
      <c r="G110" s="1983" t="s">
        <v>2059</v>
      </c>
      <c r="H110" s="2747" t="str">
        <f>IF(H109="——","——",ROUND(H109*10000/'数据-汇总表'!E3,0))</f>
        <v>——</v>
      </c>
      <c r="I110" s="134"/>
    </row>
    <row r="111" spans="1:35" ht="18.75" customHeight="1">
      <c r="A111" s="134"/>
      <c r="B111" s="134"/>
      <c r="C111" s="134"/>
      <c r="D111" s="134"/>
      <c r="E111" s="3362" t="str">
        <f>IF(项目基本情况!E9="抵押净值",IF(OR(项目基本情况!E8="已注销",项目基本情况!E8="房地产抵押价值"),"4.抵押净值","5.抵押净值"),"——")</f>
        <v>——</v>
      </c>
      <c r="F111" s="3348"/>
      <c r="G111" s="1983" t="s">
        <v>2057</v>
      </c>
      <c r="H111" s="2787" t="str">
        <f>IF(E111="——","——",N59)</f>
        <v>——</v>
      </c>
      <c r="I111" s="134"/>
    </row>
    <row r="112" spans="1:35" ht="18.75" customHeight="1" thickBot="1">
      <c r="A112" s="134"/>
      <c r="B112" s="134"/>
      <c r="C112" s="134"/>
      <c r="D112" s="134"/>
      <c r="E112" s="3363"/>
      <c r="F112" s="3364"/>
      <c r="G112" s="1986" t="s">
        <v>2059</v>
      </c>
      <c r="H112" s="2791" t="str">
        <f>IF(E111="——","——",N61)</f>
        <v>——</v>
      </c>
      <c r="I112" s="134"/>
    </row>
    <row r="113" spans="1:27" ht="18.75" customHeight="1">
      <c r="A113" s="134"/>
      <c r="B113" s="134"/>
      <c r="C113" s="134"/>
      <c r="D113" s="134"/>
      <c r="E113" s="3371" t="s">
        <v>2065</v>
      </c>
      <c r="F113" s="3371"/>
      <c r="G113" s="3371"/>
      <c r="H113" s="3371"/>
      <c r="I113" s="134"/>
    </row>
    <row r="114" spans="1:27" ht="3.75" customHeight="1">
      <c r="A114" s="1903"/>
      <c r="B114" s="1903"/>
      <c r="C114" s="1903"/>
      <c r="D114" s="1903"/>
      <c r="E114" s="1965"/>
      <c r="F114" s="1965"/>
      <c r="G114" s="1965"/>
      <c r="H114" s="1965"/>
      <c r="I114" s="1903"/>
    </row>
    <row r="115" spans="1:27" ht="18.75" customHeight="1">
      <c r="A115" s="3382" t="s">
        <v>2067</v>
      </c>
      <c r="B115" s="3383"/>
      <c r="C115" s="3383"/>
      <c r="D115" s="3383"/>
      <c r="E115" s="3383"/>
      <c r="F115" s="3383"/>
      <c r="G115" s="3383"/>
      <c r="H115" s="3383"/>
      <c r="I115" s="3384"/>
    </row>
    <row r="116" spans="1:27" ht="27" customHeight="1">
      <c r="A116" s="3336" t="s">
        <v>2068</v>
      </c>
      <c r="B116" s="3340" t="s">
        <v>2069</v>
      </c>
      <c r="C116" s="3340" t="s">
        <v>2070</v>
      </c>
      <c r="D116" s="3346" t="s">
        <v>2071</v>
      </c>
      <c r="E116" s="3347"/>
      <c r="F116" s="3378" t="s">
        <v>2072</v>
      </c>
      <c r="G116" s="3378"/>
      <c r="H116" s="3336" t="s">
        <v>2073</v>
      </c>
      <c r="I116" s="3336"/>
    </row>
    <row r="117" spans="1:27" ht="18.75" customHeight="1">
      <c r="A117" s="3336"/>
      <c r="B117" s="3341"/>
      <c r="C117" s="3341"/>
      <c r="D117" s="2522" t="s">
        <v>2074</v>
      </c>
      <c r="E117" s="2522" t="s">
        <v>2075</v>
      </c>
      <c r="F117" s="2522" t="s">
        <v>2074</v>
      </c>
      <c r="G117" s="2522" t="s">
        <v>2076</v>
      </c>
      <c r="H117" s="2522" t="s">
        <v>2074</v>
      </c>
      <c r="I117" s="2522" t="s">
        <v>2076</v>
      </c>
    </row>
    <row r="118" spans="1:27" ht="24.75" customHeight="1">
      <c r="A118" s="2792" t="str">
        <f>项目基本情况!S2</f>
        <v>北京市松榆南路52、54、56号房地产</v>
      </c>
      <c r="B118" s="2522">
        <f>M18</f>
        <v>11501.220000000001</v>
      </c>
      <c r="C118" s="2522">
        <f>M19</f>
        <v>732.75</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40642</v>
      </c>
      <c r="I118" s="2522">
        <f ca="1">ROUND(IF(D32="楼面单价",C32,H118*10000/B118),0)</f>
        <v>35337</v>
      </c>
    </row>
    <row r="119" spans="1:27" ht="18.75" customHeight="1">
      <c r="A119" s="3336" t="s">
        <v>2077</v>
      </c>
      <c r="B119" s="3336"/>
      <c r="C119" s="3336"/>
      <c r="D119" s="3342" t="e">
        <f ca="1">NUMBERSTRING(INT(D118*10000),2)&amp;"元整"</f>
        <v>#REF!</v>
      </c>
      <c r="E119" s="3343"/>
      <c r="F119" s="3342" t="e">
        <f ca="1">NUMBERSTRING(INT(F118*10000),2)&amp;"元整"</f>
        <v>#REF!</v>
      </c>
      <c r="G119" s="3343"/>
      <c r="H119" s="3342" t="str">
        <f ca="1">NUMBERSTRING(INT(H118*10000),2)&amp;"元整"</f>
        <v>肆亿零陆佰肆拾贰万元整</v>
      </c>
      <c r="I119" s="3343"/>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9" t="s">
        <v>2077</v>
      </c>
      <c r="B121" s="3380"/>
      <c r="C121" s="3381"/>
      <c r="D121" s="3342" t="str">
        <f>IF(D120=0,"零元整",NUMBERSTRING(INT(D120*10000),2)&amp;"元整")</f>
        <v>零元整</v>
      </c>
      <c r="E121" s="3344"/>
      <c r="F121" s="3344"/>
      <c r="G121" s="3344"/>
      <c r="H121" s="3344"/>
      <c r="I121" s="3343"/>
      <c r="AA121" s="734"/>
    </row>
    <row r="122" spans="1:27" ht="18.75" customHeight="1">
      <c r="A122" s="3348" t="str">
        <f>IF(项目基本情况!B9="房地产市场价值","",MID(E107,3,LEN(E107)-2))</f>
        <v>房地产抵押价值</v>
      </c>
      <c r="B122" s="3348"/>
      <c r="C122" s="3348"/>
      <c r="D122" s="3337">
        <f ca="1">H107</f>
        <v>40642</v>
      </c>
      <c r="E122" s="3338"/>
      <c r="F122" s="3338"/>
      <c r="G122" s="3338"/>
      <c r="H122" s="3338"/>
      <c r="I122" s="3339"/>
      <c r="AA122" s="734"/>
    </row>
    <row r="123" spans="1:27" ht="18.75" customHeight="1">
      <c r="A123" s="3336" t="s">
        <v>2077</v>
      </c>
      <c r="B123" s="3336"/>
      <c r="C123" s="3336"/>
      <c r="D123" s="3342" t="str">
        <f ca="1">NUMBERSTRING(INT(D122*10000),2)&amp;"元整"</f>
        <v>肆亿零陆佰肆拾贰万元整</v>
      </c>
      <c r="E123" s="3344"/>
      <c r="F123" s="3344"/>
      <c r="G123" s="3344"/>
      <c r="H123" s="3344"/>
      <c r="I123" s="3343"/>
      <c r="AA123" s="734"/>
    </row>
    <row r="124" spans="1:27" ht="18.75" customHeight="1">
      <c r="A124" s="3348" t="str">
        <f>IF(项目基本情况!B9="房地产市场价值","",MID(E109,3,LEN(E109)-2))</f>
        <v/>
      </c>
      <c r="B124" s="3348"/>
      <c r="C124" s="3348"/>
      <c r="D124" s="3337" t="str">
        <f>H109</f>
        <v>——</v>
      </c>
      <c r="E124" s="3338"/>
      <c r="F124" s="3338"/>
      <c r="G124" s="3338"/>
      <c r="H124" s="3338"/>
      <c r="I124" s="3339"/>
      <c r="AA124" s="734"/>
    </row>
    <row r="125" spans="1:27" ht="18.75" customHeight="1">
      <c r="A125" s="3336" t="s">
        <v>2077</v>
      </c>
      <c r="B125" s="3336"/>
      <c r="C125" s="3336"/>
      <c r="D125" s="3342" t="e">
        <f>NUMBERSTRING(INT(D124*10000),2)&amp;"元整"</f>
        <v>#VALUE!</v>
      </c>
      <c r="E125" s="3344"/>
      <c r="F125" s="3344"/>
      <c r="G125" s="3344"/>
      <c r="H125" s="3344"/>
      <c r="I125" s="3343"/>
      <c r="AA125" s="734"/>
    </row>
    <row r="126" spans="1:27" ht="18.75" customHeight="1">
      <c r="A126" s="3348" t="str">
        <f>IF(项目基本情况!B9="房地产市场价值","",MID(E111,3,LEN(E111)-2))</f>
        <v/>
      </c>
      <c r="B126" s="3348"/>
      <c r="C126" s="3348"/>
      <c r="D126" s="3337" t="str">
        <f>H111</f>
        <v>——</v>
      </c>
      <c r="E126" s="3338"/>
      <c r="F126" s="3338"/>
      <c r="G126" s="3338"/>
      <c r="H126" s="3338"/>
      <c r="I126" s="3339"/>
      <c r="AA126" s="734"/>
    </row>
    <row r="127" spans="1:27" ht="18.75" customHeight="1">
      <c r="A127" s="3336" t="s">
        <v>2077</v>
      </c>
      <c r="B127" s="3336"/>
      <c r="C127" s="3336"/>
      <c r="D127" s="3342" t="e">
        <f>NUMBERSTRING(INT(D126*10000),2)&amp;"元整"</f>
        <v>#VALUE!</v>
      </c>
      <c r="E127" s="3344"/>
      <c r="F127" s="3344"/>
      <c r="G127" s="3344"/>
      <c r="H127" s="3344"/>
      <c r="I127" s="3343"/>
      <c r="AA127" s="734"/>
    </row>
    <row r="128" spans="1:27" ht="21.75" customHeight="1">
      <c r="A128" s="3345" t="s">
        <v>2078</v>
      </c>
      <c r="B128" s="3345"/>
      <c r="C128" s="3345"/>
      <c r="D128" s="3345"/>
      <c r="E128" s="3345"/>
      <c r="F128" s="3345"/>
      <c r="G128" s="3345"/>
      <c r="H128" s="3345"/>
      <c r="I128" s="3345"/>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E24" sqref="E24"/>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2564</v>
      </c>
      <c r="B1" s="203"/>
      <c r="C1" s="207" t="s">
        <v>2565</v>
      </c>
      <c r="D1" s="348">
        <f>SUM(D29:D30,D33:D39)</f>
        <v>7782.5</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6">
      <c r="A2" s="207" t="s">
        <v>2572</v>
      </c>
      <c r="B2" s="210">
        <f>C26</f>
        <v>24799</v>
      </c>
      <c r="C2" s="2155" t="s">
        <v>2573</v>
      </c>
      <c r="D2" s="2156" t="s">
        <v>2574</v>
      </c>
      <c r="E2" s="2157" t="s">
        <v>1283</v>
      </c>
      <c r="F2" s="2156" t="s">
        <v>2575</v>
      </c>
      <c r="G2" s="2158" t="str">
        <f>IF(E2="商业",项目基本情况!B37,IF(E2="办公",项目基本情况!C37,IF(E2="住宅",项目基本情况!D37,项目基本情况!E37)))</f>
        <v>四级</v>
      </c>
      <c r="H2" s="2156" t="s">
        <v>2576</v>
      </c>
      <c r="I2" s="2158" t="str">
        <f>IF(E2="商业",项目基本情况!B38,IF(E2="办公",项目基本情况!C38,IF(E2="住宅",项目基本情况!D38,项目基本情况!E38)))</f>
        <v>Ⅳ-14</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33938</v>
      </c>
      <c r="U2" s="1347">
        <f>D29</f>
        <v>3205.68</v>
      </c>
      <c r="V2" s="1346">
        <f>ROUND(T2*U2/10000,0)</f>
        <v>10879</v>
      </c>
      <c r="W2" s="1350"/>
      <c r="X2" s="1350"/>
      <c r="Y2" s="1350"/>
      <c r="Z2" s="1350"/>
      <c r="AA2" s="1350"/>
      <c r="AB2" s="1350"/>
      <c r="AC2" s="1351"/>
      <c r="AD2" s="1352"/>
      <c r="AE2" s="1352"/>
      <c r="AF2" s="1352"/>
      <c r="AG2" s="1352"/>
      <c r="AH2" s="1352"/>
      <c r="AI2" s="1352"/>
      <c r="AJ2" s="1353"/>
    </row>
    <row r="3" spans="1:36" ht="15.6">
      <c r="A3" s="209" t="s">
        <v>2578</v>
      </c>
      <c r="B3" s="210">
        <f>ROUND(B2*10000/D1,0)</f>
        <v>31865</v>
      </c>
      <c r="C3" s="2155" t="s">
        <v>2579</v>
      </c>
      <c r="D3" s="2156" t="s">
        <v>2580</v>
      </c>
      <c r="E3" s="2161" t="s">
        <v>3218</v>
      </c>
      <c r="F3" s="2162" t="s">
        <v>3219</v>
      </c>
      <c r="G3" s="855">
        <f>IF(F3="宗地容积率",'数据-汇总表'!I4,IF(F3="估价对象容积率",'数据-汇总表'!I6,'数据-汇总表'!I7))</f>
        <v>6.84</v>
      </c>
      <c r="H3" s="175" t="s">
        <v>2581</v>
      </c>
      <c r="I3" s="881">
        <v>1</v>
      </c>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24361</v>
      </c>
      <c r="U3" s="1347">
        <f>'数据-取费表'!V22</f>
        <v>3718.72</v>
      </c>
      <c r="V3" s="1346">
        <f t="shared" ref="V3:V16" si="1">ROUND(T3*U3/10000,0)</f>
        <v>9059</v>
      </c>
      <c r="W3" s="1350"/>
      <c r="X3" s="1350"/>
      <c r="Y3" s="1350"/>
      <c r="Z3" s="1350"/>
      <c r="AA3" s="1350"/>
      <c r="AB3" s="1350"/>
      <c r="AC3" s="1351"/>
      <c r="AD3" s="1352"/>
      <c r="AE3" s="1352"/>
      <c r="AF3" s="1352"/>
      <c r="AG3" s="1352"/>
      <c r="AH3" s="1352"/>
      <c r="AI3" s="1352"/>
      <c r="AJ3" s="1353"/>
    </row>
    <row r="4" spans="1:36" ht="15.6">
      <c r="A4" s="3437"/>
      <c r="B4" s="3438"/>
      <c r="C4" s="3438"/>
      <c r="D4" s="3439"/>
      <c r="E4" s="3439"/>
      <c r="F4" s="3439"/>
      <c r="G4" s="3439"/>
      <c r="H4" s="3439"/>
      <c r="I4" s="3439"/>
      <c r="J4" s="3440"/>
      <c r="K4" s="1252"/>
      <c r="L4" s="2160" t="s">
        <v>2584</v>
      </c>
      <c r="M4" s="995">
        <f>SUMPRODUCT((区片价!B49:B75=I2)*(区片价!C3:F3=E2)*(区片价!C49:F75))</f>
        <v>14660</v>
      </c>
      <c r="N4" s="997">
        <f>SUMPRODUCT((因素修正幅度!B49:B75=I2)*(因素修正幅度!C3:F3=E2)*(因素修正幅度!C49:F75))</f>
        <v>9.8000000000000004E-2</v>
      </c>
      <c r="O4" s="1252"/>
      <c r="P4" s="1252"/>
      <c r="Q4" s="1252"/>
      <c r="R4" s="1346">
        <v>3</v>
      </c>
      <c r="S4" s="1346">
        <f>ROUND(IF(G3&gt;1,IF(R4&lt;7,SUMPRODUCT((B93:B98=R4)*(C92:N92=G2)*(C93:N98)),SUMIF(C92:N92,G2,C100:N100)),IF(R4&lt;7,SUMPRODUCT((B102:B107=R4)*(C92:N92=G2)*(C102:N107)),SUMIF(C92:N92,G2,C109:N109))),4)</f>
        <v>1.0788</v>
      </c>
      <c r="T4" s="1346">
        <f t="shared" si="0"/>
        <v>19654</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2585</v>
      </c>
      <c r="C5" s="856">
        <f>ROUND(IF(E2="商业",C6*C7+C16,(IF(E2="住宅",C6*C12+C16,C6+C16))),0)</f>
        <v>14644</v>
      </c>
      <c r="D5" s="1493">
        <f>ROUND(C6+C16,0)</f>
        <v>14644</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15770</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2587</v>
      </c>
      <c r="B6" s="2174" t="s">
        <v>2588</v>
      </c>
      <c r="C6" s="857">
        <f>SUMIF(L1:L12,G2,M1:M12)</f>
        <v>14660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13429</v>
      </c>
      <c r="U6" s="1347"/>
      <c r="V6" s="1346">
        <f t="shared" si="1"/>
        <v>0</v>
      </c>
      <c r="W6" s="1350"/>
      <c r="X6" s="1350"/>
      <c r="Y6" s="1350"/>
      <c r="Z6" s="1350"/>
      <c r="AA6" s="1350"/>
      <c r="AB6" s="1350"/>
      <c r="AC6" s="2169"/>
      <c r="AD6" s="2170"/>
      <c r="AE6" s="2170"/>
      <c r="AF6" s="2170"/>
      <c r="AG6" s="2170"/>
      <c r="AH6" s="2170"/>
      <c r="AI6" s="2170"/>
      <c r="AJ6" s="2171"/>
    </row>
    <row r="7" spans="1:36" ht="24">
      <c r="A7" s="3418"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11809</v>
      </c>
      <c r="U7" s="1347"/>
      <c r="V7" s="1346">
        <f t="shared" si="1"/>
        <v>0</v>
      </c>
      <c r="W7" s="1512" t="s">
        <v>2594</v>
      </c>
      <c r="X7" s="1348" t="str">
        <f>G2</f>
        <v>四级</v>
      </c>
      <c r="Y7" s="1348" t="s">
        <v>2595</v>
      </c>
      <c r="Z7" s="1349">
        <f>G3</f>
        <v>6.84</v>
      </c>
      <c r="AA7" s="1350"/>
      <c r="AB7" s="1350"/>
      <c r="AC7" s="1351"/>
      <c r="AD7" s="1352"/>
      <c r="AE7" s="1352"/>
      <c r="AF7" s="1352"/>
      <c r="AG7" s="1352"/>
      <c r="AH7" s="1352"/>
      <c r="AI7" s="1352"/>
      <c r="AJ7" s="1353"/>
    </row>
    <row r="8" spans="1:36" ht="26.4">
      <c r="A8" s="3441"/>
      <c r="B8" s="175" t="s">
        <v>2596</v>
      </c>
      <c r="C8" s="2184" t="s">
        <v>3167</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34" t="s">
        <v>2599</v>
      </c>
      <c r="X8" s="3435"/>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41"/>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36"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41"/>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3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441"/>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36" t="s">
        <v>2623</v>
      </c>
      <c r="X11" s="1358" t="s">
        <v>2624</v>
      </c>
      <c r="Y11" s="1359">
        <f>$G$3</f>
        <v>6.84</v>
      </c>
      <c r="Z11" s="1359">
        <f t="shared" ref="Z11:AJ11" si="3">$G$3</f>
        <v>6.84</v>
      </c>
      <c r="AA11" s="1359">
        <f t="shared" si="3"/>
        <v>6.84</v>
      </c>
      <c r="AB11" s="1359">
        <f t="shared" si="3"/>
        <v>6.84</v>
      </c>
      <c r="AC11" s="1359">
        <f t="shared" si="3"/>
        <v>6.84</v>
      </c>
      <c r="AD11" s="1359">
        <f t="shared" si="3"/>
        <v>6.84</v>
      </c>
      <c r="AE11" s="1359">
        <f t="shared" si="3"/>
        <v>6.84</v>
      </c>
      <c r="AF11" s="1359">
        <f t="shared" si="3"/>
        <v>6.84</v>
      </c>
      <c r="AG11" s="1359">
        <f t="shared" si="3"/>
        <v>6.84</v>
      </c>
      <c r="AH11" s="1359">
        <f t="shared" si="3"/>
        <v>6.84</v>
      </c>
      <c r="AI11" s="1359">
        <f t="shared" si="3"/>
        <v>6.84</v>
      </c>
      <c r="AJ11" s="1359">
        <f t="shared" si="3"/>
        <v>6.84</v>
      </c>
    </row>
    <row r="12" spans="1:36" ht="25.8" thickBot="1">
      <c r="A12" s="3418"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36"/>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42"/>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36"/>
      <c r="X13" s="1360"/>
      <c r="Y13" s="1357">
        <f>(-0.163*(Y12^2)-0.59*Y12+7617)*(10^(-4))/Y11</f>
        <v>0.11135964912280702</v>
      </c>
      <c r="Z13" s="1357">
        <f t="shared" ref="Z13:AJ13" si="5">(-0.163*(Z12^2)-0.59*Z12+7617)*(10^(-4))/Z11</f>
        <v>0.11135964912280702</v>
      </c>
      <c r="AA13" s="1357">
        <f t="shared" si="5"/>
        <v>0.11135964912280702</v>
      </c>
      <c r="AB13" s="1357">
        <f t="shared" si="5"/>
        <v>0.11135964912280702</v>
      </c>
      <c r="AC13" s="1357">
        <f t="shared" si="5"/>
        <v>0.11135964912280702</v>
      </c>
      <c r="AD13" s="1357">
        <f t="shared" si="5"/>
        <v>0.11135964912280702</v>
      </c>
      <c r="AE13" s="1357">
        <f t="shared" si="5"/>
        <v>0.11135964912280702</v>
      </c>
      <c r="AF13" s="1357">
        <f t="shared" si="5"/>
        <v>0.11135964912280702</v>
      </c>
      <c r="AG13" s="1357">
        <f t="shared" si="5"/>
        <v>0.11135964912280702</v>
      </c>
      <c r="AH13" s="1357">
        <f t="shared" si="5"/>
        <v>0.11135964912280702</v>
      </c>
      <c r="AI13" s="1357">
        <f t="shared" si="5"/>
        <v>0.11135964912280702</v>
      </c>
      <c r="AJ13" s="1357">
        <f t="shared" si="5"/>
        <v>0.11135964912280702</v>
      </c>
    </row>
    <row r="14" spans="1:36" ht="15">
      <c r="A14" s="3442"/>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6" thickBot="1">
      <c r="A15" s="3443"/>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418" t="s">
        <v>2642</v>
      </c>
      <c r="B16" s="2179" t="s">
        <v>2643</v>
      </c>
      <c r="C16" s="2341">
        <f>ROUND(IF(F17="与级别开发程度一致",0,(G17-E17)/C17),0)</f>
        <v>-16</v>
      </c>
      <c r="D16" s="3431" t="s">
        <v>2647</v>
      </c>
      <c r="E16" s="3432"/>
      <c r="F16" s="3431" t="s">
        <v>2644</v>
      </c>
      <c r="G16" s="3432"/>
      <c r="H16" s="2211" t="s">
        <v>3135</v>
      </c>
      <c r="I16" s="2211" t="s">
        <v>3136</v>
      </c>
      <c r="J16" s="2345" t="s">
        <v>3137</v>
      </c>
      <c r="K16" s="2211" t="s">
        <v>3138</v>
      </c>
      <c r="L16" s="2211" t="s">
        <v>3139</v>
      </c>
      <c r="M16" s="2211" t="s">
        <v>3140</v>
      </c>
      <c r="N16" s="2211" t="s">
        <v>3220</v>
      </c>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7" thickBot="1">
      <c r="A17" s="3419"/>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3168</v>
      </c>
      <c r="G17" s="2344">
        <f>SUM(H17:O17)</f>
        <v>260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50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2649</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9.4"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44572</v>
      </c>
      <c r="H19" s="2222" t="s">
        <v>3169</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9.4" thickBot="1">
      <c r="A20" s="2226" t="s">
        <v>810</v>
      </c>
      <c r="B20" s="2227" t="s">
        <v>2655</v>
      </c>
      <c r="C20" s="868">
        <f>ROUND(POWER(1+G20,J20-I20)*(POWER(1+G20,I20)-1)/(POWER(1+G20,J20)-1),4)</f>
        <v>0.86550000000000005</v>
      </c>
      <c r="D20" s="2228" t="s">
        <v>2656</v>
      </c>
      <c r="E20" s="1475">
        <f>存贷款利率!E18/100</f>
        <v>4.3499999999999997E-2</v>
      </c>
      <c r="F20" s="2228" t="s">
        <v>2648</v>
      </c>
      <c r="G20" s="873">
        <f>SUMIF(M26:P26,E2,M28:P28)</f>
        <v>5.3999999999999999E-2</v>
      </c>
      <c r="H20" s="2228" t="s">
        <v>2657</v>
      </c>
      <c r="I20" s="874">
        <f>SUMIF('数据-取费表'!C6:C15,E2,'数据-取费表'!F6:F15)/COUNTIF('数据-取费表'!C6:C15,E2)</f>
        <v>27.13</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4.4">
      <c r="A21" s="2233" t="s">
        <v>811</v>
      </c>
      <c r="B21" s="2234" t="s">
        <v>3170</v>
      </c>
      <c r="C21" s="876">
        <f>IF(B21="容积率修正",IF(G3&lt;=10,D22,J22),C23)</f>
        <v>1.8629</v>
      </c>
      <c r="D21" s="2235"/>
      <c r="E21" s="2235"/>
      <c r="F21" s="2235"/>
      <c r="G21" s="2235"/>
      <c r="H21" s="2235"/>
      <c r="I21" s="2235"/>
      <c r="J21" s="2236"/>
      <c r="K21" s="1259"/>
      <c r="L21" s="2985"/>
      <c r="M21" s="2985"/>
      <c r="N21" s="2237" t="s">
        <v>2662</v>
      </c>
      <c r="O21" s="1307"/>
      <c r="P21" s="1308">
        <f>SUMPRODUCT((地价!A3:A37=YEAR(G19)&amp;"-"&amp;ROUNDUP(MONTH(G19)/3,0))*(地价!AD2:AH2=N21)*(地价!AD3:AH37))</f>
        <v>1.0200000000000001E-2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4">
      <c r="A22" s="2111" t="s">
        <v>2663</v>
      </c>
      <c r="B22" s="2238" t="s">
        <v>2664</v>
      </c>
      <c r="C22" s="1506" t="s">
        <v>2665</v>
      </c>
      <c r="D22" s="1506">
        <f>IF(E22=G22,F22,IF(G3&lt;=10,ROUND(F22+(H22-F22)*(G3-E22)/(G22-E22),4),"——"))</f>
        <v>0.77080000000000004</v>
      </c>
      <c r="E22" s="855">
        <f>ROUNDDOWN(G3,1)</f>
        <v>6.8</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855">
        <f>ROUNDUP(G3,1)</f>
        <v>6.8999999999999995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0.76949999999999996</v>
      </c>
      <c r="I22" s="1506" t="s">
        <v>155</v>
      </c>
      <c r="J22" s="877" t="str">
        <f>IF(G3&gt;10,D113,"——")</f>
        <v>——</v>
      </c>
      <c r="K22" s="1259"/>
      <c r="L22" s="2985"/>
      <c r="M22" s="2985"/>
      <c r="N22" s="2237" t="s">
        <v>2666</v>
      </c>
      <c r="O22" s="1307"/>
      <c r="P22" s="1308">
        <f>SUMPRODUCT((地价!A3:A37=YEAR(G19)&amp;"-"&amp;ROUNDUP(MONTH(G19)/3,0))*(地价!AD2:AH2=N22)*(地价!AD3:AH37))</f>
        <v>1.0200000000000001E-2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9.4" thickBot="1">
      <c r="A23" s="2111" t="s">
        <v>2667</v>
      </c>
      <c r="B23" s="2239" t="s">
        <v>2668</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2670</v>
      </c>
      <c r="C24" s="863">
        <f>SUMIF(A45:A88,E2,B45:B88)</f>
        <v>1.0535000000000001</v>
      </c>
      <c r="D24" s="2218"/>
      <c r="E24" s="2245"/>
      <c r="F24" s="2245"/>
      <c r="G24" s="2245"/>
      <c r="H24" s="2245"/>
      <c r="I24" s="2245"/>
      <c r="J24" s="2246"/>
      <c r="K24" s="1259"/>
      <c r="L24" s="2985"/>
      <c r="M24" s="2985"/>
      <c r="N24" s="2247" t="s">
        <v>2671</v>
      </c>
      <c r="O24" s="1309"/>
      <c r="P24" s="1310">
        <f>SUMPRODUCT((地价!A3:A37=YEAR(G19)&amp;"-"&amp;ROUNDUP(MONTH(G19)/3,0))*(地价!AD2:AH2=N24)*(地价!AD3:AH37))</f>
        <v>1.18E-2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 thickBot="1">
      <c r="A25" s="2226" t="s">
        <v>813</v>
      </c>
      <c r="B25" s="2248" t="s">
        <v>2672</v>
      </c>
      <c r="C25" s="869"/>
      <c r="D25" s="2182"/>
      <c r="E25" s="2182"/>
      <c r="F25" s="2249"/>
      <c r="G25" s="2182"/>
      <c r="H25" s="2182"/>
      <c r="I25" s="2182"/>
      <c r="J25" s="2183"/>
      <c r="K25" s="1252"/>
      <c r="L25" s="2153"/>
      <c r="M25" s="2153"/>
      <c r="N25" s="2980" t="s">
        <v>2673</v>
      </c>
      <c r="O25" s="2981"/>
      <c r="P25" s="2982">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2674</v>
      </c>
      <c r="C26" s="2512">
        <f>IF(B21="容积率修正",E29+SUM(E33:E39),SUM(V2:V16)+SUM(E33:E39))</f>
        <v>24799</v>
      </c>
      <c r="D26" s="2251"/>
      <c r="E26" s="2207"/>
      <c r="F26" s="2252"/>
      <c r="G26" s="2207"/>
      <c r="H26" s="2207"/>
      <c r="I26" s="2207"/>
      <c r="J26" s="2253"/>
      <c r="K26" s="1252"/>
      <c r="L26" s="2983" t="s">
        <v>2574</v>
      </c>
      <c r="M26" s="2180" t="s">
        <v>2638</v>
      </c>
      <c r="N26" s="2180" t="s">
        <v>2639</v>
      </c>
      <c r="O26" s="2180" t="s">
        <v>2640</v>
      </c>
      <c r="P26" s="2984"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2675</v>
      </c>
      <c r="C27" s="870">
        <f>E30+SUM(I33:I39)</f>
        <v>1215</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33938</v>
      </c>
      <c r="D29" s="2266">
        <f>'数据-取费表'!V21</f>
        <v>3205.68</v>
      </c>
      <c r="E29" s="879">
        <f>ROUND(C29*D29/10000,0)</f>
        <v>10879</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2682</v>
      </c>
      <c r="C30" s="193">
        <f>ROUND(IF(E2="工业",C29*M39,C29*M38),0)</f>
        <v>8485</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8"/>
      <c r="B33" s="2282" t="s">
        <v>2688</v>
      </c>
      <c r="C33" s="180">
        <f>ROUND(D5*C19*C20*C24*F33,0)</f>
        <v>12753</v>
      </c>
      <c r="D33" s="2266">
        <f>'数据-取费表'!V23</f>
        <v>2791.66</v>
      </c>
      <c r="E33" s="176">
        <f>ROUND(C33*D33/10000,0)</f>
        <v>3560</v>
      </c>
      <c r="F33" s="176">
        <f>SUMIF(修正!A45:A56,G2,修正!B45:B56)</f>
        <v>0.7</v>
      </c>
      <c r="G33" s="176">
        <f t="shared" ref="G33" si="6">ROUND(IF(E2="工业",C33*$M$39,C33*$M$38),0)</f>
        <v>3188</v>
      </c>
      <c r="H33" s="176">
        <f>D33</f>
        <v>2791.66</v>
      </c>
      <c r="I33" s="176">
        <f>ROUND(G33*H33/10000,0)</f>
        <v>890</v>
      </c>
      <c r="J33" s="3433" t="s">
        <v>2989</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429"/>
      <c r="B34" s="2199" t="s">
        <v>2689</v>
      </c>
      <c r="C34" s="180">
        <f>ROUND(D5*C19*C20*C24*F34,0)</f>
        <v>7287</v>
      </c>
      <c r="D34" s="2266">
        <f>'数据-汇总表'!G20</f>
        <v>1785.1599999999999</v>
      </c>
      <c r="E34" s="176">
        <f t="shared" ref="E34:E39" si="7">ROUND(C34*D34/10000,0)</f>
        <v>1301</v>
      </c>
      <c r="F34" s="176">
        <f>SUMIF(修正!A45:A56,G2,修正!C45:C56)</f>
        <v>0.4</v>
      </c>
      <c r="G34" s="176">
        <f>ROUND(IF(E2="工业",C34*$M$39,C34*$M$38),0)</f>
        <v>1822</v>
      </c>
      <c r="H34" s="176">
        <f t="shared" ref="H34:H39" si="8">D34</f>
        <v>1785.1599999999999</v>
      </c>
      <c r="I34" s="176">
        <f t="shared" ref="I34:I39" si="9">ROUND(G34*H34/10000,0)</f>
        <v>325</v>
      </c>
      <c r="J34" s="342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9"/>
      <c r="B35" s="2199" t="s">
        <v>2690</v>
      </c>
      <c r="C35" s="180">
        <f>ROUND(D5*C19*C20*C24*F35,0)</f>
        <v>5101</v>
      </c>
      <c r="D35" s="2266"/>
      <c r="E35" s="176">
        <f t="shared" si="7"/>
        <v>0</v>
      </c>
      <c r="F35" s="176">
        <f>SUMIF(修正!A45:A56,G2,修正!D45:D56)</f>
        <v>0.28000000000000003</v>
      </c>
      <c r="G35" s="176">
        <f>ROUND(IF(E2="工业",C35*$M$39,C35*$M$38),0)</f>
        <v>1275</v>
      </c>
      <c r="H35" s="176">
        <f t="shared" si="8"/>
        <v>0</v>
      </c>
      <c r="I35" s="176">
        <f t="shared" si="9"/>
        <v>0</v>
      </c>
      <c r="J35" s="342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430"/>
      <c r="B36" s="2199" t="s">
        <v>2691</v>
      </c>
      <c r="C36" s="180">
        <f>ROUND(D5*C19*C20*C24*F36,0)</f>
        <v>4555</v>
      </c>
      <c r="D36" s="2266"/>
      <c r="E36" s="176">
        <f t="shared" si="7"/>
        <v>0</v>
      </c>
      <c r="F36" s="176">
        <f>SUMIF(修正!A45:A56,G2,修正!E45:E56)</f>
        <v>0.25</v>
      </c>
      <c r="G36" s="176">
        <f>ROUND(IF(E2="工业",C36*$M$39,C36*$M$38),0)</f>
        <v>1139</v>
      </c>
      <c r="H36" s="176">
        <f t="shared" si="8"/>
        <v>0</v>
      </c>
      <c r="I36" s="176">
        <f t="shared" si="9"/>
        <v>0</v>
      </c>
      <c r="J36" s="343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4555</v>
      </c>
      <c r="D37" s="2266"/>
      <c r="E37" s="176">
        <f t="shared" si="7"/>
        <v>0</v>
      </c>
      <c r="F37" s="180">
        <f>SUMIF(修正!A45:A56,G2,修正!F45:F56)</f>
        <v>0.25</v>
      </c>
      <c r="G37" s="176">
        <f>ROUND(IF(E2="工业",C37*$M$39,C37*$M$38),0)</f>
        <v>1139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4867</v>
      </c>
      <c r="D38" s="2266"/>
      <c r="E38" s="176">
        <f t="shared" si="7"/>
        <v>0</v>
      </c>
      <c r="F38" s="180">
        <f>SUMIF(修正!A45:A56,G2,修正!G45:G56)</f>
        <v>0.25</v>
      </c>
      <c r="G38" s="176">
        <f>ROUND(IF(E2="工业",C38*$M$39,C38*$M$38),0)</f>
        <v>1217</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2696</v>
      </c>
      <c r="C39" s="193">
        <f>ROUND(D5*C19*C41*C24*F39,0)</f>
        <v>3894</v>
      </c>
      <c r="D39" s="2272"/>
      <c r="E39" s="193">
        <f t="shared" si="7"/>
        <v>0</v>
      </c>
      <c r="F39" s="871">
        <f>SUMIF(修正!A45:A56,G2,修正!H45:H56)</f>
        <v>0.2</v>
      </c>
      <c r="G39" s="193">
        <f>ROUND(IF(E2="工业",C39*$M$39,C39*$M$38),0)</f>
        <v>974</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2800</v>
      </c>
      <c r="C41" s="348">
        <f>ROUND(POWER(1+E41,H41-G41)*(POWER(1+E41,G41)-1)/(POWER(1+E41,H41)-1),4)</f>
        <v>0.92490000000000006</v>
      </c>
      <c r="D41" s="176" t="s">
        <v>2648</v>
      </c>
      <c r="E41" s="2339">
        <f>G20</f>
        <v>5.3999999999999999E-2</v>
      </c>
      <c r="F41" s="176" t="s">
        <v>2657</v>
      </c>
      <c r="G41" s="189">
        <f>'数据-取费表'!F7</f>
        <v>37.14</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2698</v>
      </c>
      <c r="B46" s="2296">
        <f>1+E48</f>
        <v>1.0535000000000001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25.2">
      <c r="A48" s="2299" t="s">
        <v>2707</v>
      </c>
      <c r="B48" s="2302" t="str">
        <f>估价对象房地状况!C4</f>
        <v>较好</v>
      </c>
      <c r="C48" s="2204" t="s">
        <v>3162</v>
      </c>
      <c r="D48" s="1196">
        <f t="shared" ref="D48:D56" si="10">SUMIF($J$47:$N$47,C48,J48:N48)</f>
        <v>1.61E-2</v>
      </c>
      <c r="E48" s="760">
        <f>ROUND(SUM(D48:D56),4)</f>
        <v>5.3499999999999999E-2</v>
      </c>
      <c r="F48" s="1970">
        <f>IF(E2="商业",SUMIF(L1:L12,G2,N1:N12),"——")</f>
        <v>9.8000000000000004E-2</v>
      </c>
      <c r="G48" s="1194">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53"/>
      <c r="AB48" s="1253"/>
      <c r="AC48" s="1253"/>
      <c r="AD48" s="1253"/>
      <c r="AE48" s="1253"/>
      <c r="AF48" s="1253"/>
      <c r="AG48" s="1253"/>
      <c r="AH48" s="1253"/>
      <c r="AI48" s="1253"/>
      <c r="AJ48" s="1253"/>
      <c r="AK48" s="1253"/>
    </row>
    <row r="49" spans="1:37" s="1252" customFormat="1" ht="24">
      <c r="A49" s="2299" t="s">
        <v>2708</v>
      </c>
      <c r="B49" s="2303" t="str">
        <f>估价对象房地状况!C18</f>
        <v>较好</v>
      </c>
      <c r="C49" s="2204" t="s">
        <v>3162</v>
      </c>
      <c r="D49" s="1196">
        <f t="shared" si="10"/>
        <v>1.2200000000000001E-2</v>
      </c>
      <c r="E49" s="761"/>
      <c r="F49" s="1970"/>
      <c r="G49" s="1194">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t="s">
        <v>3162</v>
      </c>
      <c r="D50" s="1196">
        <f t="shared" si="10"/>
        <v>2.3999999999999998E-3</v>
      </c>
      <c r="E50" s="761"/>
      <c r="F50" s="1970"/>
      <c r="G50" s="1194">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53"/>
      <c r="AB50" s="1253"/>
      <c r="AC50" s="1253"/>
      <c r="AD50" s="1253"/>
      <c r="AE50" s="1253"/>
      <c r="AF50" s="1253"/>
      <c r="AG50" s="1253"/>
      <c r="AH50" s="1253"/>
      <c r="AI50" s="1253"/>
      <c r="AJ50" s="1253"/>
      <c r="AK50" s="1253"/>
    </row>
    <row r="51" spans="1:37" s="1252" customFormat="1" ht="50.4">
      <c r="A51" s="2299" t="s">
        <v>2710</v>
      </c>
      <c r="B51" s="2304" t="s">
        <v>2711</v>
      </c>
      <c r="C51" s="2204" t="s">
        <v>3162</v>
      </c>
      <c r="D51" s="1196">
        <f t="shared" si="10"/>
        <v>2.3999999999999998E-3</v>
      </c>
      <c r="E51" s="761"/>
      <c r="F51" s="1970"/>
      <c r="G51" s="1194">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t="s">
        <v>3162</v>
      </c>
      <c r="D52" s="1196">
        <f t="shared" si="10"/>
        <v>3.8999999999999998E-3</v>
      </c>
      <c r="E52" s="761"/>
      <c r="F52" s="1970"/>
      <c r="G52" s="1194">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53"/>
      <c r="AB52" s="1253"/>
      <c r="AC52" s="1253"/>
      <c r="AD52" s="1253"/>
      <c r="AE52" s="1253"/>
      <c r="AF52" s="1253"/>
      <c r="AG52" s="1253"/>
      <c r="AH52" s="1253"/>
      <c r="AI52" s="1253"/>
      <c r="AJ52" s="1253"/>
      <c r="AK52" s="1253"/>
    </row>
    <row r="53" spans="1:37" s="1252" customFormat="1" ht="36">
      <c r="A53" s="2299" t="s">
        <v>2713</v>
      </c>
      <c r="B53" s="2305" t="s">
        <v>2714</v>
      </c>
      <c r="C53" s="2204" t="s">
        <v>3162</v>
      </c>
      <c r="D53" s="1196">
        <f t="shared" si="10"/>
        <v>1.4E-3</v>
      </c>
      <c r="E53" s="761"/>
      <c r="F53" s="1970"/>
      <c r="G53" s="1194">
        <v>1.4E-3</v>
      </c>
      <c r="H53" s="1198">
        <f t="shared" si="11"/>
        <v>1.4E-3</v>
      </c>
      <c r="I53" s="759">
        <v>0.03</v>
      </c>
      <c r="J53" s="1195">
        <f t="shared" si="12"/>
        <v>2.8E-3</v>
      </c>
      <c r="K53" s="1195">
        <f t="shared" si="13"/>
        <v>1.4E-3</v>
      </c>
      <c r="L53" s="1195">
        <v>0</v>
      </c>
      <c r="M53" s="1195">
        <f t="shared" si="14"/>
        <v>-1.4E-3</v>
      </c>
      <c r="N53" s="1195">
        <f t="shared" si="14"/>
        <v>-2.8E-3</v>
      </c>
      <c r="AA53" s="1253"/>
      <c r="AB53" s="1253"/>
      <c r="AC53" s="1253"/>
      <c r="AD53" s="1253"/>
      <c r="AE53" s="1253"/>
      <c r="AF53" s="1253"/>
      <c r="AG53" s="1253"/>
      <c r="AH53" s="1253"/>
      <c r="AI53" s="1253"/>
      <c r="AJ53" s="1253"/>
      <c r="AK53" s="1253"/>
    </row>
    <row r="54" spans="1:37" s="1252" customFormat="1" ht="24">
      <c r="A54" s="2306" t="s">
        <v>2715</v>
      </c>
      <c r="B54" s="1466" t="str">
        <f>估价对象房地状况!C21</f>
        <v>较好</v>
      </c>
      <c r="C54" s="2204" t="s">
        <v>3162</v>
      </c>
      <c r="D54" s="1196">
        <f t="shared" si="10"/>
        <v>2.3999999999999998E-3</v>
      </c>
      <c r="E54" s="761"/>
      <c r="F54" s="1970"/>
      <c r="G54" s="1194">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53"/>
      <c r="AB54" s="1253"/>
      <c r="AC54" s="1253"/>
      <c r="AD54" s="1253"/>
      <c r="AE54" s="1253"/>
      <c r="AF54" s="1253"/>
      <c r="AG54" s="1253"/>
      <c r="AH54" s="1253"/>
      <c r="AI54" s="1253"/>
      <c r="AJ54" s="1253"/>
      <c r="AK54" s="1253"/>
    </row>
    <row r="55" spans="1:37" s="1252" customFormat="1" ht="24">
      <c r="A55" s="2306" t="s">
        <v>2716</v>
      </c>
      <c r="B55" s="2303" t="str">
        <f>估价对象房地状况!C22</f>
        <v>七通</v>
      </c>
      <c r="C55" s="2204" t="s">
        <v>3171</v>
      </c>
      <c r="D55" s="1196">
        <f t="shared" si="10"/>
        <v>9.7999999999999997E-3</v>
      </c>
      <c r="E55" s="761"/>
      <c r="F55" s="1970"/>
      <c r="G55" s="1194">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53"/>
      <c r="AB55" s="1253"/>
      <c r="AC55" s="1253"/>
      <c r="AD55" s="1253"/>
      <c r="AE55" s="1253"/>
      <c r="AF55" s="1253"/>
      <c r="AG55" s="1253"/>
      <c r="AH55" s="1253"/>
      <c r="AI55" s="1253"/>
      <c r="AJ55" s="1253"/>
      <c r="AK55" s="1253"/>
    </row>
    <row r="56" spans="1:37" s="1252" customFormat="1" ht="36.6" thickBot="1">
      <c r="A56" s="2307" t="s">
        <v>2717</v>
      </c>
      <c r="B56" s="2308" t="str">
        <f>估价对象房地状况!C20</f>
        <v>较好</v>
      </c>
      <c r="C56" s="2204" t="s">
        <v>3162</v>
      </c>
      <c r="D56" s="1196">
        <f t="shared" si="10"/>
        <v>2.8999999999999998E-3</v>
      </c>
      <c r="E56" s="764"/>
      <c r="F56" s="1970"/>
      <c r="G56" s="1194">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53"/>
      <c r="AB56" s="1253"/>
      <c r="AC56" s="1253"/>
      <c r="AD56" s="1253"/>
      <c r="AE56" s="1253"/>
      <c r="AF56" s="1253"/>
      <c r="AG56" s="1253"/>
      <c r="AH56" s="1253"/>
      <c r="AI56" s="1253"/>
      <c r="AJ56" s="1253"/>
      <c r="AK56" s="1253"/>
    </row>
    <row r="57" spans="1:37" s="1252" customFormat="1" ht="14.4">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24">
      <c r="A59" s="2299" t="s">
        <v>2720</v>
      </c>
      <c r="B59" s="2302" t="str">
        <f>估价对象房地状况!C17</f>
        <v>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24">
      <c r="A60" s="2299" t="s">
        <v>2708</v>
      </c>
      <c r="B60" s="2303" t="str">
        <f>估价对象房地状况!C18</f>
        <v>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2715</v>
      </c>
      <c r="B65" s="1466" t="str">
        <f>估价对象房地状况!C21</f>
        <v>较好</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2716</v>
      </c>
      <c r="B66" s="1466" t="str">
        <f>估价对象房地状况!C22</f>
        <v>七通</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6.6" thickBot="1">
      <c r="A67" s="2307" t="s">
        <v>2717</v>
      </c>
      <c r="B67" s="2309" t="str">
        <f>估价对象房地状况!C20</f>
        <v>较好</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24">
      <c r="A70" s="2299" t="s">
        <v>2722</v>
      </c>
      <c r="B70" s="2302" t="str">
        <f>估价对象房地状况!C15</f>
        <v>较好</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24">
      <c r="A71" s="2299" t="s">
        <v>2708</v>
      </c>
      <c r="B71" s="2303" t="str">
        <f>估价对象房地状况!C18</f>
        <v>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2715</v>
      </c>
      <c r="B74" s="1466" t="str">
        <f>估价对象房地状况!C21</f>
        <v>较好</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2716</v>
      </c>
      <c r="B75" s="1466" t="str">
        <f>估价对象房地状况!C22</f>
        <v>七通</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6">
      <c r="A77" s="2299" t="s">
        <v>2717</v>
      </c>
      <c r="B77" s="2302" t="str">
        <f>估价对象房地状况!C20</f>
        <v>较好</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2725</v>
      </c>
      <c r="B79" s="2296">
        <f>1+E81</f>
        <v>1</v>
      </c>
      <c r="C79" s="753"/>
      <c r="D79" s="753"/>
      <c r="E79" s="754"/>
      <c r="F79" s="2298"/>
      <c r="G79" s="6"/>
      <c r="H79" s="6"/>
      <c r="I79" s="6"/>
      <c r="J79" s="7"/>
      <c r="K79" s="7"/>
      <c r="L79" s="7"/>
      <c r="M79" s="7"/>
      <c r="N79" s="7"/>
      <c r="Z79" s="2154"/>
      <c r="AA79" s="2220"/>
      <c r="AG79" s="1254"/>
      <c r="AK79" s="2220"/>
    </row>
    <row r="80" spans="1:37" ht="25.2">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9.6">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66">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3.8">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6.4">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6.4">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36">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53.4"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420" t="s">
        <v>2729</v>
      </c>
      <c r="B90" s="3420"/>
      <c r="C90" s="3420"/>
      <c r="D90" s="3420"/>
      <c r="E90" s="3420"/>
      <c r="F90" s="3420"/>
      <c r="G90" s="3420"/>
      <c r="H90" s="3420"/>
      <c r="I90" s="3420"/>
      <c r="J90" s="3420"/>
      <c r="K90" s="2313"/>
      <c r="L90" s="2313"/>
      <c r="M90" s="2313"/>
      <c r="N90" s="2313"/>
    </row>
    <row r="91" spans="1:37">
      <c r="A91" s="3422" t="s">
        <v>2730</v>
      </c>
      <c r="B91" s="3422" t="s">
        <v>2731</v>
      </c>
      <c r="C91" s="2267" t="s">
        <v>2732</v>
      </c>
      <c r="D91" s="2268"/>
      <c r="E91" s="2268"/>
      <c r="F91" s="2268"/>
      <c r="G91" s="2268"/>
      <c r="H91" s="2268"/>
      <c r="I91" s="2268"/>
      <c r="J91" s="2314"/>
      <c r="K91" s="2315"/>
      <c r="L91" s="2315"/>
      <c r="M91" s="2315"/>
      <c r="N91" s="2315"/>
    </row>
    <row r="92" spans="1:37">
      <c r="A92" s="3422"/>
      <c r="B92" s="3422"/>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23"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2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2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2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2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2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24"/>
      <c r="B99" s="2316" t="s">
        <v>2616</v>
      </c>
      <c r="C99" s="2318">
        <f>$I$3</f>
        <v>1</v>
      </c>
      <c r="D99" s="2318">
        <f t="shared" ref="D99:M99" si="30">$I$3</f>
        <v>1</v>
      </c>
      <c r="E99" s="2318">
        <f t="shared" si="30"/>
        <v>1</v>
      </c>
      <c r="F99" s="2318">
        <f t="shared" si="30"/>
        <v>1</v>
      </c>
      <c r="G99" s="2318">
        <f t="shared" si="30"/>
        <v>1</v>
      </c>
      <c r="H99" s="2318">
        <f t="shared" si="30"/>
        <v>1</v>
      </c>
      <c r="I99" s="2318">
        <f t="shared" si="30"/>
        <v>1</v>
      </c>
      <c r="J99" s="2318">
        <f t="shared" si="30"/>
        <v>1</v>
      </c>
      <c r="K99" s="2318">
        <f t="shared" si="30"/>
        <v>1</v>
      </c>
      <c r="L99" s="2318">
        <f t="shared" si="30"/>
        <v>1</v>
      </c>
      <c r="M99" s="2318">
        <f t="shared" si="30"/>
        <v>1</v>
      </c>
      <c r="N99" s="2318">
        <f>$I$3</f>
        <v>1</v>
      </c>
    </row>
    <row r="100" spans="1:14">
      <c r="A100" s="3425"/>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423" t="s">
        <v>2734</v>
      </c>
      <c r="B101" s="2320" t="s">
        <v>2735</v>
      </c>
      <c r="C101" s="2321">
        <f>$G$3</f>
        <v>6.84</v>
      </c>
      <c r="D101" s="2321">
        <f t="shared" ref="D101:N101" si="31">$G$3</f>
        <v>6.84</v>
      </c>
      <c r="E101" s="2321">
        <f t="shared" si="31"/>
        <v>6.84</v>
      </c>
      <c r="F101" s="2321">
        <f t="shared" si="31"/>
        <v>6.84</v>
      </c>
      <c r="G101" s="2321">
        <f t="shared" si="31"/>
        <v>6.84</v>
      </c>
      <c r="H101" s="2321">
        <f t="shared" si="31"/>
        <v>6.84</v>
      </c>
      <c r="I101" s="2321">
        <f t="shared" si="31"/>
        <v>6.84</v>
      </c>
      <c r="J101" s="2321">
        <f t="shared" si="31"/>
        <v>6.84</v>
      </c>
      <c r="K101" s="2321">
        <f t="shared" si="31"/>
        <v>6.84</v>
      </c>
      <c r="L101" s="2321">
        <f t="shared" si="31"/>
        <v>6.84</v>
      </c>
      <c r="M101" s="2321">
        <f t="shared" si="31"/>
        <v>6.84</v>
      </c>
      <c r="N101" s="2321">
        <f t="shared" si="31"/>
        <v>6.84</v>
      </c>
    </row>
    <row r="102" spans="1:14">
      <c r="A102" s="3424"/>
      <c r="B102" s="2316">
        <v>1</v>
      </c>
      <c r="C102" s="2317">
        <f>1.9362/C101</f>
        <v>0.28307017543859647</v>
      </c>
      <c r="D102" s="2317">
        <f>1.9362/D101</f>
        <v>0.28307017543859647</v>
      </c>
      <c r="E102" s="2317">
        <f>1.8629/E101</f>
        <v>0.27235380116959063</v>
      </c>
      <c r="F102" s="2317">
        <f>1.8629/F101</f>
        <v>0.27235380116959063</v>
      </c>
      <c r="G102" s="2317">
        <f>1.8629/G101</f>
        <v>0.27235380116959063</v>
      </c>
      <c r="H102" s="2317">
        <f>1.8629/H101</f>
        <v>0.27235380116959063</v>
      </c>
      <c r="I102" s="2317">
        <f>1.8629/I101</f>
        <v>0.27235380116959063</v>
      </c>
      <c r="J102" s="2317">
        <f>1.942/J101</f>
        <v>0.28391812865497074</v>
      </c>
      <c r="K102" s="2317">
        <f>1.942/K101</f>
        <v>0.28391812865497074</v>
      </c>
      <c r="L102" s="2317">
        <f>1.942/L101</f>
        <v>0.28391812865497074</v>
      </c>
      <c r="M102" s="2317">
        <f>1.942/M101</f>
        <v>0.28391812865497074</v>
      </c>
      <c r="N102" s="2317">
        <f>1.942/N101</f>
        <v>0.28391812865497074</v>
      </c>
    </row>
    <row r="103" spans="1:14">
      <c r="A103" s="3424"/>
      <c r="B103" s="2316">
        <v>2</v>
      </c>
      <c r="C103" s="2317">
        <f>1.4198/C101</f>
        <v>0.20757309941520469</v>
      </c>
      <c r="D103" s="2317">
        <f>1.4198/D101</f>
        <v>0.20757309941520469</v>
      </c>
      <c r="E103" s="2317">
        <f>1.3372/E101</f>
        <v>0.19549707602339181</v>
      </c>
      <c r="F103" s="2317">
        <f>1.3372/F101</f>
        <v>0.19549707602339181</v>
      </c>
      <c r="G103" s="2317">
        <f>1.3372/G101</f>
        <v>0.19549707602339181</v>
      </c>
      <c r="H103" s="2317">
        <f>1.3372/H101</f>
        <v>0.19549707602339181</v>
      </c>
      <c r="I103" s="2317">
        <f>1.3372/I101</f>
        <v>0.19549707602339181</v>
      </c>
      <c r="J103" s="2317">
        <f>1.2799/J101</f>
        <v>0.18711988304093569</v>
      </c>
      <c r="K103" s="2317">
        <f>1.2799/K101</f>
        <v>0.18711988304093569</v>
      </c>
      <c r="L103" s="2317">
        <f>1.2799/L101</f>
        <v>0.18711988304093569</v>
      </c>
      <c r="M103" s="2317">
        <f>1.2799/M101</f>
        <v>0.18711988304093569</v>
      </c>
      <c r="N103" s="2317">
        <f>1.2799/N101</f>
        <v>0.18711988304093569</v>
      </c>
    </row>
    <row r="104" spans="1:14">
      <c r="A104" s="3424"/>
      <c r="B104" s="2316">
        <v>3</v>
      </c>
      <c r="C104" s="2317">
        <f>1.1594/C101</f>
        <v>0.16950292397660818</v>
      </c>
      <c r="D104" s="2317">
        <f>1.1594/D101</f>
        <v>0.16950292397660818</v>
      </c>
      <c r="E104" s="2317">
        <f>1.0788/E101</f>
        <v>0.15771929824561404</v>
      </c>
      <c r="F104" s="2317">
        <f>1.0788/F101</f>
        <v>0.15771929824561404</v>
      </c>
      <c r="G104" s="2317">
        <f>1.0788/G101</f>
        <v>0.15771929824561404</v>
      </c>
      <c r="H104" s="2317">
        <f>1.0788/H101</f>
        <v>0.15771929824561404</v>
      </c>
      <c r="I104" s="2317">
        <f>1.0788/I101</f>
        <v>0.15771929824561404</v>
      </c>
      <c r="J104" s="2317">
        <f>1.0072/J101</f>
        <v>0.14725146198830411</v>
      </c>
      <c r="K104" s="2317">
        <f>1.0072/K101</f>
        <v>0.14725146198830411</v>
      </c>
      <c r="L104" s="2317">
        <f>1.0072/L101</f>
        <v>0.14725146198830411</v>
      </c>
      <c r="M104" s="2317">
        <f>1.0072/M101</f>
        <v>0.14725146198830411</v>
      </c>
      <c r="N104" s="2317">
        <f>1.0072/N101</f>
        <v>0.14725146198830411</v>
      </c>
    </row>
    <row r="105" spans="1:14">
      <c r="A105" s="3424"/>
      <c r="B105" s="2316">
        <v>4</v>
      </c>
      <c r="C105" s="2317">
        <f>0.9622/C101</f>
        <v>0.14067251461988306</v>
      </c>
      <c r="D105" s="2317">
        <f>0.9622/D101</f>
        <v>0.14067251461988306</v>
      </c>
      <c r="E105" s="2317">
        <f>0.8656/E101</f>
        <v>0.12654970760233919</v>
      </c>
      <c r="F105" s="2317">
        <f>0.8656/F101</f>
        <v>0.12654970760233919</v>
      </c>
      <c r="G105" s="2317">
        <f>0.8656/G101</f>
        <v>0.12654970760233919</v>
      </c>
      <c r="H105" s="2317">
        <f>0.8656/H101</f>
        <v>0.12654970760233919</v>
      </c>
      <c r="I105" s="2317">
        <f>0.8656/I101</f>
        <v>0.12654970760233919</v>
      </c>
      <c r="J105" s="2317">
        <f>0.7525/J101</f>
        <v>0.11001461988304093</v>
      </c>
      <c r="K105" s="2317">
        <f>0.7525/K101</f>
        <v>0.11001461988304093</v>
      </c>
      <c r="L105" s="2317">
        <f>0.7525/L101</f>
        <v>0.11001461988304093</v>
      </c>
      <c r="M105" s="2317">
        <f>0.7525/M101</f>
        <v>0.11001461988304093</v>
      </c>
      <c r="N105" s="2317">
        <f>0.7525/N101</f>
        <v>0.11001461988304093</v>
      </c>
    </row>
    <row r="106" spans="1:14">
      <c r="A106" s="3424"/>
      <c r="B106" s="2316">
        <v>5</v>
      </c>
      <c r="C106" s="2317">
        <f>0.8417/C101</f>
        <v>0.12305555555555556</v>
      </c>
      <c r="D106" s="2317">
        <f>0.8417/D101</f>
        <v>0.12305555555555556</v>
      </c>
      <c r="E106" s="2317">
        <f>0.7371/E101</f>
        <v>0.10776315789473684</v>
      </c>
      <c r="F106" s="2317">
        <f>0.7371/F101</f>
        <v>0.10776315789473684</v>
      </c>
      <c r="G106" s="2317">
        <f>0.7371/G101</f>
        <v>0.10776315789473684</v>
      </c>
      <c r="H106" s="2317">
        <f>0.7371/H101</f>
        <v>0.10776315789473684</v>
      </c>
      <c r="I106" s="2317">
        <f>0.7371/I101</f>
        <v>0.10776315789473684</v>
      </c>
      <c r="J106" s="2317">
        <f>0.5659/J101</f>
        <v>8.2733918128654965E-2</v>
      </c>
      <c r="K106" s="2317">
        <f>0.5659/K101</f>
        <v>8.2733918128654965E-2</v>
      </c>
      <c r="L106" s="2317">
        <f>0.5659/L101</f>
        <v>8.2733918128654965E-2</v>
      </c>
      <c r="M106" s="2317">
        <f>0.5659/M101</f>
        <v>8.2733918128654965E-2</v>
      </c>
      <c r="N106" s="2317">
        <f>0.5659/N101</f>
        <v>8.2733918128654965E-2</v>
      </c>
    </row>
    <row r="107" spans="1:14">
      <c r="A107" s="3424"/>
      <c r="B107" s="2316">
        <v>6</v>
      </c>
      <c r="C107" s="2317">
        <f>0.7608/C101</f>
        <v>0.11122807017543861</v>
      </c>
      <c r="D107" s="2317">
        <f>0.7608/D101</f>
        <v>0.11122807017543861</v>
      </c>
      <c r="E107" s="2317">
        <f>0.6482/E101</f>
        <v>9.4766081871345026E-2</v>
      </c>
      <c r="F107" s="2317">
        <f>0.6482/F101</f>
        <v>9.4766081871345026E-2</v>
      </c>
      <c r="G107" s="2317">
        <f>0.6482/G101</f>
        <v>9.4766081871345026E-2</v>
      </c>
      <c r="H107" s="2317">
        <f>0.6482/H101</f>
        <v>9.4766081871345026E-2</v>
      </c>
      <c r="I107" s="2317">
        <f>0.6482/I101</f>
        <v>9.4766081871345026E-2</v>
      </c>
      <c r="J107" s="2317">
        <f>0.4525/J101</f>
        <v>6.6154970760233925E-2</v>
      </c>
      <c r="K107" s="2317">
        <f>0.4525/K101</f>
        <v>6.6154970760233925E-2</v>
      </c>
      <c r="L107" s="2317">
        <f>0.4525/L101</f>
        <v>6.6154970760233925E-2</v>
      </c>
      <c r="M107" s="2317">
        <f>0.4525/M101</f>
        <v>6.6154970760233925E-2</v>
      </c>
      <c r="N107" s="2317">
        <f>0.4525/N101</f>
        <v>6.6154970760233925E-2</v>
      </c>
    </row>
    <row r="108" spans="1:14">
      <c r="A108" s="3424"/>
      <c r="B108" s="3426" t="s">
        <v>2736</v>
      </c>
      <c r="C108" s="2318">
        <f>C99</f>
        <v>1</v>
      </c>
      <c r="D108" s="2318">
        <f t="shared" ref="D108:N108" si="32">D99</f>
        <v>1</v>
      </c>
      <c r="E108" s="2318">
        <f t="shared" si="32"/>
        <v>1</v>
      </c>
      <c r="F108" s="2318">
        <f t="shared" si="32"/>
        <v>1</v>
      </c>
      <c r="G108" s="2318">
        <f t="shared" si="32"/>
        <v>1</v>
      </c>
      <c r="H108" s="2318">
        <f t="shared" si="32"/>
        <v>1</v>
      </c>
      <c r="I108" s="2318">
        <f t="shared" si="32"/>
        <v>1</v>
      </c>
      <c r="J108" s="2318">
        <f t="shared" si="32"/>
        <v>1</v>
      </c>
      <c r="K108" s="2318">
        <f t="shared" si="32"/>
        <v>1</v>
      </c>
      <c r="L108" s="2318">
        <f t="shared" si="32"/>
        <v>1</v>
      </c>
      <c r="M108" s="2318">
        <f t="shared" si="32"/>
        <v>1</v>
      </c>
      <c r="N108" s="2318">
        <f t="shared" si="32"/>
        <v>1</v>
      </c>
    </row>
    <row r="109" spans="1:14">
      <c r="A109" s="3425"/>
      <c r="B109" s="3427"/>
      <c r="C109" s="2319">
        <f>(-0.163*(C108^2)-0.59*C108+7617)*(10^(-4))/C101</f>
        <v>0.1113486403508772</v>
      </c>
      <c r="D109" s="2319">
        <f>(-0.163*(D108^2)-0.59*D108+7617)*(10^(-4))/D101</f>
        <v>0.1113486403508772</v>
      </c>
      <c r="E109" s="2319">
        <f>(-0.161*(E108^2)-7.509*E108+6533)*(10^(-4))/E101</f>
        <v>9.5399561403508776E-2</v>
      </c>
      <c r="F109" s="2319">
        <f>(-0.161*(F108^2)-7.509*F108+6533)*(10^(-4))/F101</f>
        <v>9.5399561403508776E-2</v>
      </c>
      <c r="G109" s="2319">
        <f>(-0.161*(G108^2)-7.509*G108+6533)*(10^(-4))/G101</f>
        <v>9.5399561403508776E-2</v>
      </c>
      <c r="H109" s="2319">
        <f>(-0.161*(H108^2)-7.509*H108+6533)*(10^(-4))/H101</f>
        <v>9.5399561403508776E-2</v>
      </c>
      <c r="I109" s="2319">
        <f>(-0.161*(I108^2)-7.509*I108+6533)*(10^(-4))/I101</f>
        <v>9.5399561403508776E-2</v>
      </c>
      <c r="J109" s="2319">
        <f>(-0.214*(J108^2)-21.991*J108+4665)*(10^(-4))/J101</f>
        <v>6.7877119883040946E-2</v>
      </c>
      <c r="K109" s="2319">
        <f>(-0.214*(K108^2)-21.991*K108+4665)*(10^(-4))/K101</f>
        <v>6.7877119883040946E-2</v>
      </c>
      <c r="L109" s="2319">
        <f>(-0.214*(L108^2)-21.991*L108+4665)*(10^(-4))/L101</f>
        <v>6.7877119883040946E-2</v>
      </c>
      <c r="M109" s="2319">
        <f>(-0.214*(M108^2)-21.991*M108+4665)*(10^(-4))/M101</f>
        <v>6.7877119883040946E-2</v>
      </c>
      <c r="N109" s="2319">
        <f>(-0.214*(N108^2)-21.991*N108+4665)*(10^(-4))/N101</f>
        <v>6.7877119883040946E-2</v>
      </c>
    </row>
    <row r="110" spans="1:14">
      <c r="A110" s="3421" t="s">
        <v>2737</v>
      </c>
      <c r="B110" s="3421"/>
      <c r="C110" s="3421"/>
      <c r="D110" s="3421"/>
      <c r="E110" s="3421"/>
      <c r="F110" s="3421"/>
      <c r="G110" s="3421"/>
      <c r="H110" s="3421"/>
      <c r="I110" s="3421"/>
      <c r="J110" s="3421"/>
      <c r="K110" s="2322"/>
      <c r="L110" s="2322"/>
      <c r="M110" s="2322"/>
      <c r="N110" s="2322"/>
    </row>
    <row r="112" spans="1:14" ht="13.8" thickBot="1"/>
    <row r="113" spans="1:13" ht="25.8" thickBot="1">
      <c r="A113" s="842" t="s">
        <v>2738</v>
      </c>
      <c r="B113" s="1197">
        <f>G3</f>
        <v>6.84</v>
      </c>
      <c r="C113" s="843" t="s">
        <v>2739</v>
      </c>
      <c r="D113" s="844">
        <f>SUMPRODUCT((A115:A118=F113)*(B114:M114=H113)*B115:M118)</f>
        <v>0.75849999999999995</v>
      </c>
      <c r="E113" s="2158" t="s">
        <v>2574</v>
      </c>
      <c r="F113" s="2324" t="str">
        <f>E2</f>
        <v>商业</v>
      </c>
      <c r="G113" s="2158" t="s">
        <v>2575</v>
      </c>
      <c r="H113" s="2324" t="str">
        <f>G2</f>
        <v>四级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0.86919999999999997</v>
      </c>
      <c r="C115" s="849">
        <f>B115</f>
        <v>0.86919999999999997</v>
      </c>
      <c r="D115" s="849">
        <f>ROUND(0.8331-0.0109*B113,4)</f>
        <v>0.75849999999999995</v>
      </c>
      <c r="E115" s="849">
        <f>D115</f>
        <v>0.75849999999999995</v>
      </c>
      <c r="F115" s="849">
        <f>E115</f>
        <v>0.75849999999999995</v>
      </c>
      <c r="G115" s="849">
        <f>F115</f>
        <v>0.75849999999999995</v>
      </c>
      <c r="H115" s="849">
        <f>G115</f>
        <v>0.75849999999999995</v>
      </c>
      <c r="I115" s="849">
        <f>ROUND(0.689-0.0155*B113,4)</f>
        <v>0.58299999999999996</v>
      </c>
      <c r="J115" s="849">
        <f t="shared" ref="J115:M118" si="33">I115</f>
        <v>0.58299999999999996</v>
      </c>
      <c r="K115" s="849">
        <f t="shared" si="33"/>
        <v>0.58299999999999996</v>
      </c>
      <c r="L115" s="849">
        <f t="shared" si="33"/>
        <v>0.58299999999999996</v>
      </c>
      <c r="M115" s="850">
        <f t="shared" si="33"/>
        <v>0.58299999999999996</v>
      </c>
    </row>
    <row r="116" spans="1:13">
      <c r="A116" s="848" t="s">
        <v>2639</v>
      </c>
      <c r="B116" s="849">
        <f>ROUND(0.949-0.012*B113,4)</f>
        <v>0.8669</v>
      </c>
      <c r="C116" s="849">
        <f>B116</f>
        <v>0.8669</v>
      </c>
      <c r="D116" s="849">
        <f>ROUND(0.8567-0.013*B113,4)</f>
        <v>0.76780000000000004</v>
      </c>
      <c r="E116" s="849">
        <f t="shared" ref="E116:H117" si="34">D116</f>
        <v>0.76780000000000004</v>
      </c>
      <c r="F116" s="849">
        <f t="shared" si="34"/>
        <v>0.76780000000000004</v>
      </c>
      <c r="G116" s="849">
        <f t="shared" si="34"/>
        <v>0.76780000000000004</v>
      </c>
      <c r="H116" s="849">
        <f t="shared" si="34"/>
        <v>0.76780000000000004</v>
      </c>
      <c r="I116" s="849">
        <f>ROUND(0.7694-0.014*B113,4)</f>
        <v>0.67359999999999998</v>
      </c>
      <c r="J116" s="849">
        <f t="shared" si="33"/>
        <v>0.67359999999999998</v>
      </c>
      <c r="K116" s="849">
        <f t="shared" si="33"/>
        <v>0.67359999999999998</v>
      </c>
      <c r="L116" s="849">
        <f t="shared" si="33"/>
        <v>0.67359999999999998</v>
      </c>
      <c r="M116" s="850">
        <f t="shared" si="33"/>
        <v>0.67359999999999998</v>
      </c>
    </row>
    <row r="117" spans="1:13">
      <c r="A117" s="848" t="s">
        <v>2640</v>
      </c>
      <c r="B117" s="849">
        <f>ROUND(0.8808-0.006*B113,4)</f>
        <v>0.83979999999999999</v>
      </c>
      <c r="C117" s="849">
        <f>B117</f>
        <v>0.83979999999999999</v>
      </c>
      <c r="D117" s="849">
        <f>ROUND(0.8748-0.008*B113,4)</f>
        <v>0.82010000000000005</v>
      </c>
      <c r="E117" s="849">
        <f t="shared" si="34"/>
        <v>0.82010000000000005</v>
      </c>
      <c r="F117" s="849">
        <f t="shared" si="34"/>
        <v>0.82010000000000005</v>
      </c>
      <c r="G117" s="849">
        <f t="shared" si="34"/>
        <v>0.82010000000000005</v>
      </c>
      <c r="H117" s="849">
        <f t="shared" si="34"/>
        <v>0.82010000000000005</v>
      </c>
      <c r="I117" s="849">
        <f>ROUND(0.7412-0.0095*B113,4)</f>
        <v>0.67620000000000002</v>
      </c>
      <c r="J117" s="849">
        <f t="shared" si="33"/>
        <v>0.67620000000000002</v>
      </c>
      <c r="K117" s="849">
        <f t="shared" si="33"/>
        <v>0.67620000000000002</v>
      </c>
      <c r="L117" s="849">
        <f t="shared" si="33"/>
        <v>0.67620000000000002</v>
      </c>
      <c r="M117" s="850">
        <f t="shared" si="33"/>
        <v>0.67620000000000002</v>
      </c>
    </row>
    <row r="118" spans="1:13" ht="13.8" thickBot="1">
      <c r="A118" s="670" t="s">
        <v>2641</v>
      </c>
      <c r="B118" s="851">
        <f>ROUND(0.7275-0.01*B113,4)</f>
        <v>0.65910000000000002</v>
      </c>
      <c r="C118" s="851">
        <f>B118</f>
        <v>0.65910000000000002</v>
      </c>
      <c r="D118" s="851">
        <f>ROUND(0.7043-0.012*B113,4)</f>
        <v>0.62219999999999998</v>
      </c>
      <c r="E118" s="851">
        <f>D118</f>
        <v>0.62219999999999998</v>
      </c>
      <c r="F118" s="851">
        <f>E118</f>
        <v>0.62219999999999998</v>
      </c>
      <c r="G118" s="851">
        <f>ROUND(0.6299-0.0122*B113,4)</f>
        <v>0.54649999999999999</v>
      </c>
      <c r="H118" s="851">
        <f>G118</f>
        <v>0.54649999999999999</v>
      </c>
      <c r="I118" s="851">
        <f>ROUND(0.5667-0.0136*B113,4)</f>
        <v>0.47370000000000001</v>
      </c>
      <c r="J118" s="851">
        <f t="shared" si="33"/>
        <v>0.47370000000000001</v>
      </c>
      <c r="K118" s="851">
        <f t="shared" si="33"/>
        <v>0.47370000000000001</v>
      </c>
      <c r="L118" s="851">
        <f t="shared" si="33"/>
        <v>0.47370000000000001</v>
      </c>
      <c r="M118" s="852">
        <f t="shared" si="33"/>
        <v>0.47370000000000001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29" t="str">
        <f>项目基本情况!B1</f>
        <v>北京市松榆南路52、54、56号房地产抵押价值预评估</v>
      </c>
      <c r="C37" s="3229"/>
      <c r="D37" s="3229"/>
      <c r="E37" s="3229"/>
      <c r="F37" s="3229"/>
      <c r="G37" s="3229"/>
      <c r="H37" s="3229"/>
      <c r="I37" s="3229"/>
    </row>
    <row r="38" spans="1:9">
      <c r="A38" s="953"/>
      <c r="B38" s="953"/>
    </row>
    <row r="39" spans="1:9">
      <c r="A39" s="951" t="s">
        <v>818</v>
      </c>
      <c r="B39" s="951" t="s">
        <v>820</v>
      </c>
    </row>
    <row r="40" spans="1:9">
      <c r="A40" s="951"/>
      <c r="B40" s="1629" t="str">
        <f>项目基本情况!B5</f>
        <v>北京汉华房地产开发有限公司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90" zoomScaleNormal="70" zoomScaleSheetLayoutView="90" workbookViewId="0">
      <selection activeCell="K6" sqref="K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11" s="206" customFormat="1" ht="21">
      <c r="A1" s="202" t="s">
        <v>2086</v>
      </c>
      <c r="B1" s="1624"/>
      <c r="C1" s="204"/>
      <c r="D1" s="204"/>
      <c r="E1" s="204"/>
      <c r="F1" s="204"/>
      <c r="G1" s="1260">
        <f>MATCH(B1,'数据-取费表'!A6:A16,0)+5</f>
        <v>8</v>
      </c>
    </row>
    <row r="2" spans="1:11" s="206" customFormat="1" ht="18" customHeight="1">
      <c r="A2" s="207" t="s">
        <v>2087</v>
      </c>
      <c r="B2" s="208">
        <f ca="1">IF(D2="——",C52,C52-E2)</f>
        <v>42581</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f ca="1">ROUND(B2*10000/(IF(B1="",'数据-汇总表'!E3,INDIRECT("'数据-取费表'!k"&amp;$G$1))),0)</f>
        <v>37023</v>
      </c>
      <c r="C3" s="205" t="s">
        <v>2090</v>
      </c>
      <c r="D3" s="205"/>
      <c r="E3" s="205"/>
      <c r="F3" s="205"/>
      <c r="G3" s="205"/>
    </row>
    <row r="4" spans="1:11" s="214" customFormat="1" ht="16.2">
      <c r="A4" s="211" t="s">
        <v>2091</v>
      </c>
      <c r="B4" s="212"/>
      <c r="C4" s="212"/>
      <c r="D4" s="212"/>
      <c r="E4" s="212"/>
      <c r="F4" s="212"/>
      <c r="G4" s="213"/>
    </row>
    <row r="5" spans="1:11" s="220" customFormat="1" ht="13.5" customHeight="1">
      <c r="A5" s="261" t="s">
        <v>2092</v>
      </c>
      <c r="B5" s="216" t="s">
        <v>2093</v>
      </c>
      <c r="C5" s="217">
        <f ca="1">C6+C7+C8</f>
        <v>25785</v>
      </c>
      <c r="D5" s="217" t="s">
        <v>2094</v>
      </c>
      <c r="E5" s="218" t="s">
        <v>2095</v>
      </c>
      <c r="F5" s="218" t="s">
        <v>2096</v>
      </c>
      <c r="G5" s="219"/>
    </row>
    <row r="6" spans="1:11" s="220" customFormat="1" ht="13.5" customHeight="1">
      <c r="A6" s="886" t="s">
        <v>2097</v>
      </c>
      <c r="B6" s="221" t="s">
        <v>2098</v>
      </c>
      <c r="C6" s="222">
        <f>基准地价修正!B2</f>
        <v>24799</v>
      </c>
      <c r="D6" s="223"/>
      <c r="E6" s="224"/>
      <c r="F6" s="224"/>
      <c r="G6" s="225"/>
      <c r="K6" s="220">
        <f ca="1">C6*10000/D10</f>
        <v>21562.060372725675</v>
      </c>
    </row>
    <row r="7" spans="1:11" s="220" customFormat="1" ht="13.5" customHeight="1">
      <c r="A7" s="886" t="s">
        <v>2099</v>
      </c>
      <c r="B7" s="221" t="s">
        <v>2100</v>
      </c>
      <c r="C7" s="226">
        <f>ROUND(C6*F7,0)</f>
        <v>756</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230</v>
      </c>
      <c r="D8" s="228"/>
      <c r="E8" s="226"/>
      <c r="F8" s="227"/>
      <c r="G8" s="2012" t="s">
        <v>3172</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c r="H9" s="1271"/>
      <c r="I9" s="2014" t="s">
        <v>2104</v>
      </c>
    </row>
    <row r="10" spans="1:11" s="220" customFormat="1" ht="13.5" customHeight="1">
      <c r="A10" s="887" t="s">
        <v>801</v>
      </c>
      <c r="B10" s="230" t="s">
        <v>2105</v>
      </c>
      <c r="C10" s="231">
        <f ca="1">ROUND(D10*E10/10000,0)</f>
        <v>230</v>
      </c>
      <c r="D10" s="954">
        <f ca="1">IF(B1="",'数据-汇总表'!E6,IF(INDIRECT("'数据-取费表'!c"&amp;$G$1)="住宅",INDIRECT("'数据-取费表'!s"&amp;$G$1),INDIRECT("'数据-取费表'!k"&amp;$G$1)+INDIRECT("'数据-取费表'!s"&amp;$G$1)))</f>
        <v>11501.220000000001</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11501.220000000001</v>
      </c>
      <c r="E19" s="217">
        <f>'数据-取费表'!B31</f>
        <v>200</v>
      </c>
      <c r="F19" s="237"/>
      <c r="G19" s="2012" t="s">
        <v>3173</v>
      </c>
    </row>
    <row r="20" spans="1:7" s="220" customFormat="1" ht="13.5" customHeight="1">
      <c r="A20" s="261" t="s">
        <v>2118</v>
      </c>
      <c r="B20" s="216" t="s">
        <v>2119</v>
      </c>
      <c r="C20" s="238">
        <f ca="1">ROUND((C5+C19)*F20,0)</f>
        <v>516</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2287</v>
      </c>
      <c r="D22" s="241">
        <f ca="1">C26</f>
        <v>8.9999999999999998E-4</v>
      </c>
      <c r="E22" s="242" t="s">
        <v>2123</v>
      </c>
      <c r="F22" s="243">
        <f ca="1">'数据-取费表'!B40</f>
        <v>4.2999999999999997E-2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2265</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22</v>
      </c>
      <c r="D25" s="244"/>
      <c r="E25" s="247"/>
      <c r="F25" s="245"/>
      <c r="G25" s="248" t="s">
        <v>2135</v>
      </c>
    </row>
    <row r="26" spans="1:7" s="220" customFormat="1">
      <c r="A26" s="888" t="s">
        <v>795</v>
      </c>
      <c r="B26" s="221" t="s">
        <v>2136</v>
      </c>
      <c r="C26" s="244">
        <f ca="1">ROUND(IF('数据-取费表'!B22&lt;=1,F21*F22*'数据-取费表'!B23/2,F21*(POWER((1+F22),'数据-取费表'!B23/2)-1)),4)</f>
        <v>8.9999999999999998E-4</v>
      </c>
      <c r="D26" s="244"/>
      <c r="E26" s="247"/>
      <c r="F26" s="245"/>
      <c r="G26" s="249"/>
    </row>
    <row r="27" spans="1:7" s="220" customFormat="1" ht="26.4">
      <c r="A27" s="261" t="s">
        <v>2137</v>
      </c>
      <c r="B27" s="250" t="s">
        <v>2138</v>
      </c>
      <c r="C27" s="251">
        <f ca="1">C28</f>
        <v>4734</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ROUND((C5+C19+C20)*F27*'数据-取费表'!B21/'数据-取费表'!B20,0)</f>
        <v>4734</v>
      </c>
      <c r="D28" s="241"/>
      <c r="E28" s="242"/>
      <c r="F28" s="252"/>
      <c r="G28" s="253"/>
    </row>
    <row r="29" spans="1:7" s="220" customFormat="1" ht="13.5" customHeight="1">
      <c r="A29" s="888" t="s">
        <v>792</v>
      </c>
      <c r="B29" s="254" t="s">
        <v>2142</v>
      </c>
      <c r="C29" s="244">
        <f ca="1">ROUND(C21*F27*'数据-取费表'!B21/'数据-取费表'!B20,4)</f>
        <v>3.5999999999999999E-3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36133</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5959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5483</v>
      </c>
      <c r="D34" s="223"/>
      <c r="E34" s="226"/>
      <c r="F34" s="263">
        <f ca="1">IF('数据-取费表'!B24=0,1,IF(B1="",'数据-取费表'!N16,INDIRECT("'数据-取费表'!n"&amp;$G$1)))</f>
        <v>1</v>
      </c>
      <c r="G34" s="225" t="s">
        <v>2151</v>
      </c>
    </row>
    <row r="35" spans="1:7" ht="13.5" customHeight="1">
      <c r="A35" s="888" t="s">
        <v>796</v>
      </c>
      <c r="B35" s="221" t="s">
        <v>2152</v>
      </c>
      <c r="C35" s="226">
        <f ca="1">ROUND(C34*F35,0)</f>
        <v>164</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230</v>
      </c>
      <c r="D37" s="223">
        <f ca="1">D19</f>
        <v>11501.220000000001</v>
      </c>
      <c r="E37" s="255">
        <f>'数据-取费表'!B35</f>
        <v>200</v>
      </c>
      <c r="F37" s="265"/>
      <c r="G37" s="267" t="s">
        <v>2157</v>
      </c>
    </row>
    <row r="38" spans="1:7" ht="13.5" customHeight="1">
      <c r="A38" s="888" t="s">
        <v>799</v>
      </c>
      <c r="B38" s="221" t="s">
        <v>2158</v>
      </c>
      <c r="C38" s="226">
        <f ca="1">ROUND(C34*F38,0)</f>
        <v>82</v>
      </c>
      <c r="D38" s="226"/>
      <c r="E38" s="226"/>
      <c r="F38" s="265">
        <f>'数据-取费表'!B36</f>
        <v>1.4999999999999999E-2</v>
      </c>
      <c r="G38" s="225" t="s">
        <v>2153</v>
      </c>
    </row>
    <row r="39" spans="1:7" s="220" customFormat="1" ht="13.5" customHeight="1">
      <c r="A39" s="261" t="s">
        <v>2159</v>
      </c>
      <c r="B39" s="216" t="s">
        <v>2160</v>
      </c>
      <c r="C39" s="238">
        <f ca="1">ROUND(C33*F20,0)</f>
        <v>119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261</v>
      </c>
      <c r="D41" s="241">
        <f ca="1">C44</f>
        <v>8.9999999999999998E-4</v>
      </c>
      <c r="E41" s="242" t="s">
        <v>2164</v>
      </c>
      <c r="F41" s="2506">
        <f ca="1">F22</f>
        <v>4.2999999999999997E-2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256</v>
      </c>
      <c r="D42" s="244"/>
      <c r="E42" s="244"/>
      <c r="F42" s="245"/>
      <c r="G42" s="3444" t="s">
        <v>2169</v>
      </c>
    </row>
    <row r="43" spans="1:7" ht="13.5" customHeight="1">
      <c r="A43" s="888" t="s">
        <v>792</v>
      </c>
      <c r="B43" s="221" t="s">
        <v>2170</v>
      </c>
      <c r="C43" s="244">
        <f ca="1">ROUND(IF('数据-取费表'!B22&lt;=1,C39*F22*'数据-取费表'!B21/2,C39*(POWER((1+F22),'数据-取费表'!B21/2)-1)),0)</f>
        <v>5</v>
      </c>
      <c r="D43" s="244"/>
      <c r="E43" s="244"/>
      <c r="F43" s="245"/>
      <c r="G43" s="3445"/>
    </row>
    <row r="44" spans="1:7" ht="13.5" customHeight="1">
      <c r="A44" s="888" t="s">
        <v>793</v>
      </c>
      <c r="B44" s="221" t="s">
        <v>2171</v>
      </c>
      <c r="C44" s="244">
        <f ca="1">ROUND(IF('数据-取费表'!B22&lt;=1,C40*F22*'数据-取费表'!B21/2,C40*(POWER((1+F22),'数据-取费表'!B21/2)-1)),4)</f>
        <v>8.9999999999999998E-4</v>
      </c>
      <c r="D44" s="244"/>
      <c r="E44" s="244"/>
      <c r="F44" s="245"/>
      <c r="G44" s="3446"/>
    </row>
    <row r="45" spans="1:7" s="220" customFormat="1" ht="13.5" customHeight="1">
      <c r="A45" s="261" t="s">
        <v>2172</v>
      </c>
      <c r="B45" s="250" t="s">
        <v>2138</v>
      </c>
      <c r="C45" s="251">
        <f ca="1">C46</f>
        <v>1094</v>
      </c>
      <c r="D45" s="241">
        <f ca="1">C47</f>
        <v>3.5999999999999999E-3</v>
      </c>
      <c r="E45" s="242" t="s">
        <v>2164</v>
      </c>
      <c r="F45" s="2507">
        <f ca="1">F27</f>
        <v>0.18</v>
      </c>
      <c r="G45" s="253" t="s">
        <v>2173</v>
      </c>
    </row>
    <row r="46" spans="1:7" s="220" customFormat="1" ht="13.5" customHeight="1">
      <c r="A46" s="888" t="s">
        <v>791</v>
      </c>
      <c r="B46" s="254" t="s">
        <v>2174</v>
      </c>
      <c r="C46" s="255">
        <f ca="1">ROUND((C33+C39)*F27,0)</f>
        <v>1094</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8060</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6448</v>
      </c>
      <c r="D51" s="238"/>
      <c r="E51" s="238"/>
      <c r="F51" s="270"/>
      <c r="G51" s="240" t="s">
        <v>2185</v>
      </c>
    </row>
    <row r="52" spans="1:7" s="214" customFormat="1" ht="16.8" thickBot="1">
      <c r="A52" s="271" t="s">
        <v>2186</v>
      </c>
      <c r="B52" s="272"/>
      <c r="C52" s="273">
        <f ca="1">C31+C51</f>
        <v>42581</v>
      </c>
      <c r="D52" s="272"/>
      <c r="E52" s="272"/>
      <c r="F52" s="272"/>
      <c r="G52" s="274"/>
    </row>
    <row r="55" spans="1:7" ht="15">
      <c r="B55" s="276" t="s">
        <v>2187</v>
      </c>
      <c r="C55" s="277"/>
    </row>
    <row r="56" spans="1:7">
      <c r="B56" s="279" t="s">
        <v>1417</v>
      </c>
      <c r="C56" s="281">
        <f ca="1">1-C57</f>
        <v>0.84899999999999998</v>
      </c>
    </row>
    <row r="57" spans="1:7">
      <c r="B57" s="279" t="s">
        <v>1418</v>
      </c>
      <c r="C57" s="280">
        <f ca="1">ROUND(C51/C52,3)</f>
        <v>0.151</v>
      </c>
    </row>
  </sheetData>
  <sheetProtection password="CEE9" sheet="1" objects="1" scenarios="1"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4"/>
      <c r="C1" s="2015" t="s">
        <v>2188</v>
      </c>
      <c r="D1" s="204"/>
      <c r="E1" s="204"/>
      <c r="F1" s="204"/>
      <c r="G1" s="1260">
        <f>MATCH(B1,'数据-取费表'!A6:A16,0)+5</f>
        <v>8</v>
      </c>
      <c r="H1" s="1192" t="str">
        <f>IF(ISERROR(FIND("住宅",B1)),"非住宅","住宅")</f>
        <v>非住宅</v>
      </c>
    </row>
    <row r="2" spans="1:8" s="206" customFormat="1" ht="18" customHeight="1">
      <c r="A2" s="207" t="s">
        <v>2087</v>
      </c>
      <c r="B2" s="208">
        <f ca="1">ROUND(IF(D2="——",C52/10000,C52/10000-E2),0)</f>
        <v>7094</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6168</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2300244</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2300244</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2105</v>
      </c>
      <c r="C10" s="231">
        <f ca="1">ROUND(D10*E10,0)</f>
        <v>2300244</v>
      </c>
      <c r="D10" s="954">
        <f ca="1">IF(B1="",'数据-汇总表'!E6,IF(INDIRECT("'数据-取费表'!c"&amp;$G$1)="住宅",INDIRECT("'数据-取费表'!s"&amp;$G$1),INDIRECT("'数据-取费表'!k"&amp;$G$1)+INDIRECT("'数据-取费表'!s"&amp;$G$1)))</f>
        <v>11501.220000000001</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2300244</v>
      </c>
      <c r="D19" s="958">
        <f ca="1">D9+D10</f>
        <v>11501.220000000001</v>
      </c>
      <c r="E19" s="217">
        <f>'数据-取费表'!B31</f>
        <v>200</v>
      </c>
      <c r="F19" s="237"/>
      <c r="G19" s="2012"/>
    </row>
    <row r="20" spans="1:7" s="220" customFormat="1" ht="13.5" customHeight="1">
      <c r="A20" s="261" t="s">
        <v>2199</v>
      </c>
      <c r="B20" s="216" t="s">
        <v>2200</v>
      </c>
      <c r="C20" s="238">
        <f ca="1">ROUND((C5+C19)*F20,0)</f>
        <v>92010</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408104</v>
      </c>
      <c r="D22" s="241">
        <f ca="1">C26</f>
        <v>8.9999999999999998E-4</v>
      </c>
      <c r="E22" s="242" t="s">
        <v>2204</v>
      </c>
      <c r="F22" s="243">
        <f ca="1">'数据-取费表'!B40</f>
        <v>4.2999999999999997E-2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202074</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202074</v>
      </c>
      <c r="D24" s="244"/>
      <c r="E24" s="244"/>
      <c r="F24" s="245"/>
      <c r="G24" s="246" t="s">
        <v>2211</v>
      </c>
    </row>
    <row r="25" spans="1:7" s="220" customFormat="1" ht="24">
      <c r="A25" s="888" t="s">
        <v>2101</v>
      </c>
      <c r="B25" s="221" t="s">
        <v>2212</v>
      </c>
      <c r="C25" s="1262">
        <f ca="1">ROUND(IF('数据-取费表'!B22&lt;=1,C20*F22*'数据-取费表'!B22/2,C20*(POWER((1+F22),'数据-取费表'!B22/2)-1)),0)</f>
        <v>3956</v>
      </c>
      <c r="D25" s="244"/>
      <c r="E25" s="247"/>
      <c r="F25" s="245"/>
      <c r="G25" s="248" t="s">
        <v>2213</v>
      </c>
    </row>
    <row r="26" spans="1:7" s="220" customFormat="1">
      <c r="A26" s="888" t="s">
        <v>795</v>
      </c>
      <c r="B26" s="221" t="s">
        <v>2136</v>
      </c>
      <c r="C26" s="244">
        <f ca="1">ROUND(IF('数据-取费表'!B22&lt;=1,F21*F22*'数据-取费表'!B22/2,F21*(POWER((1+F22),'数据-取费表'!B22/2)-1)),4)</f>
        <v>8.9999999999999998E-4</v>
      </c>
      <c r="D26" s="244"/>
      <c r="E26" s="247"/>
      <c r="F26" s="245"/>
      <c r="G26" s="249"/>
    </row>
    <row r="27" spans="1:7" s="220" customFormat="1" ht="26.4">
      <c r="A27" s="261" t="s">
        <v>2137</v>
      </c>
      <c r="B27" s="250" t="s">
        <v>2138</v>
      </c>
      <c r="C27" s="251">
        <f ca="1">C28</f>
        <v>844650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844650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6446814</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59595880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54828360</v>
      </c>
      <c r="D34" s="223"/>
      <c r="E34" s="226"/>
      <c r="F34" s="263"/>
      <c r="G34" s="225"/>
    </row>
    <row r="35" spans="1:7" ht="13.5" customHeight="1">
      <c r="A35" s="888" t="s">
        <v>796</v>
      </c>
      <c r="B35" s="221" t="s">
        <v>2152</v>
      </c>
      <c r="C35" s="226">
        <f ca="1">ROUND(C34*F35,0)</f>
        <v>1644851</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2300244</v>
      </c>
      <c r="D37" s="223">
        <f ca="1">D19</f>
        <v>11501.220000000001</v>
      </c>
      <c r="E37" s="255">
        <f>'数据-取费表'!B35</f>
        <v>200</v>
      </c>
      <c r="F37" s="265"/>
      <c r="G37" s="267"/>
    </row>
    <row r="38" spans="1:7" ht="13.5" customHeight="1">
      <c r="A38" s="888" t="s">
        <v>799</v>
      </c>
      <c r="B38" s="221" t="s">
        <v>2158</v>
      </c>
      <c r="C38" s="226">
        <f ca="1">ROUND(C34*F38,0)</f>
        <v>822425</v>
      </c>
      <c r="D38" s="226"/>
      <c r="E38" s="226"/>
      <c r="F38" s="265">
        <f>'数据-取费表'!B36</f>
        <v>1.4999999999999999E-2</v>
      </c>
      <c r="G38" s="225" t="s">
        <v>2153</v>
      </c>
    </row>
    <row r="39" spans="1:7" s="220" customFormat="1" ht="13.5" customHeight="1">
      <c r="A39" s="261" t="s">
        <v>2159</v>
      </c>
      <c r="B39" s="216" t="s">
        <v>2160</v>
      </c>
      <c r="C39" s="238">
        <f ca="1">ROUND(C33*F20,0)</f>
        <v>1191918</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2613875</v>
      </c>
      <c r="D41" s="241">
        <f ca="1">C44</f>
        <v>8.9999999999999998E-4</v>
      </c>
      <c r="E41" s="242" t="s">
        <v>2164</v>
      </c>
      <c r="F41" s="2506">
        <f ca="1">F22</f>
        <v>4.2999999999999997E-2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2562623</v>
      </c>
      <c r="D42" s="244"/>
      <c r="E42" s="244"/>
      <c r="F42" s="245"/>
      <c r="G42" s="3444" t="s">
        <v>2216</v>
      </c>
    </row>
    <row r="43" spans="1:7" ht="13.5" customHeight="1">
      <c r="A43" s="888" t="s">
        <v>792</v>
      </c>
      <c r="B43" s="221" t="s">
        <v>2170</v>
      </c>
      <c r="C43" s="244">
        <f ca="1">ROUND(IF('数据-取费表'!B22&lt;=1,C39*F22*'数据-取费表'!B20/2,C39*(POWER((1+F22),'数据-取费表'!B20/2)-1)),0)</f>
        <v>51252</v>
      </c>
      <c r="D43" s="244"/>
      <c r="E43" s="244"/>
      <c r="F43" s="245"/>
      <c r="G43" s="3445"/>
    </row>
    <row r="44" spans="1:7" ht="13.5" customHeight="1">
      <c r="A44" s="888" t="s">
        <v>793</v>
      </c>
      <c r="B44" s="221" t="s">
        <v>2171</v>
      </c>
      <c r="C44" s="244">
        <f ca="1">ROUND(IF('数据-取费表'!B22&lt;=1,C40*F22*'数据-取费表'!B20/2,C40*(POWER((1+F22),'数据-取费表'!B20/2)-1)),4)</f>
        <v>8.9999999999999998E-4</v>
      </c>
      <c r="D44" s="244"/>
      <c r="E44" s="244"/>
      <c r="F44" s="245"/>
      <c r="G44" s="3446"/>
    </row>
    <row r="45" spans="1:7" s="220" customFormat="1" ht="13.5" customHeight="1">
      <c r="A45" s="261" t="s">
        <v>2172</v>
      </c>
      <c r="B45" s="250" t="s">
        <v>2138</v>
      </c>
      <c r="C45" s="251">
        <f ca="1">C46</f>
        <v>10941804</v>
      </c>
      <c r="D45" s="241">
        <f ca="1">C47</f>
        <v>3.5999999999999999E-3</v>
      </c>
      <c r="E45" s="242" t="s">
        <v>2164</v>
      </c>
      <c r="F45" s="2507">
        <f ca="1">F27</f>
        <v>0.18</v>
      </c>
      <c r="G45" s="253" t="s">
        <v>2173</v>
      </c>
    </row>
    <row r="46" spans="1:7" s="220" customFormat="1" ht="13.5" customHeight="1">
      <c r="A46" s="888" t="s">
        <v>791</v>
      </c>
      <c r="B46" s="254" t="s">
        <v>2174</v>
      </c>
      <c r="C46" s="255">
        <f ca="1">ROUND((C33+C39)*F27,0)</f>
        <v>10941804</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80615351</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64492281</v>
      </c>
      <c r="D51" s="238"/>
      <c r="E51" s="238"/>
      <c r="F51" s="270"/>
      <c r="G51" s="240" t="s">
        <v>2185</v>
      </c>
    </row>
    <row r="52" spans="1:7" s="214" customFormat="1" ht="16.8" thickBot="1">
      <c r="A52" s="271" t="s">
        <v>2186</v>
      </c>
      <c r="B52" s="272"/>
      <c r="C52" s="273">
        <f ca="1">C31+C51</f>
        <v>70939095</v>
      </c>
      <c r="D52" s="272"/>
      <c r="E52" s="272"/>
      <c r="F52" s="272"/>
      <c r="G52" s="274"/>
    </row>
    <row r="55" spans="1:7" ht="15">
      <c r="B55" s="276" t="s">
        <v>2187</v>
      </c>
      <c r="C55" s="277"/>
    </row>
    <row r="56" spans="1:7">
      <c r="B56" s="279" t="s">
        <v>1417</v>
      </c>
      <c r="C56" s="281">
        <f ca="1">1-C57</f>
        <v>9.099999999999997E-2</v>
      </c>
    </row>
    <row r="57" spans="1:7">
      <c r="B57" s="279" t="s">
        <v>1418</v>
      </c>
      <c r="C57" s="280">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2219</v>
      </c>
      <c r="B1" s="1325"/>
      <c r="C1" s="1326"/>
      <c r="D1" s="1324"/>
      <c r="E1" s="3003"/>
      <c r="F1" s="3003"/>
      <c r="G1" s="2866"/>
      <c r="H1" s="3003"/>
      <c r="I1" s="3003"/>
      <c r="J1" s="3003"/>
      <c r="K1" s="3004">
        <f>MATCH(C1,'数据-取费表'!A6:A16,0)+5</f>
        <v>8</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5.2">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11501.220000000001</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11501.220000000001</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2255</v>
      </c>
      <c r="C20" s="24">
        <f ca="1">ROUND(D20*E20/10000,0)</f>
        <v>230</v>
      </c>
      <c r="D20" s="955">
        <f ca="1">IF(C1="",'数据-汇总表'!E6,IF(INDIRECT("'数据-取费表'!c"&amp;$K$1)="住宅",INDIRECT("'数据-取费表'!s"&amp;$K$1),INDIRECT("'数据-取费表'!k"&amp;$K$1)+INDIRECT("'数据-取费表'!s"&amp;$K$1)))</f>
        <v>11501.220000000001</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9" sqref="D19"/>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2286</v>
      </c>
      <c r="B1" s="2024"/>
      <c r="C1" s="2024"/>
      <c r="D1" s="2024"/>
      <c r="E1" s="2025"/>
      <c r="F1" s="2902"/>
      <c r="G1" s="1644"/>
      <c r="H1" s="1644"/>
      <c r="I1" s="1644"/>
      <c r="J1" s="1644"/>
      <c r="K1" s="1644"/>
      <c r="L1" s="1644"/>
      <c r="M1" s="1644"/>
      <c r="N1" s="1644"/>
      <c r="O1" s="1644"/>
      <c r="P1" s="1644"/>
      <c r="Q1" s="1644"/>
      <c r="R1" s="1644"/>
      <c r="S1" s="1644"/>
    </row>
    <row r="2" spans="1:22" ht="15.6">
      <c r="A2" s="2026" t="s">
        <v>2087</v>
      </c>
      <c r="B2" s="2027">
        <f ca="1">SUMIF(B6:B13,"&lt;&gt;#ref!",B6:B13)</f>
        <v>38703</v>
      </c>
      <c r="C2" s="2028" t="s">
        <v>2279</v>
      </c>
      <c r="D2" s="2029" t="s">
        <v>2280</v>
      </c>
      <c r="E2" s="2799">
        <f>SUM(E6:E13)</f>
        <v>11501.22</v>
      </c>
      <c r="F2" s="2902"/>
      <c r="G2" s="1644"/>
      <c r="H2" s="1644"/>
      <c r="I2" s="1644"/>
      <c r="J2" s="1644"/>
      <c r="K2" s="1644"/>
      <c r="L2" s="1644"/>
      <c r="M2" s="1644"/>
      <c r="N2" s="1644"/>
      <c r="O2" s="1644"/>
      <c r="P2" s="1644"/>
      <c r="Q2" s="1644"/>
      <c r="R2" s="1644"/>
      <c r="S2" s="1644"/>
    </row>
    <row r="3" spans="1:22" ht="15.6">
      <c r="A3" s="2026" t="s">
        <v>1300</v>
      </c>
      <c r="B3" s="2793">
        <f ca="1">ROUND(B2*10000/E2,0)</f>
        <v>33651</v>
      </c>
      <c r="C3" s="2028" t="s">
        <v>2287</v>
      </c>
      <c r="D3" s="2904"/>
      <c r="E3" s="2906"/>
      <c r="F3" s="2902"/>
      <c r="G3" s="1644"/>
      <c r="H3" s="1644"/>
      <c r="I3" s="1644"/>
      <c r="J3" s="1644"/>
      <c r="K3" s="1644"/>
      <c r="L3" s="1644"/>
      <c r="M3" s="1644"/>
      <c r="N3" s="1644"/>
      <c r="O3" s="1644"/>
      <c r="P3" s="1644"/>
      <c r="Q3" s="1644"/>
      <c r="R3" s="1644"/>
      <c r="S3" s="1644"/>
    </row>
    <row r="4" spans="1:22" ht="15.6">
      <c r="A4" s="2907"/>
      <c r="B4" s="2904"/>
      <c r="C4" s="2904"/>
      <c r="D4" s="2904"/>
      <c r="E4" s="2906"/>
      <c r="F4" s="2902"/>
      <c r="G4" s="1644"/>
      <c r="H4" s="1644"/>
      <c r="I4" s="1644"/>
      <c r="J4" s="1644"/>
      <c r="K4" s="1644"/>
      <c r="L4" s="1644"/>
      <c r="M4" s="1644"/>
      <c r="N4" s="1644"/>
      <c r="O4" s="1644"/>
      <c r="P4" s="1644"/>
      <c r="Q4" s="1644"/>
      <c r="R4" s="1644"/>
      <c r="S4" s="1644"/>
    </row>
    <row r="5" spans="1:22" ht="14.4">
      <c r="A5" s="2795" t="s">
        <v>2281</v>
      </c>
      <c r="B5" s="3447" t="s">
        <v>2282</v>
      </c>
      <c r="C5" s="3448"/>
      <c r="D5" s="2903"/>
      <c r="E5" s="2030" t="s">
        <v>2283</v>
      </c>
      <c r="F5" s="2031" t="s">
        <v>2284</v>
      </c>
      <c r="G5" s="1644"/>
      <c r="H5" s="1644"/>
      <c r="I5" s="1644"/>
      <c r="J5" s="1644"/>
      <c r="K5" s="1644"/>
      <c r="L5" s="1644"/>
      <c r="M5" s="1644"/>
      <c r="N5" s="1644"/>
      <c r="O5" s="1644"/>
      <c r="P5" s="1644"/>
      <c r="Q5" s="1644"/>
      <c r="R5" s="1644"/>
      <c r="S5" s="1644"/>
    </row>
    <row r="6" spans="1:22" ht="14.4">
      <c r="A6" s="2796" t="str">
        <f>'数据-取费表'!AN6</f>
        <v>收益法</v>
      </c>
      <c r="B6" s="2794">
        <f ca="1">IF(F6="是",'数据-取费表'!AO6,0)</f>
        <v>38703</v>
      </c>
      <c r="C6" s="2028" t="s">
        <v>2279</v>
      </c>
      <c r="D6" s="2904"/>
      <c r="E6" s="2798">
        <f>IF(OR(A6=0,F6="否"),0,'数据-取费表'!K6+'数据-取费表'!S6)</f>
        <v>9716.06</v>
      </c>
      <c r="F6" s="2032" t="s">
        <v>2285</v>
      </c>
      <c r="G6" s="1644"/>
      <c r="H6" s="1644"/>
      <c r="I6" s="1644"/>
      <c r="J6" s="1644"/>
      <c r="K6" s="1644"/>
      <c r="L6" s="1644"/>
      <c r="M6" s="1644"/>
      <c r="N6" s="1644"/>
      <c r="O6" s="1644"/>
      <c r="P6" s="1644"/>
      <c r="Q6" s="1644"/>
      <c r="R6" s="1644"/>
      <c r="S6" s="1644"/>
    </row>
    <row r="7" spans="1:22" ht="14.4">
      <c r="A7" s="2796" t="str">
        <f>'数据-取费表'!AN7</f>
        <v>收益法-车位</v>
      </c>
      <c r="B7" s="2794">
        <f ca="1">IF(F7="是",'数据-取费表'!AO7,0)</f>
        <v>0</v>
      </c>
      <c r="C7" s="2028" t="s">
        <v>2279</v>
      </c>
      <c r="D7" s="2904"/>
      <c r="E7" s="2798">
        <f>IF(OR(A7=0,F7="否"),0,'数据-取费表'!K7+'数据-取费表'!S7)</f>
        <v>1785.1599999999999</v>
      </c>
      <c r="F7" s="2032" t="s">
        <v>2285</v>
      </c>
      <c r="G7" s="1644"/>
      <c r="H7" s="1644"/>
      <c r="I7" s="1644"/>
      <c r="J7" s="1644"/>
      <c r="K7" s="1644"/>
      <c r="L7" s="1644"/>
      <c r="M7" s="1644"/>
      <c r="N7" s="1644"/>
      <c r="O7" s="1644"/>
      <c r="P7" s="1644"/>
      <c r="Q7" s="1644"/>
      <c r="R7" s="1644"/>
      <c r="S7" s="1644"/>
    </row>
    <row r="8" spans="1:22" ht="14.4">
      <c r="A8" s="2796">
        <f>'数据-取费表'!AN8</f>
        <v>0</v>
      </c>
      <c r="B8" s="2794">
        <f>IF(F8="是",'数据-取费表'!AO8,0)</f>
        <v>0</v>
      </c>
      <c r="C8" s="2028" t="s">
        <v>2279</v>
      </c>
      <c r="D8" s="2904"/>
      <c r="E8" s="2798">
        <f>IF(OR(A8=0,F8="否"),0,'数据-取费表'!K8+'数据-取费表'!S8)</f>
        <v>0</v>
      </c>
      <c r="F8" s="2032"/>
      <c r="G8" s="1644"/>
      <c r="H8" s="1644"/>
      <c r="I8" s="1644"/>
      <c r="J8" s="1644"/>
      <c r="K8" s="1644"/>
      <c r="L8" s="1644"/>
      <c r="M8" s="1644"/>
      <c r="N8" s="1644"/>
      <c r="O8" s="1644"/>
      <c r="P8" s="1644"/>
      <c r="Q8" s="1644"/>
      <c r="R8" s="1644"/>
      <c r="S8" s="1644"/>
    </row>
    <row r="9" spans="1:22" ht="14.4">
      <c r="A9" s="2796">
        <f>'数据-取费表'!AN9</f>
        <v>0</v>
      </c>
      <c r="B9" s="2794">
        <f>IF(F9="是",'数据-取费表'!AO9,0)</f>
        <v>0</v>
      </c>
      <c r="C9" s="2028" t="s">
        <v>2279</v>
      </c>
      <c r="D9" s="2904"/>
      <c r="E9" s="2798">
        <f>IF(OR(A9=0,F9="否"),0,'数据-取费表'!K9+'数据-取费表'!S9)</f>
        <v>0</v>
      </c>
      <c r="F9" s="2032"/>
      <c r="G9" s="1644"/>
      <c r="H9" s="1644"/>
      <c r="I9" s="1644"/>
      <c r="J9" s="1644"/>
      <c r="K9" s="1644"/>
      <c r="L9" s="1644"/>
      <c r="M9" s="1644"/>
      <c r="N9" s="1644"/>
      <c r="O9" s="1644"/>
      <c r="P9" s="1644"/>
      <c r="Q9" s="1644"/>
      <c r="R9" s="1644"/>
      <c r="S9" s="1644"/>
    </row>
    <row r="10" spans="1:22" ht="14.4">
      <c r="A10" s="2796">
        <f>'数据-取费表'!AN10</f>
        <v>0</v>
      </c>
      <c r="B10" s="2794">
        <f>IF(F10="是",'数据-取费表'!AO10,0)</f>
        <v>0</v>
      </c>
      <c r="C10" s="2028" t="s">
        <v>2279</v>
      </c>
      <c r="D10" s="2904"/>
      <c r="E10" s="2798">
        <f>IF(OR(A10=0,F10="否"),0,'数据-取费表'!K10+'数据-取费表'!S10)</f>
        <v>0</v>
      </c>
      <c r="F10" s="2032"/>
      <c r="G10" s="1644"/>
      <c r="H10" s="1644"/>
      <c r="I10" s="1644"/>
      <c r="J10" s="1644"/>
      <c r="K10" s="1644"/>
      <c r="L10" s="1644"/>
      <c r="M10" s="1644"/>
      <c r="N10" s="1644"/>
      <c r="O10" s="1644"/>
      <c r="P10" s="1644"/>
      <c r="Q10" s="1644"/>
      <c r="R10" s="1644"/>
      <c r="S10" s="1644"/>
    </row>
    <row r="11" spans="1:22" ht="14.4">
      <c r="A11" s="2796">
        <f>'数据-取费表'!AN11</f>
        <v>0</v>
      </c>
      <c r="B11" s="2794">
        <f>IF(F11="是",'数据-取费表'!AO11,0)</f>
        <v>0</v>
      </c>
      <c r="C11" s="2028" t="s">
        <v>2279</v>
      </c>
      <c r="D11" s="2904"/>
      <c r="E11" s="2798">
        <f>IF(OR(A11=0,F11="否"),0,'数据-取费表'!K11+'数据-取费表'!S11)</f>
        <v>0</v>
      </c>
      <c r="F11" s="2032"/>
      <c r="G11" s="1644"/>
      <c r="H11" s="1644"/>
      <c r="I11" s="1644"/>
      <c r="J11" s="1644"/>
      <c r="K11" s="1644"/>
      <c r="L11" s="1644"/>
      <c r="M11" s="1644"/>
      <c r="N11" s="1644"/>
      <c r="O11" s="1644"/>
      <c r="P11" s="1644"/>
      <c r="Q11" s="1644"/>
      <c r="R11" s="1644"/>
      <c r="S11" s="1644"/>
    </row>
    <row r="12" spans="1:22" ht="14.4">
      <c r="A12" s="2796">
        <f>'数据-取费表'!AN12</f>
        <v>0</v>
      </c>
      <c r="B12" s="2794">
        <f>IF(F12="是",'数据-取费表'!AO12,0)</f>
        <v>0</v>
      </c>
      <c r="C12" s="2028" t="s">
        <v>2279</v>
      </c>
      <c r="D12" s="2904"/>
      <c r="E12" s="2798">
        <f>IF(OR(A12=0,F12="否"),0,'数据-取费表'!K12+'数据-取费表'!S12)</f>
        <v>0</v>
      </c>
      <c r="F12" s="2032"/>
      <c r="G12" s="1644"/>
      <c r="H12" s="1644"/>
      <c r="I12" s="1644"/>
      <c r="J12" s="1644"/>
      <c r="K12" s="1644"/>
      <c r="L12" s="1644"/>
      <c r="M12" s="1644"/>
      <c r="N12" s="1644"/>
      <c r="O12" s="1644"/>
      <c r="P12" s="1644"/>
      <c r="Q12" s="1644"/>
      <c r="R12" s="1644"/>
      <c r="S12" s="1644"/>
    </row>
    <row r="13" spans="1:22" ht="15" thickBot="1">
      <c r="A13" s="2797">
        <f>'数据-取费表'!AN13</f>
        <v>0</v>
      </c>
      <c r="B13" s="2794">
        <f>IF(F13="是",'数据-取费表'!AO13,0)</f>
        <v>0</v>
      </c>
      <c r="C13" s="2033" t="s">
        <v>2279</v>
      </c>
      <c r="D13" s="2905"/>
      <c r="E13" s="2798">
        <f>IF(OR(A13=0,F13="否"),0,'数据-取费表'!K13+'数据-取费表'!S13)</f>
        <v>0</v>
      </c>
      <c r="F13" s="2032"/>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0" zoomScaleNormal="70" zoomScaleSheetLayoutView="80" workbookViewId="0">
      <selection activeCell="I30" sqref="I3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t="s">
        <v>1283</v>
      </c>
      <c r="D1" s="1516" t="s">
        <v>70</v>
      </c>
      <c r="E1" s="1517" t="s">
        <v>1292</v>
      </c>
      <c r="F1" s="1193">
        <f ca="1">J53</f>
        <v>27.13</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38703</v>
      </c>
      <c r="C2" s="1541" t="s">
        <v>1420</v>
      </c>
      <c r="D2" s="1541"/>
      <c r="E2" s="1542"/>
      <c r="F2" s="1543"/>
      <c r="G2" s="2901"/>
      <c r="H2" s="2890"/>
      <c r="I2" s="2890"/>
      <c r="J2" s="2890"/>
      <c r="K2" s="2891"/>
      <c r="L2" s="2890"/>
      <c r="M2" s="2890"/>
    </row>
    <row r="3" spans="1:37" ht="18" customHeight="1" thickBot="1">
      <c r="A3" s="1544" t="s">
        <v>1421</v>
      </c>
      <c r="B3" s="1545">
        <f ca="1">IF(ISERROR(B2*10000/F43),0,ROUND(B2*10000/F43,0))</f>
        <v>39834</v>
      </c>
      <c r="C3" s="1541" t="s">
        <v>1422</v>
      </c>
      <c r="D3" s="1541"/>
      <c r="E3" s="1542"/>
      <c r="F3" s="1543"/>
      <c r="G3" s="2901"/>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2559</v>
      </c>
      <c r="D5" s="1518" t="s">
        <v>1307</v>
      </c>
      <c r="E5" s="1203"/>
      <c r="F5" s="1204"/>
      <c r="G5" s="1538"/>
      <c r="H5" s="305">
        <v>1</v>
      </c>
      <c r="I5" s="306" t="s">
        <v>1306</v>
      </c>
      <c r="J5" s="1202">
        <f ca="1">J6+J10+J12</f>
        <v>0</v>
      </c>
      <c r="K5" s="1518" t="s">
        <v>1307</v>
      </c>
      <c r="L5" s="1203"/>
      <c r="M5" s="1204"/>
    </row>
    <row r="6" spans="1:37" ht="18" customHeight="1">
      <c r="A6" s="1201" t="s">
        <v>1003</v>
      </c>
      <c r="B6" s="3451" t="s">
        <v>1308</v>
      </c>
      <c r="C6" s="1206">
        <f ca="1">ROUND(F6*F8*F7*(1-F9)/10000,0)</f>
        <v>2553</v>
      </c>
      <c r="D6" s="160" t="s">
        <v>2787</v>
      </c>
      <c r="E6" s="308" t="s">
        <v>1310</v>
      </c>
      <c r="F6" s="309">
        <f ca="1">INDIRECT("'数据-取费表'!u"&amp;$G$1)</f>
        <v>8</v>
      </c>
      <c r="G6" s="1538"/>
      <c r="H6" s="1201" t="s">
        <v>1003</v>
      </c>
      <c r="I6" s="3451" t="s">
        <v>1308</v>
      </c>
      <c r="J6" s="307">
        <f ca="1">ROUND(M6*M8*M7*(1-M9)/10000,0)</f>
        <v>0</v>
      </c>
      <c r="K6" s="160" t="s">
        <v>2786</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9716.06</v>
      </c>
      <c r="G7" s="1538"/>
      <c r="H7" s="310"/>
      <c r="I7" s="3452"/>
      <c r="J7" s="312"/>
      <c r="K7" s="313"/>
      <c r="L7" s="308" t="s">
        <v>1311</v>
      </c>
      <c r="M7" s="309">
        <f ca="1">F7</f>
        <v>9716.06</v>
      </c>
    </row>
    <row r="8" spans="1:37" ht="18" customHeight="1">
      <c r="A8" s="310"/>
      <c r="B8" s="3452"/>
      <c r="C8" s="312"/>
      <c r="D8" s="313"/>
      <c r="E8" s="308" t="s">
        <v>1312</v>
      </c>
      <c r="F8" s="309">
        <f ca="1">INDIRECT("'数据-取费表'!ai"&amp;$G$1)</f>
        <v>365</v>
      </c>
      <c r="G8" s="1538"/>
      <c r="H8" s="310"/>
      <c r="I8" s="3452"/>
      <c r="J8" s="312"/>
      <c r="K8" s="313"/>
      <c r="L8" s="308" t="s">
        <v>1312</v>
      </c>
      <c r="M8" s="309">
        <f ca="1">INDIRECT("'数据-取费表'!ai"&amp;$G$1)</f>
        <v>365</v>
      </c>
    </row>
    <row r="9" spans="1:37" ht="18" customHeight="1">
      <c r="A9" s="310"/>
      <c r="B9" s="3453"/>
      <c r="C9" s="312"/>
      <c r="D9" s="313"/>
      <c r="E9" s="308" t="s">
        <v>1313</v>
      </c>
      <c r="F9" s="318">
        <f ca="1">INDIRECT("'数据-取费表'!w"&amp;$G$1)</f>
        <v>0.1</v>
      </c>
      <c r="G9" s="1538"/>
      <c r="H9" s="310"/>
      <c r="I9" s="3453"/>
      <c r="J9" s="312"/>
      <c r="K9" s="313"/>
      <c r="L9" s="319" t="s">
        <v>1313</v>
      </c>
      <c r="M9" s="320">
        <f ca="1">INDIRECT("'数据-取费表'!ab"&amp;$G$1)</f>
        <v>0</v>
      </c>
    </row>
    <row r="10" spans="1:37" ht="18" customHeight="1">
      <c r="A10" s="1201" t="s">
        <v>1007</v>
      </c>
      <c r="B10" s="1519" t="s">
        <v>1314</v>
      </c>
      <c r="C10" s="322">
        <f ca="1">ROUND(IF(F10="押一",C6/12*F11,IF(F10="押二",C6/12*2*F11,IF(F10="押三",C6/12*3*F11,C11*F11))),0)</f>
        <v>6</v>
      </c>
      <c r="D10" s="1520" t="s">
        <v>2795</v>
      </c>
      <c r="E10" s="319" t="s">
        <v>1315</v>
      </c>
      <c r="F10" s="1248" t="s">
        <v>3221</v>
      </c>
      <c r="G10" s="1538"/>
      <c r="H10" s="1201" t="s">
        <v>1007</v>
      </c>
      <c r="I10" s="1519" t="s">
        <v>1314</v>
      </c>
      <c r="J10" s="307">
        <f ca="1">ROUND(IF(M10="押一",J6/12*M11,IF(M10="押二",J6/12*2*M11,IF(M10="押三",J6/12*3*M11,J11*M11))),0)</f>
        <v>0</v>
      </c>
      <c r="K10" s="1520" t="s">
        <v>2794</v>
      </c>
      <c r="L10" s="319" t="s">
        <v>1315</v>
      </c>
      <c r="M10" s="1248" t="s">
        <v>3174</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5800</v>
      </c>
      <c r="D13" s="1213" t="s">
        <v>1319</v>
      </c>
      <c r="E13" s="1213"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4858</v>
      </c>
      <c r="D14" s="1499" t="s">
        <v>1322</v>
      </c>
      <c r="E14" s="1496"/>
      <c r="F14" s="325"/>
      <c r="G14" s="1538"/>
      <c r="H14" s="1113" t="s">
        <v>1003</v>
      </c>
      <c r="I14" s="308" t="s">
        <v>1323</v>
      </c>
      <c r="J14" s="24">
        <f ca="1">C29</f>
        <v>7250</v>
      </c>
      <c r="K14" s="15"/>
      <c r="L14" s="916"/>
      <c r="M14" s="917"/>
    </row>
    <row r="15" spans="1:37" s="1551" customFormat="1" ht="18" customHeight="1" thickBot="1">
      <c r="A15" s="1113" t="s">
        <v>1004</v>
      </c>
      <c r="B15" s="308" t="s">
        <v>1324</v>
      </c>
      <c r="C15" s="24">
        <f ca="1">ROUND(C14*F15,0)</f>
        <v>146</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74</v>
      </c>
      <c r="K16" s="1219" t="s">
        <v>1329</v>
      </c>
      <c r="L16" s="1220"/>
      <c r="M16" s="1204"/>
    </row>
    <row r="17" spans="1:37" s="1551" customFormat="1" ht="18" customHeight="1">
      <c r="A17" s="1113" t="s">
        <v>1295</v>
      </c>
      <c r="B17" s="308" t="s">
        <v>1330</v>
      </c>
      <c r="C17" s="24">
        <f ca="1">ROUND(F17*(F43+INDIRECT("'数据-取费表'!S"&amp;$G$1))/10000,0)</f>
        <v>194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73</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5271</v>
      </c>
      <c r="D19" s="136" t="s">
        <v>1340</v>
      </c>
      <c r="E19" s="1514"/>
      <c r="F19" s="26"/>
      <c r="G19" s="1538"/>
      <c r="H19" s="1113" t="s">
        <v>1004</v>
      </c>
      <c r="I19" s="308" t="s">
        <v>1341</v>
      </c>
      <c r="J19" s="24">
        <f ca="1">IF(K19="按租金收入计税",ROUND(J6*M19/(1+'数据-取费表'!C42),2),ROUND(C29*M19*0.7,2))</f>
        <v>0</v>
      </c>
      <c r="K19" s="1524" t="s">
        <v>3175</v>
      </c>
      <c r="L19" s="308" t="s">
        <v>1326</v>
      </c>
      <c r="M19" s="328">
        <f>IF(K19="按租金收入计税",'数据-取费表'!B51,'数据-取费表'!B50)</f>
        <v>0.12</v>
      </c>
    </row>
    <row r="20" spans="1:37" s="1551" customFormat="1" ht="18" customHeight="1">
      <c r="A20" s="1113" t="s">
        <v>1007</v>
      </c>
      <c r="B20" s="308" t="s">
        <v>1343</v>
      </c>
      <c r="C20" s="24">
        <f ca="1">ROUND(C19*F20,0)</f>
        <v>105</v>
      </c>
      <c r="D20" s="329" t="s">
        <v>1344</v>
      </c>
      <c r="E20" s="308" t="s">
        <v>1326</v>
      </c>
      <c r="F20" s="328">
        <f>'数据-取费表'!B37</f>
        <v>0.02</v>
      </c>
      <c r="G20" s="1550"/>
      <c r="H20" s="1113" t="s">
        <v>1294</v>
      </c>
      <c r="I20" s="160" t="s">
        <v>1345</v>
      </c>
      <c r="J20" s="25">
        <f ca="1">ROUND(M20*M21/10000,2)</f>
        <v>0.74</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619.02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72.5</v>
      </c>
      <c r="K22" s="1498" t="s">
        <v>1354</v>
      </c>
      <c r="L22" s="308" t="s">
        <v>1326</v>
      </c>
      <c r="M22" s="334">
        <f ca="1">INDIRECT("'数据-取费表'!Ak"&amp;$G$1)</f>
        <v>0.01</v>
      </c>
    </row>
    <row r="23" spans="1:37" s="1551" customFormat="1" ht="18" customHeight="1">
      <c r="A23" s="1113" t="s">
        <v>1002</v>
      </c>
      <c r="B23" s="308" t="s">
        <v>1355</v>
      </c>
      <c r="C23" s="24">
        <f ca="1">IF('数据-取费表'!B22&lt;=1,ROUND(C19*F24*F23/2,0)+ROUND(C20*F24*F23/2,0),ROUND(C19*(POWER((1+F24),F23/2)-1),0)+ROUND(C20*(POWER((1+F24),F23/2)-1),0))</f>
        <v>232</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8.9999999999999998E-4</v>
      </c>
      <c r="D24" s="335" t="str">
        <f>IF(F23&lt;=1,"销售费用×利率×(建设周期÷2)","销售费用×((1+利率)^(建设周期÷2)-1)")</f>
        <v>销售费用×((1+利率)^(建设周期÷2)-1)</v>
      </c>
      <c r="E24" s="308" t="s">
        <v>1362</v>
      </c>
      <c r="F24" s="337">
        <f ca="1">'数据-取费表'!B40</f>
        <v>4.2999999999999997E-2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-74</v>
      </c>
      <c r="K25" s="1227" t="s">
        <v>1368</v>
      </c>
      <c r="L25" s="1228"/>
      <c r="M25" s="1229"/>
    </row>
    <row r="26" spans="1:37">
      <c r="A26" s="1113" t="s">
        <v>1002</v>
      </c>
      <c r="B26" s="308" t="s">
        <v>1369</v>
      </c>
      <c r="C26" s="24">
        <f ca="1">ROUND((C19+C20)*F26,0)</f>
        <v>1075</v>
      </c>
      <c r="D26" s="329" t="s">
        <v>1370</v>
      </c>
      <c r="E26" s="319" t="s">
        <v>1371</v>
      </c>
      <c r="F26" s="318">
        <f ca="1">INDIRECT("'数据-取费表'!q"&amp;$G$1)</f>
        <v>0.2</v>
      </c>
      <c r="G26" s="1538"/>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4.0000000000000001E-3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7250</v>
      </c>
      <c r="D29" s="1224"/>
      <c r="E29" s="1222"/>
      <c r="F29" s="1225"/>
      <c r="G29" s="1550"/>
      <c r="H29" s="340" t="s">
        <v>1001</v>
      </c>
      <c r="I29" s="341" t="s">
        <v>1383</v>
      </c>
      <c r="J29" s="342">
        <f ca="1">ROUND(J26/(1+F40)^F41,0)</f>
        <v>0</v>
      </c>
      <c r="K29" s="343" t="s">
        <v>1384</v>
      </c>
      <c r="L29" s="344"/>
      <c r="M29" s="345">
        <f ca="1">INDIRECT("'数据-取费表'!k"&amp;$G$1)</f>
        <v>9716.06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536</v>
      </c>
      <c r="D30" s="1219" t="s">
        <v>1329</v>
      </c>
      <c r="E30" s="1220"/>
      <c r="F30" s="1204"/>
      <c r="G30" s="1538"/>
      <c r="H30" s="2892"/>
      <c r="I30" s="1552"/>
      <c r="J30" s="1553"/>
      <c r="K30" s="2667"/>
      <c r="L30" s="2893"/>
      <c r="M30" s="2894"/>
    </row>
    <row r="31" spans="1:37" ht="18" customHeight="1">
      <c r="A31" s="1113" t="s">
        <v>1003</v>
      </c>
      <c r="B31" s="308" t="s">
        <v>1333</v>
      </c>
      <c r="C31" s="2504">
        <f ca="1">ROUND(IF(AND(项目基本情况!B11="自然人",项目基本情况!B10="北京市"),C6*F31/(1+'数据-取费表'!C42),C32+C33+C34),0)</f>
        <v>429</v>
      </c>
      <c r="D31" s="1499" t="s">
        <v>1334</v>
      </c>
      <c r="E31" s="1498" t="s">
        <v>1385</v>
      </c>
      <c r="F31" s="2503" t="str">
        <f>IF(项目基本情况!B11="企业","——",IF('数据-取费表'!B10="住宅",IF(F6*F7*F8/12/(1+'数据-取费表'!F30)&gt;100000,4%,2.5%),IF(F6*F7*F8/12/(1+'数据-取费表'!F30)&gt;100000,12%,7%)))</f>
        <v>——</v>
      </c>
      <c r="G31" s="1538"/>
      <c r="H31" s="3005" t="s">
        <v>2990</v>
      </c>
      <c r="I31" s="1552"/>
      <c r="J31" s="1553"/>
      <c r="K31" s="2667"/>
      <c r="L31" s="2893"/>
      <c r="M31" s="2894"/>
    </row>
    <row r="32" spans="1:37" ht="18" customHeight="1">
      <c r="A32" s="1113" t="s">
        <v>1002</v>
      </c>
      <c r="B32" s="308" t="s">
        <v>1337</v>
      </c>
      <c r="C32" s="24">
        <f ca="1">IF(项目基本情况!B11="自然人","——",ROUND(C6*F32/(1+'数据-取费表'!C42),2))</f>
        <v>136.16</v>
      </c>
      <c r="D32" s="1498" t="s">
        <v>1338</v>
      </c>
      <c r="E32" s="308" t="s">
        <v>1326</v>
      </c>
      <c r="F32" s="337">
        <f>'数据-取费表'!B41</f>
        <v>5.6000000000000001E-2</v>
      </c>
      <c r="G32" s="1538"/>
      <c r="H32" s="2892"/>
      <c r="I32" s="1552"/>
      <c r="J32" s="1553"/>
      <c r="K32" s="2667"/>
      <c r="L32" s="2893"/>
      <c r="M32" s="2894"/>
    </row>
    <row r="33" spans="1:18" ht="18" customHeight="1">
      <c r="A33" s="1113" t="s">
        <v>1004</v>
      </c>
      <c r="B33" s="308" t="s">
        <v>1341</v>
      </c>
      <c r="C33" s="24">
        <f ca="1">IF(项目基本情况!B11="自然人","——",IF(D33="按租金收入计税",ROUND(C6*F33/(1+'数据-取费表'!C42),2),IF(D33="按房产原值计税",ROUND(C29*F33*0.7,2),INDIRECT("'数据-取费表'!Aj"&amp;$G$1))))</f>
        <v>291.77</v>
      </c>
      <c r="D33" s="1524" t="s">
        <v>3175</v>
      </c>
      <c r="E33" s="308" t="s">
        <v>1326</v>
      </c>
      <c r="F33" s="328">
        <f>IF(D33="按票据","——",IF(D33="按租金收入计税",'数据-取费表'!B51,'数据-取费表'!B50))</f>
        <v>0.12</v>
      </c>
      <c r="G33" s="1538"/>
      <c r="H33" s="2895"/>
      <c r="I33" s="1552"/>
      <c r="J33" s="1553"/>
      <c r="K33" s="2896"/>
      <c r="L33" s="2895"/>
      <c r="M33" s="2895"/>
    </row>
    <row r="34" spans="1:18" ht="18" customHeight="1">
      <c r="A34" s="1201" t="s">
        <v>1294</v>
      </c>
      <c r="B34" s="160" t="s">
        <v>1345</v>
      </c>
      <c r="C34" s="25">
        <f ca="1">IF(项目基本情况!B11="自然人","——",ROUND(F34*F35/10000,2))</f>
        <v>0.74</v>
      </c>
      <c r="D34" s="330" t="s">
        <v>1346</v>
      </c>
      <c r="E34" s="308" t="s">
        <v>1347</v>
      </c>
      <c r="F34" s="331">
        <f>'数据-取费表'!B52</f>
        <v>12</v>
      </c>
      <c r="G34" s="1538"/>
      <c r="H34" s="2892"/>
      <c r="I34" s="1552"/>
      <c r="J34" s="1553"/>
      <c r="K34" s="2897"/>
      <c r="L34" s="2898"/>
      <c r="M34" s="2898"/>
    </row>
    <row r="35" spans="1:18" ht="18" customHeight="1">
      <c r="A35" s="1235"/>
      <c r="B35" s="1233"/>
      <c r="C35" s="29"/>
      <c r="D35" s="333"/>
      <c r="E35" s="308" t="s">
        <v>1351</v>
      </c>
      <c r="F35" s="309">
        <f ca="1">INDIRECT("'数据-取费表'!r"&amp;$G$1)</f>
        <v>619.02</v>
      </c>
      <c r="G35" s="1538"/>
      <c r="H35" s="2892"/>
      <c r="I35" s="1552"/>
      <c r="J35" s="1553"/>
      <c r="K35" s="2896"/>
      <c r="L35" s="2895"/>
      <c r="M35" s="2895"/>
    </row>
    <row r="36" spans="1:18" ht="18" customHeight="1">
      <c r="A36" s="1234" t="s">
        <v>1007</v>
      </c>
      <c r="B36" s="308" t="s">
        <v>1353</v>
      </c>
      <c r="C36" s="24">
        <f ca="1">ROUND(C29*F36,1)</f>
        <v>72.5</v>
      </c>
      <c r="D36" s="1498" t="s">
        <v>1386</v>
      </c>
      <c r="E36" s="308" t="s">
        <v>1326</v>
      </c>
      <c r="F36" s="334">
        <f ca="1">INDIRECT("'数据-取费表'!Ak"&amp;$G$1)</f>
        <v>0.01</v>
      </c>
      <c r="G36" s="1538"/>
      <c r="H36" s="2895"/>
      <c r="I36" s="1552"/>
      <c r="J36" s="1553"/>
      <c r="K36" s="2736"/>
      <c r="L36" s="2895"/>
      <c r="M36" s="2895"/>
    </row>
    <row r="37" spans="1:18" ht="18" customHeight="1">
      <c r="A37" s="1113" t="s">
        <v>1043</v>
      </c>
      <c r="B37" s="308" t="s">
        <v>1357</v>
      </c>
      <c r="C37" s="24">
        <f ca="1">ROUND(C13*F37,1)</f>
        <v>8.6999999999999993</v>
      </c>
      <c r="D37" s="1498" t="s">
        <v>1358</v>
      </c>
      <c r="E37" s="308" t="s">
        <v>1359</v>
      </c>
      <c r="F37" s="336">
        <f ca="1">INDIRECT("'数据-取费表'!Al"&amp;$G$1)</f>
        <v>1.5E-3</v>
      </c>
      <c r="G37" s="1538"/>
      <c r="H37" s="2895"/>
      <c r="I37" s="1552"/>
      <c r="J37" s="1553"/>
      <c r="K37" s="2736"/>
      <c r="L37" s="2895"/>
      <c r="M37" s="2895"/>
    </row>
    <row r="38" spans="1:18" ht="18" customHeight="1" thickBot="1">
      <c r="A38" s="1221" t="s">
        <v>1298</v>
      </c>
      <c r="B38" s="1222" t="s">
        <v>1343</v>
      </c>
      <c r="C38" s="1223">
        <f ca="1">ROUND(C5*F38,1)</f>
        <v>25.6</v>
      </c>
      <c r="D38" s="1224" t="s">
        <v>1363</v>
      </c>
      <c r="E38" s="1222" t="s">
        <v>1359</v>
      </c>
      <c r="F38" s="1218">
        <f ca="1">INDIRECT("'数据-取费表'!Am"&amp;$G$1)</f>
        <v>0.01</v>
      </c>
      <c r="G38" s="1538"/>
      <c r="H38" s="2895"/>
      <c r="I38" s="1552"/>
      <c r="J38" s="1553"/>
      <c r="K38" s="2899"/>
      <c r="L38" s="2895"/>
      <c r="M38" s="2895"/>
    </row>
    <row r="39" spans="1:18" ht="24.6" customHeight="1" thickTop="1">
      <c r="A39" s="1211" t="s">
        <v>999</v>
      </c>
      <c r="B39" s="1226" t="s">
        <v>1387</v>
      </c>
      <c r="C39" s="316">
        <f ca="1">C5-C30</f>
        <v>2023</v>
      </c>
      <c r="D39" s="1227" t="s">
        <v>1388</v>
      </c>
      <c r="E39" s="1228"/>
      <c r="F39" s="1229"/>
      <c r="G39" s="1538"/>
      <c r="H39" s="2895"/>
      <c r="I39" s="1552"/>
      <c r="J39" s="1553"/>
      <c r="K39" s="2899"/>
      <c r="L39" s="2895"/>
      <c r="M39" s="2895"/>
    </row>
    <row r="40" spans="1:18" ht="18" customHeight="1">
      <c r="A40" s="305" t="s">
        <v>1000</v>
      </c>
      <c r="B40" s="306" t="s">
        <v>1389</v>
      </c>
      <c r="C40" s="307">
        <f ca="1">ROUND(C39*(1-((1+F42)/(1+F40))^F41)/(F40-F42),0)</f>
        <v>38703</v>
      </c>
      <c r="D40" s="330" t="s">
        <v>1373</v>
      </c>
      <c r="E40" s="308" t="s">
        <v>1374</v>
      </c>
      <c r="F40" s="318">
        <f ca="1">INDIRECT("'数据-取费表'!I"&amp;$G$1)</f>
        <v>5.5E-2</v>
      </c>
      <c r="G40" s="1538"/>
      <c r="H40" s="1615"/>
      <c r="I40" s="1552"/>
      <c r="J40" s="1553"/>
      <c r="K40" s="2899"/>
      <c r="L40" s="1615"/>
      <c r="M40" s="1615"/>
    </row>
    <row r="41" spans="1:18" ht="18" customHeight="1">
      <c r="A41" s="310"/>
      <c r="B41" s="311"/>
      <c r="C41" s="312"/>
      <c r="D41" s="338" t="s">
        <v>1390</v>
      </c>
      <c r="E41" s="308" t="s">
        <v>1378</v>
      </c>
      <c r="F41" s="339">
        <f ca="1">IF(INDIRECT("'数据-取费表'!af"&amp;$G$1)=0,INDIRECT("'数据-取费表'!ae"&amp;$G$1),INDIRECT("'数据-取费表'!af"&amp;$G$1))</f>
        <v>27.13</v>
      </c>
      <c r="G41" s="1538"/>
      <c r="H41" s="1325"/>
      <c r="I41" s="1552"/>
      <c r="J41" s="1553"/>
      <c r="K41" s="2736"/>
      <c r="L41" s="1325"/>
      <c r="M41" s="1325"/>
    </row>
    <row r="42" spans="1:18" ht="18" customHeight="1">
      <c r="A42" s="314"/>
      <c r="B42" s="315"/>
      <c r="C42" s="316"/>
      <c r="D42" s="333"/>
      <c r="E42" s="308" t="s">
        <v>1381</v>
      </c>
      <c r="F42" s="318">
        <f ca="1">INDIRECT("'数据-取费表'!v"&amp;$G$1)</f>
        <v>0.03</v>
      </c>
      <c r="G42" s="1538"/>
      <c r="H42" s="1325"/>
      <c r="I42" s="1552"/>
      <c r="J42" s="1553"/>
      <c r="K42" s="2736"/>
      <c r="L42" s="1325"/>
      <c r="M42" s="1325"/>
    </row>
    <row r="43" spans="1:18" ht="18" customHeight="1" thickBot="1">
      <c r="A43" s="340" t="s">
        <v>1001</v>
      </c>
      <c r="B43" s="341" t="s">
        <v>1391</v>
      </c>
      <c r="C43" s="342">
        <f ca="1">ROUND(C40*10000/F43,0)</f>
        <v>39834</v>
      </c>
      <c r="D43" s="343" t="s">
        <v>1392</v>
      </c>
      <c r="E43" s="344" t="s">
        <v>1393</v>
      </c>
      <c r="F43" s="345">
        <f ca="1">INDIRECT("'数据-取费表'!k"&amp;$G$1)</f>
        <v>9716.06</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1423</v>
      </c>
      <c r="P45" s="1615"/>
      <c r="Q45" s="1615"/>
      <c r="R45" s="1615"/>
    </row>
    <row r="46" spans="1:18" s="1538" customFormat="1" ht="13.8" thickBot="1">
      <c r="A46" s="1558" t="s">
        <v>1424</v>
      </c>
      <c r="C46" s="1559">
        <f ca="1">C68-C40</f>
        <v>-48327</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8" thickBot="1">
      <c r="A47" s="1077" t="s">
        <v>1301</v>
      </c>
      <c r="B47" s="1109" t="s">
        <v>1302</v>
      </c>
      <c r="C47" s="1249" t="s">
        <v>1303</v>
      </c>
      <c r="D47" s="1109" t="s">
        <v>1304</v>
      </c>
      <c r="E47" s="1189" t="s">
        <v>1305</v>
      </c>
      <c r="F47" s="1190"/>
      <c r="G47" s="731"/>
      <c r="I47" s="1568" t="s">
        <v>1430</v>
      </c>
      <c r="J47" s="1569" t="s">
        <v>3176</v>
      </c>
      <c r="K47" s="1570" t="s">
        <v>1431</v>
      </c>
      <c r="L47" s="1571">
        <f ca="1">INDIRECT("'数据-取费表'!d"&amp;$G$1)</f>
        <v>40</v>
      </c>
      <c r="M47" s="1534" t="str">
        <f>IF(ISNUMBER(FIND("住宅",C1)),"住宅","非住宅")</f>
        <v>非住宅</v>
      </c>
      <c r="O47" s="1572" t="s">
        <v>1008</v>
      </c>
      <c r="P47" s="1573" t="s">
        <v>1432</v>
      </c>
      <c r="Q47" s="1574">
        <f ca="1">C40+J29</f>
        <v>38703</v>
      </c>
      <c r="R47" s="1574" t="s">
        <v>1433</v>
      </c>
    </row>
    <row r="48" spans="1:18" s="1538" customFormat="1" ht="40.200000000000003" thickBot="1">
      <c r="A48" s="1242" t="s">
        <v>1044</v>
      </c>
      <c r="B48" s="306" t="s">
        <v>1306</v>
      </c>
      <c r="C48" s="1513">
        <f ca="1">C49+C53+C55</f>
        <v>0</v>
      </c>
      <c r="D48" s="1244"/>
      <c r="E48" s="1245"/>
      <c r="F48" s="1093"/>
      <c r="G48" s="731"/>
      <c r="H48" s="732"/>
      <c r="I48" s="1575" t="s">
        <v>1434</v>
      </c>
      <c r="J48" s="1576" t="s">
        <v>3177</v>
      </c>
      <c r="K48" s="1577" t="s">
        <v>1435</v>
      </c>
      <c r="L48" s="1578">
        <f ca="1">INDIRECT("'数据-取费表'!f"&amp;$G$1)</f>
        <v>27.13</v>
      </c>
      <c r="O48" s="1572" t="s">
        <v>1009</v>
      </c>
      <c r="P48" s="1573" t="s">
        <v>1436</v>
      </c>
      <c r="Q48" s="1574" t="str">
        <f ca="1">J60</f>
        <v>0</v>
      </c>
      <c r="R48" s="1574" t="s">
        <v>1437</v>
      </c>
    </row>
    <row r="49" spans="1:18" s="1538" customFormat="1" ht="13.8" thickBot="1">
      <c r="A49" s="1106" t="s">
        <v>1045</v>
      </c>
      <c r="B49" s="1525" t="s">
        <v>1394</v>
      </c>
      <c r="C49" s="1246">
        <f ca="1">ROUND(F49*F51*F50*(1-F52)/10000,0)</f>
        <v>0</v>
      </c>
      <c r="D49" s="1186" t="s">
        <v>2788</v>
      </c>
      <c r="E49" s="1526" t="s">
        <v>1395</v>
      </c>
      <c r="F49" s="1191"/>
      <c r="G49" s="1579"/>
      <c r="H49" s="732"/>
      <c r="I49" s="1575" t="s">
        <v>1438</v>
      </c>
      <c r="J49" s="1580"/>
      <c r="K49" s="1577" t="s">
        <v>1439</v>
      </c>
      <c r="L49" s="1581"/>
      <c r="O49" s="1582" t="s">
        <v>1010</v>
      </c>
      <c r="P49" s="1573" t="s">
        <v>1440</v>
      </c>
      <c r="Q49" s="1574">
        <f ca="1">C29</f>
        <v>7250</v>
      </c>
      <c r="R49" s="1574" t="s">
        <v>1433</v>
      </c>
    </row>
    <row r="50" spans="1:18" s="1538" customFormat="1" ht="13.8" thickBot="1">
      <c r="A50" s="1107"/>
      <c r="B50" s="1110"/>
      <c r="C50" s="1250"/>
      <c r="D50" s="1084"/>
      <c r="E50" s="1187" t="s">
        <v>1311</v>
      </c>
      <c r="F50" s="1188">
        <f ca="1">F7</f>
        <v>9716.06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8" thickBot="1">
      <c r="A51" s="1108"/>
      <c r="B51" s="1110"/>
      <c r="C51" s="1111"/>
      <c r="D51" s="1084"/>
      <c r="E51" s="1112" t="s">
        <v>1312</v>
      </c>
      <c r="F51" s="309">
        <f ca="1">F8</f>
        <v>365</v>
      </c>
      <c r="I51" s="1586" t="s">
        <v>1444</v>
      </c>
      <c r="J51" s="1587">
        <f>IF(J49="",J50,J49+J50-YEAR('数据-取费表'!B2))</f>
        <v>60</v>
      </c>
      <c r="K51" s="1588" t="s">
        <v>1445</v>
      </c>
      <c r="L51" s="1589">
        <f ca="1">ROUND(-PV(INDIRECT("'数据-取费表'!h"&amp;$G$1),J51,(C39-C13*C76),0),0)</f>
        <v>30060</v>
      </c>
      <c r="M51" s="1590"/>
      <c r="O51" s="1582" t="s">
        <v>1012</v>
      </c>
      <c r="P51" s="1573" t="s">
        <v>1446</v>
      </c>
      <c r="Q51" s="1585">
        <f>J52</f>
        <v>0</v>
      </c>
      <c r="R51" s="1574"/>
    </row>
    <row r="52" spans="1:18" s="1538" customFormat="1" ht="13.8" thickBot="1">
      <c r="A52" s="1108"/>
      <c r="B52" s="1110"/>
      <c r="C52" s="1111"/>
      <c r="D52" s="1084"/>
      <c r="E52" s="1112" t="s">
        <v>1313</v>
      </c>
      <c r="F52" s="1185"/>
      <c r="I52" s="1591" t="s">
        <v>1447</v>
      </c>
      <c r="J52" s="1592"/>
      <c r="K52" s="1591" t="s">
        <v>1448</v>
      </c>
      <c r="L52" s="1592"/>
      <c r="O52" s="1582" t="s">
        <v>1013</v>
      </c>
      <c r="P52" s="1573" t="s">
        <v>1449</v>
      </c>
      <c r="Q52" s="1574">
        <f ca="1">J53</f>
        <v>27.13</v>
      </c>
      <c r="R52" s="1574" t="s">
        <v>1450</v>
      </c>
    </row>
    <row r="53" spans="1:18" s="1538" customFormat="1" ht="36.6" thickBot="1">
      <c r="A53" s="1286" t="s">
        <v>1046</v>
      </c>
      <c r="B53" s="1527" t="s">
        <v>1314</v>
      </c>
      <c r="C53" s="322">
        <f ca="1">ROUND(IF(F53="押一",C49/12*F11,IF(F53="押二",C49/12*2*F11,IF(F53="押三",C49/12*3*F11,C54*F11))),0)</f>
        <v>0</v>
      </c>
      <c r="D53" s="1520" t="s">
        <v>2794</v>
      </c>
      <c r="E53" s="319" t="s">
        <v>1315</v>
      </c>
      <c r="F53" s="1248"/>
      <c r="I53" s="1593" t="s">
        <v>1451</v>
      </c>
      <c r="J53" s="2356">
        <f ca="1">IF(M47="住宅",IF(D1="——",MAX(J51,L48),MAX(J51,L48-'数据-取费表'!B24)),IF(D1="——",MIN(J51,L48),MIN(J51,L48-'数据-取费表'!B24)))</f>
        <v>27.13</v>
      </c>
      <c r="K53" s="3449" t="s">
        <v>1452</v>
      </c>
      <c r="L53" s="3450"/>
      <c r="O53" s="1572" t="s">
        <v>1014</v>
      </c>
      <c r="P53" s="1573" t="s">
        <v>1453</v>
      </c>
      <c r="Q53" s="1574">
        <f ca="1">Q47+Q48</f>
        <v>38703</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8"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37.200000000000003" thickTop="1" thickBot="1">
      <c r="A56" s="1088">
        <v>2</v>
      </c>
      <c r="B56" s="1089" t="s">
        <v>1318</v>
      </c>
      <c r="C56" s="238">
        <f ca="1">C13</f>
        <v>5800</v>
      </c>
      <c r="D56" s="1601"/>
      <c r="E56" s="1602"/>
      <c r="F56" s="1594"/>
      <c r="I56" s="1603" t="s">
        <v>1458</v>
      </c>
      <c r="J56" s="1604" t="s">
        <v>3158</v>
      </c>
      <c r="K56" s="1575" t="s">
        <v>1459</v>
      </c>
      <c r="L56" s="1578" t="str">
        <f ca="1">IF(L48&lt;J51,"——",L48-J53)</f>
        <v>——</v>
      </c>
      <c r="O56" s="1572" t="s">
        <v>1008</v>
      </c>
      <c r="P56" s="1573" t="s">
        <v>1432</v>
      </c>
      <c r="Q56" s="1574">
        <f ca="1">C40+J29</f>
        <v>38703</v>
      </c>
      <c r="R56" s="1574" t="s">
        <v>1433</v>
      </c>
    </row>
    <row r="57" spans="1:18" s="1538" customFormat="1" ht="24.6" thickBot="1">
      <c r="A57" s="1605"/>
      <c r="B57" s="1081" t="s">
        <v>1382</v>
      </c>
      <c r="C57" s="244">
        <f ca="1">C29</f>
        <v>7250</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6" thickBot="1">
      <c r="A58" s="321" t="s">
        <v>998</v>
      </c>
      <c r="B58" s="1089" t="s">
        <v>1328</v>
      </c>
      <c r="C58" s="322">
        <f ca="1">ROUND(C59+C64+C65+C66,0)</f>
        <v>691</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6" thickBot="1">
      <c r="A59" s="1113" t="s">
        <v>1003</v>
      </c>
      <c r="B59" s="1081" t="s">
        <v>1333</v>
      </c>
      <c r="C59" s="2504">
        <f ca="1">ROUND(IF(AND(项目基本情况!B11="自然人",项目基本情况!B10="北京市"),C49*F59/(1+'数据-取费表'!C42),C60+C61+C62),0)</f>
        <v>610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1337</v>
      </c>
      <c r="C60" s="24">
        <f ca="1">IF(项目基本情况!B11="自然人","——",ROUND(C48*F60/(1+'数据-取费表'!C42),2))</f>
        <v>0</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8" thickBot="1">
      <c r="A61" s="1113" t="s">
        <v>1396</v>
      </c>
      <c r="B61" s="1081" t="s">
        <v>1397</v>
      </c>
      <c r="C61" s="24">
        <f ca="1">IF(项目基本情况!B11="自然人","——",IF(D61="按租金收入计税",ROUND(C49*F61/(1+'数据-取费表'!C42),2),IF(D61="按房产原值计税",ROUND(C57*F61*0.7,2),INDIRECT("'数据-取费表'!Aj"&amp;$G$1))))</f>
        <v>609</v>
      </c>
      <c r="D61" s="1524" t="s">
        <v>1342</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8" thickBot="1">
      <c r="A62" s="1113" t="s">
        <v>1399</v>
      </c>
      <c r="B62" s="1080" t="s">
        <v>1400</v>
      </c>
      <c r="C62" s="25">
        <f ca="1">IF(项目基本情况!B11="自然人","——",ROUND(F62*F63/10000,2))</f>
        <v>0.74</v>
      </c>
      <c r="D62" s="1096" t="s">
        <v>1401</v>
      </c>
      <c r="E62" s="1081" t="s">
        <v>1402</v>
      </c>
      <c r="F62" s="331">
        <f t="shared" si="0"/>
        <v>12</v>
      </c>
      <c r="I62" s="1616" t="s">
        <v>1474</v>
      </c>
      <c r="J62" s="1617" t="s">
        <v>1475</v>
      </c>
      <c r="K62" s="1617" t="s">
        <v>1476</v>
      </c>
      <c r="L62" s="1617" t="s">
        <v>1477</v>
      </c>
      <c r="M62" s="1618" t="s">
        <v>1478</v>
      </c>
      <c r="O62" s="1572" t="s">
        <v>1014</v>
      </c>
      <c r="P62" s="1573" t="s">
        <v>1479</v>
      </c>
      <c r="Q62" s="1574">
        <f ca="1">Q56+Q57</f>
        <v>38703</v>
      </c>
      <c r="R62" s="1574" t="s">
        <v>1015</v>
      </c>
    </row>
    <row r="63" spans="1:18" s="1538" customFormat="1" ht="13.8" thickBot="1">
      <c r="A63" s="332"/>
      <c r="B63" s="1087"/>
      <c r="C63" s="29"/>
      <c r="D63" s="1097"/>
      <c r="E63" s="1081" t="s">
        <v>1403</v>
      </c>
      <c r="F63" s="309">
        <f t="shared" ca="1" si="0"/>
        <v>619.02</v>
      </c>
      <c r="I63" s="1616" t="s">
        <v>1480</v>
      </c>
      <c r="J63" s="1617">
        <v>70</v>
      </c>
      <c r="K63" s="1617">
        <v>50</v>
      </c>
      <c r="L63" s="1617">
        <v>80</v>
      </c>
      <c r="M63" s="1619">
        <v>0.02</v>
      </c>
      <c r="O63" s="1557" t="s">
        <v>1481</v>
      </c>
      <c r="P63" s="1535"/>
      <c r="Q63" s="1535"/>
      <c r="R63" s="1535"/>
    </row>
    <row r="64" spans="1:18" s="1538" customFormat="1" ht="13.8" thickBot="1">
      <c r="A64" s="1113" t="s">
        <v>1404</v>
      </c>
      <c r="B64" s="1081" t="s">
        <v>1405</v>
      </c>
      <c r="C64" s="24">
        <f ca="1">ROUND(C57*F64,1)</f>
        <v>72.5</v>
      </c>
      <c r="D64" s="1095" t="s">
        <v>1406</v>
      </c>
      <c r="E64" s="1081" t="s">
        <v>1398</v>
      </c>
      <c r="F64" s="334">
        <f t="shared" ca="1" si="0"/>
        <v>0.01</v>
      </c>
      <c r="I64" s="1616" t="s">
        <v>1482</v>
      </c>
      <c r="J64" s="1617">
        <v>50</v>
      </c>
      <c r="K64" s="1617">
        <v>35</v>
      </c>
      <c r="L64" s="1617">
        <v>60</v>
      </c>
      <c r="M64" s="1618">
        <v>0</v>
      </c>
      <c r="O64" s="1565" t="s">
        <v>1426</v>
      </c>
      <c r="P64" s="1566" t="s">
        <v>1427</v>
      </c>
      <c r="Q64" s="1567" t="s">
        <v>1428</v>
      </c>
      <c r="R64" s="1567" t="s">
        <v>1429</v>
      </c>
    </row>
    <row r="65" spans="1:18" s="1538" customFormat="1" ht="13.8" thickBot="1">
      <c r="A65" s="1113" t="s">
        <v>1407</v>
      </c>
      <c r="B65" s="1081" t="s">
        <v>1357</v>
      </c>
      <c r="C65" s="24">
        <f ca="1">ROUND(C56*F65,1)</f>
        <v>8.6999999999999993</v>
      </c>
      <c r="D65" s="1095" t="s">
        <v>1358</v>
      </c>
      <c r="E65" s="1081" t="s">
        <v>1359</v>
      </c>
      <c r="F65" s="336">
        <f t="shared" ca="1" si="0"/>
        <v>1.5E-3</v>
      </c>
      <c r="I65" s="1616" t="s">
        <v>1483</v>
      </c>
      <c r="J65" s="1617">
        <v>40</v>
      </c>
      <c r="K65" s="1617">
        <v>30</v>
      </c>
      <c r="L65" s="1617">
        <v>50</v>
      </c>
      <c r="M65" s="1619">
        <v>0.02</v>
      </c>
      <c r="O65" s="1572" t="s">
        <v>1008</v>
      </c>
      <c r="P65" s="1573" t="s">
        <v>1484</v>
      </c>
      <c r="Q65" s="1574">
        <f ca="1">C40+J29</f>
        <v>38703</v>
      </c>
      <c r="R65" s="1574" t="s">
        <v>1433</v>
      </c>
    </row>
    <row r="66" spans="1:18" s="1538" customFormat="1" ht="16.2" thickBot="1">
      <c r="A66" s="1113" t="s">
        <v>1408</v>
      </c>
      <c r="B66" s="1081" t="s">
        <v>1343</v>
      </c>
      <c r="C66" s="24">
        <f ca="1">ROUND(C48*F66,1)</f>
        <v>0</v>
      </c>
      <c r="D66" s="1095" t="s">
        <v>1409</v>
      </c>
      <c r="E66" s="1081" t="s">
        <v>1326</v>
      </c>
      <c r="F66" s="318">
        <f t="shared" ca="1" si="0"/>
        <v>0.01</v>
      </c>
      <c r="O66" s="1572" t="s">
        <v>1009</v>
      </c>
      <c r="P66" s="1573" t="s">
        <v>1462</v>
      </c>
      <c r="Q66" s="1574">
        <f ca="1">L60</f>
        <v>0</v>
      </c>
      <c r="R66" s="1574" t="s">
        <v>1485</v>
      </c>
    </row>
    <row r="67" spans="1:18" s="1538" customFormat="1" ht="24.6" thickBot="1">
      <c r="A67" s="1088" t="s">
        <v>999</v>
      </c>
      <c r="B67" s="1098" t="s">
        <v>1367</v>
      </c>
      <c r="C67" s="322">
        <f ca="1">C48-C58</f>
        <v>-691</v>
      </c>
      <c r="D67" s="1094" t="s">
        <v>1368</v>
      </c>
      <c r="E67" s="1099"/>
      <c r="F67" s="1100"/>
      <c r="O67" s="1582" t="s">
        <v>1010</v>
      </c>
      <c r="P67" s="1573" t="s">
        <v>1466</v>
      </c>
      <c r="Q67" s="1620">
        <f ca="1">L51</f>
        <v>30060</v>
      </c>
      <c r="R67" s="1574" t="s">
        <v>1486</v>
      </c>
    </row>
    <row r="68" spans="1:18" s="1538" customFormat="1" ht="16.2" thickBot="1">
      <c r="A68" s="1078" t="s">
        <v>1000</v>
      </c>
      <c r="B68" s="1079" t="s">
        <v>1389</v>
      </c>
      <c r="C68" s="307">
        <f ca="1">ROUND(C67*(1-((1+F70)/(1+F68))^F69)/(F68-F70),0)</f>
        <v>-9624</v>
      </c>
      <c r="D68" s="1096" t="s">
        <v>1373</v>
      </c>
      <c r="E68" s="1081" t="s">
        <v>1374</v>
      </c>
      <c r="F68" s="318">
        <f ca="1">F40</f>
        <v>5.5E-2</v>
      </c>
      <c r="O68" s="1582" t="s">
        <v>1011</v>
      </c>
      <c r="P68" s="1621" t="s">
        <v>1487</v>
      </c>
      <c r="Q68" s="1574">
        <f ca="1">ROUND(Q69-Q70*Q71,0)</f>
        <v>1588</v>
      </c>
      <c r="R68" s="1574" t="s">
        <v>1019</v>
      </c>
    </row>
    <row r="69" spans="1:18" s="1538" customFormat="1" ht="13.8" thickBot="1">
      <c r="A69" s="1082"/>
      <c r="B69" s="1083"/>
      <c r="C69" s="312"/>
      <c r="D69" s="1101" t="s">
        <v>1377</v>
      </c>
      <c r="E69" s="1081" t="s">
        <v>1378</v>
      </c>
      <c r="F69" s="339">
        <f ca="1">F41</f>
        <v>27.13</v>
      </c>
      <c r="O69" s="1582" t="s">
        <v>1016</v>
      </c>
      <c r="P69" s="1621" t="s">
        <v>1488</v>
      </c>
      <c r="Q69" s="1574">
        <f ca="1">C39</f>
        <v>2023</v>
      </c>
      <c r="R69" s="1574" t="s">
        <v>1433</v>
      </c>
    </row>
    <row r="70" spans="1:18" s="1538" customFormat="1" ht="13.8" thickBot="1">
      <c r="A70" s="1085"/>
      <c r="B70" s="1086"/>
      <c r="C70" s="316"/>
      <c r="D70" s="1097"/>
      <c r="E70" s="1081" t="s">
        <v>1381</v>
      </c>
      <c r="F70" s="1185"/>
      <c r="O70" s="1582" t="s">
        <v>1017</v>
      </c>
      <c r="P70" s="1621" t="s">
        <v>1489</v>
      </c>
      <c r="Q70" s="1574">
        <f ca="1">C13</f>
        <v>5800</v>
      </c>
      <c r="R70" s="1574" t="s">
        <v>1433</v>
      </c>
    </row>
    <row r="71" spans="1:18" s="1538" customFormat="1" ht="13.8" thickBot="1">
      <c r="A71" s="1102" t="s">
        <v>1001</v>
      </c>
      <c r="B71" s="1103" t="s">
        <v>1391</v>
      </c>
      <c r="C71" s="342">
        <f ca="1">ROUND(C68*10000/F71,0)</f>
        <v>-9905</v>
      </c>
      <c r="D71" s="1104" t="s">
        <v>1392</v>
      </c>
      <c r="E71" s="1105" t="s">
        <v>1393</v>
      </c>
      <c r="F71" s="345">
        <f ca="1">F43</f>
        <v>9716.06</v>
      </c>
      <c r="O71" s="1582" t="s">
        <v>1018</v>
      </c>
      <c r="P71" s="1621" t="s">
        <v>1490</v>
      </c>
      <c r="Q71" s="1585">
        <f ca="1">C76</f>
        <v>7.4999999999999997E-2</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8" thickBot="1">
      <c r="A75" s="1538"/>
      <c r="B75" s="346" t="s">
        <v>1410</v>
      </c>
      <c r="C75" s="347">
        <f ca="1">ROUND(C13*C76,0)</f>
        <v>435</v>
      </c>
      <c r="D75" s="1538"/>
      <c r="E75" s="1538"/>
      <c r="F75" s="1538"/>
      <c r="K75" s="1556"/>
      <c r="L75" s="1538"/>
      <c r="O75" s="1572" t="s">
        <v>1014</v>
      </c>
      <c r="P75" s="1573" t="s">
        <v>1453</v>
      </c>
      <c r="Q75" s="1574">
        <f ca="1">Q65+Q66</f>
        <v>38703</v>
      </c>
      <c r="R75" s="1574" t="s">
        <v>1015</v>
      </c>
    </row>
    <row r="76" spans="1:18">
      <c r="B76" s="348" t="s">
        <v>1411</v>
      </c>
      <c r="C76" s="349">
        <f ca="1">INDIRECT("'数据-取费表'!j"&amp;$G$1)</f>
        <v>7.4999999999999997E-2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0.78500000000000003</v>
      </c>
    </row>
    <row r="80" spans="1:18">
      <c r="B80" s="346" t="s">
        <v>1415</v>
      </c>
      <c r="C80" s="280">
        <f ca="1">ROUND(C75/C39,3)</f>
        <v>0.215</v>
      </c>
    </row>
    <row r="81" spans="2:3">
      <c r="B81" s="276" t="s">
        <v>1416</v>
      </c>
      <c r="C81" s="244"/>
    </row>
    <row r="82" spans="2:3">
      <c r="B82" s="279" t="s">
        <v>1417</v>
      </c>
      <c r="C82" s="281">
        <f ca="1">1-C83</f>
        <v>0.85</v>
      </c>
    </row>
    <row r="83" spans="2:3">
      <c r="B83" s="279" t="s">
        <v>1418</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c r="D1" s="1516"/>
      <c r="E1" s="1517" t="s">
        <v>1292</v>
      </c>
      <c r="F1" s="1193">
        <f ca="1">J53</f>
        <v>0</v>
      </c>
      <c r="G1" s="1532">
        <f>MATCH(C1,'数据-取费表'!A6:A16,0)+5</f>
        <v>8</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1"/>
      <c r="H2" s="2890"/>
      <c r="I2" s="2890"/>
      <c r="J2" s="2890"/>
      <c r="K2" s="2891"/>
      <c r="L2" s="2890"/>
      <c r="M2" s="2890"/>
    </row>
    <row r="3" spans="1:37" ht="18" customHeight="1" thickBot="1">
      <c r="A3" s="1544" t="s">
        <v>1497</v>
      </c>
      <c r="B3" s="1545">
        <f ca="1">IF(ISERROR(D2/F43),0,ROUND(D2/F43,0))</f>
        <v>0</v>
      </c>
      <c r="C3" s="1541" t="s">
        <v>1498</v>
      </c>
      <c r="D3" s="1541"/>
      <c r="E3" s="1542"/>
      <c r="F3" s="1543"/>
      <c r="G3" s="2901"/>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51" t="s">
        <v>1308</v>
      </c>
      <c r="C6" s="1206">
        <f ca="1">ROUND(F6*F8*F7*(1-F9),0)</f>
        <v>0</v>
      </c>
      <c r="D6" s="160" t="s">
        <v>2784</v>
      </c>
      <c r="E6" s="308" t="s">
        <v>1310</v>
      </c>
      <c r="F6" s="309">
        <f ca="1">INDIRECT("'数据-取费表'!u"&amp;$G$1)</f>
        <v>0</v>
      </c>
      <c r="G6" s="1538"/>
      <c r="H6" s="1201" t="s">
        <v>1003</v>
      </c>
      <c r="I6" s="3451" t="s">
        <v>1308</v>
      </c>
      <c r="J6" s="307">
        <f ca="1">ROUND(M6*M8*M7*(1-M9),0)</f>
        <v>0</v>
      </c>
      <c r="K6" s="1530" t="s">
        <v>2785</v>
      </c>
      <c r="L6" s="308" t="s">
        <v>1310</v>
      </c>
      <c r="M6" s="309">
        <f ca="1">INDIRECT("'数据-取费表'!z"&amp;$G$1)</f>
        <v>0</v>
      </c>
    </row>
    <row r="7" spans="1:37" ht="18" customHeight="1">
      <c r="A7" s="1205"/>
      <c r="B7" s="3452"/>
      <c r="C7" s="1207"/>
      <c r="D7" s="313"/>
      <c r="E7" s="1208" t="s">
        <v>1311</v>
      </c>
      <c r="F7" s="309">
        <f ca="1">IF(INDIRECT("'数据-取费表'!ah"&amp;$G$1)="",INDIRECT("'数据-取费表'!k"&amp;$G$1),INDIRECT("'数据-取费表'!ah"&amp;$G$1))</f>
        <v>0</v>
      </c>
      <c r="G7" s="1538"/>
      <c r="H7" s="310"/>
      <c r="I7" s="3452"/>
      <c r="J7" s="312"/>
      <c r="K7" s="313"/>
      <c r="L7" s="308" t="s">
        <v>1311</v>
      </c>
      <c r="M7" s="309">
        <f ca="1">F7</f>
        <v>0</v>
      </c>
    </row>
    <row r="8" spans="1:37" ht="18" customHeight="1">
      <c r="A8" s="310"/>
      <c r="B8" s="3452"/>
      <c r="C8" s="312"/>
      <c r="D8" s="313"/>
      <c r="E8" s="308" t="s">
        <v>1312</v>
      </c>
      <c r="F8" s="309">
        <f ca="1">INDIRECT("'数据-取费表'!ai"&amp;$G$1)</f>
        <v>0</v>
      </c>
      <c r="G8" s="1538"/>
      <c r="H8" s="310"/>
      <c r="I8" s="3452"/>
      <c r="J8" s="312"/>
      <c r="K8" s="313"/>
      <c r="L8" s="308" t="s">
        <v>1312</v>
      </c>
      <c r="M8" s="309">
        <f ca="1">INDIRECT("'数据-取费表'!ai"&amp;$G$1)</f>
        <v>0</v>
      </c>
    </row>
    <row r="9" spans="1:37" ht="18" customHeight="1">
      <c r="A9" s="310"/>
      <c r="B9" s="3453"/>
      <c r="C9" s="312"/>
      <c r="D9" s="313"/>
      <c r="E9" s="308" t="s">
        <v>1313</v>
      </c>
      <c r="F9" s="318">
        <f ca="1">INDIRECT("'数据-取费表'!w"&amp;$G$1)</f>
        <v>0</v>
      </c>
      <c r="G9" s="1538"/>
      <c r="H9" s="310"/>
      <c r="I9" s="345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8.9999999999999998E-4</v>
      </c>
      <c r="D24" s="335" t="str">
        <f>IF(F23&lt;=1,"销售费用×利率×(建设周期÷2)","销售费用×((1+利率)^(建设周期÷2)-1)")</f>
        <v>销售费用×((1+利率)^(建设周期÷2)-1)</v>
      </c>
      <c r="E24" s="308" t="s">
        <v>1362</v>
      </c>
      <c r="F24" s="337">
        <f ca="1">'数据-取费表'!B40</f>
        <v>4.2999999999999997E-2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2"/>
      <c r="I30" s="1552"/>
      <c r="J30" s="1553"/>
      <c r="K30" s="2667"/>
      <c r="L30" s="2893"/>
      <c r="M30" s="2894"/>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5" t="s">
        <v>2990</v>
      </c>
      <c r="I31" s="1552"/>
      <c r="J31" s="1553"/>
      <c r="K31" s="2667"/>
      <c r="L31" s="2893"/>
      <c r="M31" s="2894"/>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2"/>
      <c r="I32" s="1552"/>
      <c r="J32" s="1553"/>
      <c r="K32" s="2667"/>
      <c r="L32" s="2893"/>
      <c r="M32" s="2894"/>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5"/>
      <c r="I33" s="1552"/>
      <c r="J33" s="1553"/>
      <c r="K33" s="2896"/>
      <c r="L33" s="2895"/>
      <c r="M33" s="2895"/>
    </row>
    <row r="34" spans="1:18" ht="18" customHeight="1">
      <c r="A34" s="1201" t="s">
        <v>1294</v>
      </c>
      <c r="B34" s="160" t="s">
        <v>1345</v>
      </c>
      <c r="C34" s="25">
        <f ca="1">IF(项目基本情况!B11="自然人","——",ROUND(F34*F35,))</f>
        <v>0</v>
      </c>
      <c r="D34" s="330" t="s">
        <v>1346</v>
      </c>
      <c r="E34" s="308" t="s">
        <v>1347</v>
      </c>
      <c r="F34" s="331">
        <f>'数据-取费表'!B52</f>
        <v>12</v>
      </c>
      <c r="G34" s="1538"/>
      <c r="H34" s="2892"/>
      <c r="I34" s="1552"/>
      <c r="J34" s="1553"/>
      <c r="K34" s="2897"/>
      <c r="L34" s="2898"/>
      <c r="M34" s="2898"/>
    </row>
    <row r="35" spans="1:18" ht="18" customHeight="1">
      <c r="A35" s="1235"/>
      <c r="B35" s="1233"/>
      <c r="C35" s="29"/>
      <c r="D35" s="333"/>
      <c r="E35" s="308" t="s">
        <v>1351</v>
      </c>
      <c r="F35" s="309">
        <f ca="1">INDIRECT("'数据-取费表'!r"&amp;$G$1)</f>
        <v>0</v>
      </c>
      <c r="G35" s="1538"/>
      <c r="H35" s="2892"/>
      <c r="I35" s="1552"/>
      <c r="J35" s="1553"/>
      <c r="K35" s="2896"/>
      <c r="L35" s="2895"/>
      <c r="M35" s="2895"/>
    </row>
    <row r="36" spans="1:18" ht="18" customHeight="1">
      <c r="A36" s="1234" t="s">
        <v>1007</v>
      </c>
      <c r="B36" s="308" t="s">
        <v>1353</v>
      </c>
      <c r="C36" s="24">
        <f ca="1">ROUND(C29*F36,0)</f>
        <v>0</v>
      </c>
      <c r="D36" s="1498" t="s">
        <v>1386</v>
      </c>
      <c r="E36" s="308" t="s">
        <v>1326</v>
      </c>
      <c r="F36" s="334">
        <f ca="1">INDIRECT("'数据-取费表'!Ak"&amp;$G$1)</f>
        <v>0</v>
      </c>
      <c r="G36" s="1538"/>
      <c r="H36" s="2895"/>
      <c r="I36" s="1552"/>
      <c r="J36" s="1553"/>
      <c r="K36" s="2736"/>
      <c r="L36" s="2895"/>
      <c r="M36" s="2895"/>
    </row>
    <row r="37" spans="1:18" ht="18" customHeight="1">
      <c r="A37" s="1113" t="s">
        <v>1043</v>
      </c>
      <c r="B37" s="308" t="s">
        <v>1357</v>
      </c>
      <c r="C37" s="24">
        <f ca="1">ROUND(C13*F37,0)</f>
        <v>0</v>
      </c>
      <c r="D37" s="1498" t="s">
        <v>1358</v>
      </c>
      <c r="E37" s="308" t="s">
        <v>1359</v>
      </c>
      <c r="F37" s="336">
        <f ca="1">INDIRECT("'数据-取费表'!Al"&amp;$G$1)</f>
        <v>0</v>
      </c>
      <c r="G37" s="1538"/>
      <c r="H37" s="2895"/>
      <c r="I37" s="1552"/>
      <c r="J37" s="1553"/>
      <c r="K37" s="2736"/>
      <c r="L37" s="2895"/>
      <c r="M37" s="2895"/>
    </row>
    <row r="38" spans="1:18" ht="18" customHeight="1" thickBot="1">
      <c r="A38" s="1221" t="s">
        <v>1298</v>
      </c>
      <c r="B38" s="1222" t="s">
        <v>1343</v>
      </c>
      <c r="C38" s="1223">
        <f ca="1">ROUND(C5*F38,1)</f>
        <v>0</v>
      </c>
      <c r="D38" s="1224" t="s">
        <v>1363</v>
      </c>
      <c r="E38" s="1222" t="s">
        <v>1359</v>
      </c>
      <c r="F38" s="1218">
        <f ca="1">INDIRECT("'数据-取费表'!Am"&amp;$G$1)</f>
        <v>0</v>
      </c>
      <c r="G38" s="1538"/>
      <c r="H38" s="2895"/>
      <c r="I38" s="1552"/>
      <c r="J38" s="1553"/>
      <c r="K38" s="2899"/>
      <c r="L38" s="2895"/>
      <c r="M38" s="2895"/>
    </row>
    <row r="39" spans="1:18" ht="24.6" customHeight="1" thickTop="1">
      <c r="A39" s="1211" t="s">
        <v>999</v>
      </c>
      <c r="B39" s="1226" t="s">
        <v>1387</v>
      </c>
      <c r="C39" s="316">
        <f ca="1">C5-C30</f>
        <v>0</v>
      </c>
      <c r="D39" s="1227" t="s">
        <v>1388</v>
      </c>
      <c r="E39" s="1228"/>
      <c r="F39" s="1229"/>
      <c r="G39" s="1538"/>
      <c r="H39" s="2895"/>
      <c r="I39" s="1552"/>
      <c r="J39" s="1553"/>
      <c r="K39" s="2899"/>
      <c r="L39" s="2895"/>
      <c r="M39" s="2895"/>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899"/>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1381</v>
      </c>
      <c r="F42" s="318">
        <f ca="1">INDIRECT("'数据-取费表'!v"&amp;$G$1)</f>
        <v>0</v>
      </c>
      <c r="G42" s="1538"/>
      <c r="H42" s="1325"/>
      <c r="I42" s="1552"/>
      <c r="J42" s="1553"/>
      <c r="K42" s="2736"/>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8"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8"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40.200000000000003"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8"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8"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8"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8"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1451</v>
      </c>
      <c r="J53" s="2356">
        <f ca="1">IF(M47="住宅",IF(D1="——",MAX(J51,L48),MAX(J51,L48-'数据-取费表'!B24)),IF(D1="——",MIN(J51,L48),MIN(J51,L48-'数据-取费表'!B24)))</f>
        <v>0</v>
      </c>
      <c r="K53" s="3449" t="s">
        <v>1452</v>
      </c>
      <c r="L53" s="3450"/>
      <c r="O53" s="1572" t="s">
        <v>1014</v>
      </c>
      <c r="P53" s="1573" t="s">
        <v>1453</v>
      </c>
      <c r="Q53" s="1574" t="e">
        <f ca="1">Q47+Q48</f>
        <v>#DIV/0!</v>
      </c>
      <c r="R53" s="1574" t="s">
        <v>1015</v>
      </c>
    </row>
    <row r="54" spans="1:18" s="1538" customFormat="1" ht="13.8"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8"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6"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6"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6"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8"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8" thickBot="1">
      <c r="A62" s="1113" t="s">
        <v>1399</v>
      </c>
      <c r="B62" s="1080" t="s">
        <v>1400</v>
      </c>
      <c r="C62" s="25">
        <f ca="1">IF(项目基本情况!B11="自然人","——",ROUND(F62*F63,0))</f>
        <v>0</v>
      </c>
      <c r="D62" s="1096" t="s">
        <v>1401</v>
      </c>
      <c r="E62" s="1081" t="s">
        <v>1402</v>
      </c>
      <c r="F62" s="331">
        <f t="shared" si="0"/>
        <v>12</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8"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8"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8"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2"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24.6"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2"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8" thickBot="1">
      <c r="A69" s="1082"/>
      <c r="B69" s="1083"/>
      <c r="C69" s="312"/>
      <c r="D69" s="1101" t="s">
        <v>1377</v>
      </c>
      <c r="E69" s="1081" t="s">
        <v>1378</v>
      </c>
      <c r="F69" s="339">
        <f ca="1">F41</f>
        <v>0</v>
      </c>
      <c r="O69" s="1582" t="s">
        <v>1016</v>
      </c>
      <c r="P69" s="1621" t="s">
        <v>1488</v>
      </c>
      <c r="Q69" s="1574">
        <f ca="1">C39</f>
        <v>0</v>
      </c>
      <c r="R69" s="1574" t="s">
        <v>1433</v>
      </c>
    </row>
    <row r="70" spans="1:18" s="1538" customFormat="1" ht="13.8" thickBot="1">
      <c r="A70" s="1085"/>
      <c r="B70" s="1086"/>
      <c r="C70" s="316"/>
      <c r="D70" s="1097"/>
      <c r="E70" s="1081" t="s">
        <v>1381</v>
      </c>
      <c r="F70" s="1185">
        <f ca="1">F42</f>
        <v>0</v>
      </c>
      <c r="O70" s="1582" t="s">
        <v>1017</v>
      </c>
      <c r="P70" s="1621" t="s">
        <v>1489</v>
      </c>
      <c r="Q70" s="1574">
        <f ca="1">C13</f>
        <v>0</v>
      </c>
      <c r="R70" s="1574" t="s">
        <v>1433</v>
      </c>
    </row>
    <row r="71" spans="1:18" s="1538" customFormat="1" ht="13.8"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8"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39" customWidth="1"/>
    <col min="2" max="2" width="8.88671875" style="3039"/>
    <col min="3" max="5" width="12.88671875" style="3039" customWidth="1"/>
    <col min="6" max="6" width="47.44140625" style="3039" customWidth="1"/>
    <col min="7" max="7" width="13" style="3198" customWidth="1"/>
    <col min="8" max="8" width="8.88671875" style="3033"/>
    <col min="9" max="9" width="8.88671875" style="3034"/>
    <col min="10" max="10" width="5.77734375" style="3199" customWidth="1"/>
    <col min="11" max="11" width="11.77734375" style="3199" customWidth="1"/>
    <col min="12" max="13" width="10.77734375" style="3199" customWidth="1"/>
    <col min="14" max="14" width="10" style="3199" customWidth="1"/>
    <col min="15" max="16" width="10.44140625" style="3199" bestFit="1" customWidth="1"/>
    <col min="17" max="17" width="10" style="3199" customWidth="1"/>
    <col min="18" max="18" width="10.109375" style="3199" customWidth="1"/>
    <col min="19" max="19" width="10" style="3199" customWidth="1"/>
    <col min="20" max="20" width="26.109375" style="3199" customWidth="1"/>
    <col min="21" max="21" width="8.88671875" style="3199"/>
    <col min="22" max="22" width="8.88671875" style="3034"/>
    <col min="23" max="256" width="8.88671875" style="3039"/>
    <col min="257" max="257" width="9.44140625" style="3039" customWidth="1"/>
    <col min="258" max="258" width="8.88671875" style="3039"/>
    <col min="259" max="261" width="12.88671875" style="3039" customWidth="1"/>
    <col min="262" max="262" width="47.44140625" style="3039" customWidth="1"/>
    <col min="263" max="263" width="13" style="3039" customWidth="1"/>
    <col min="264" max="265" width="8.88671875" style="3039"/>
    <col min="266" max="266" width="5.77734375" style="3039" customWidth="1"/>
    <col min="267" max="267" width="11.77734375" style="3039" customWidth="1"/>
    <col min="268" max="269" width="10.77734375" style="3039" customWidth="1"/>
    <col min="270" max="270" width="10" style="3039" customWidth="1"/>
    <col min="271" max="272" width="10.44140625" style="3039" bestFit="1" customWidth="1"/>
    <col min="273" max="273" width="10" style="3039" customWidth="1"/>
    <col min="274" max="274" width="10.109375" style="3039" customWidth="1"/>
    <col min="275" max="275" width="10" style="3039" customWidth="1"/>
    <col min="276" max="276" width="26.109375" style="3039" customWidth="1"/>
    <col min="277" max="512" width="8.88671875" style="3039"/>
    <col min="513" max="513" width="9.44140625" style="3039" customWidth="1"/>
    <col min="514" max="514" width="8.88671875" style="3039"/>
    <col min="515" max="517" width="12.88671875" style="3039" customWidth="1"/>
    <col min="518" max="518" width="47.44140625" style="3039" customWidth="1"/>
    <col min="519" max="519" width="13" style="3039" customWidth="1"/>
    <col min="520" max="521" width="8.88671875" style="3039"/>
    <col min="522" max="522" width="5.77734375" style="3039" customWidth="1"/>
    <col min="523" max="523" width="11.77734375" style="3039" customWidth="1"/>
    <col min="524" max="525" width="10.77734375" style="3039" customWidth="1"/>
    <col min="526" max="526" width="10" style="3039" customWidth="1"/>
    <col min="527" max="528" width="10.44140625" style="3039" bestFit="1" customWidth="1"/>
    <col min="529" max="529" width="10" style="3039" customWidth="1"/>
    <col min="530" max="530" width="10.109375" style="3039" customWidth="1"/>
    <col min="531" max="531" width="10" style="3039" customWidth="1"/>
    <col min="532" max="532" width="26.109375" style="3039" customWidth="1"/>
    <col min="533" max="768" width="8.88671875" style="3039"/>
    <col min="769" max="769" width="9.44140625" style="3039" customWidth="1"/>
    <col min="770" max="770" width="8.88671875" style="3039"/>
    <col min="771" max="773" width="12.88671875" style="3039" customWidth="1"/>
    <col min="774" max="774" width="47.44140625" style="3039" customWidth="1"/>
    <col min="775" max="775" width="13" style="3039" customWidth="1"/>
    <col min="776" max="777" width="8.88671875" style="3039"/>
    <col min="778" max="778" width="5.77734375" style="3039" customWidth="1"/>
    <col min="779" max="779" width="11.77734375" style="3039" customWidth="1"/>
    <col min="780" max="781" width="10.77734375" style="3039" customWidth="1"/>
    <col min="782" max="782" width="10" style="3039" customWidth="1"/>
    <col min="783" max="784" width="10.44140625" style="3039" bestFit="1" customWidth="1"/>
    <col min="785" max="785" width="10" style="3039" customWidth="1"/>
    <col min="786" max="786" width="10.109375" style="3039" customWidth="1"/>
    <col min="787" max="787" width="10" style="3039" customWidth="1"/>
    <col min="788" max="788" width="26.109375" style="3039" customWidth="1"/>
    <col min="789" max="1024" width="8.88671875" style="3039"/>
    <col min="1025" max="1025" width="9.44140625" style="3039" customWidth="1"/>
    <col min="1026" max="1026" width="8.88671875" style="3039"/>
    <col min="1027" max="1029" width="12.88671875" style="3039" customWidth="1"/>
    <col min="1030" max="1030" width="47.44140625" style="3039" customWidth="1"/>
    <col min="1031" max="1031" width="13" style="3039" customWidth="1"/>
    <col min="1032" max="1033" width="8.88671875" style="3039"/>
    <col min="1034" max="1034" width="5.77734375" style="3039" customWidth="1"/>
    <col min="1035" max="1035" width="11.77734375" style="3039" customWidth="1"/>
    <col min="1036" max="1037" width="10.77734375" style="3039" customWidth="1"/>
    <col min="1038" max="1038" width="10" style="3039" customWidth="1"/>
    <col min="1039" max="1040" width="10.44140625" style="3039" bestFit="1" customWidth="1"/>
    <col min="1041" max="1041" width="10" style="3039" customWidth="1"/>
    <col min="1042" max="1042" width="10.109375" style="3039" customWidth="1"/>
    <col min="1043" max="1043" width="10" style="3039" customWidth="1"/>
    <col min="1044" max="1044" width="26.109375" style="3039" customWidth="1"/>
    <col min="1045" max="1280" width="8.88671875" style="3039"/>
    <col min="1281" max="1281" width="9.44140625" style="3039" customWidth="1"/>
    <col min="1282" max="1282" width="8.88671875" style="3039"/>
    <col min="1283" max="1285" width="12.88671875" style="3039" customWidth="1"/>
    <col min="1286" max="1286" width="47.44140625" style="3039" customWidth="1"/>
    <col min="1287" max="1287" width="13" style="3039" customWidth="1"/>
    <col min="1288" max="1289" width="8.88671875" style="3039"/>
    <col min="1290" max="1290" width="5.77734375" style="3039" customWidth="1"/>
    <col min="1291" max="1291" width="11.77734375" style="3039" customWidth="1"/>
    <col min="1292" max="1293" width="10.77734375" style="3039" customWidth="1"/>
    <col min="1294" max="1294" width="10" style="3039" customWidth="1"/>
    <col min="1295" max="1296" width="10.44140625" style="3039" bestFit="1" customWidth="1"/>
    <col min="1297" max="1297" width="10" style="3039" customWidth="1"/>
    <col min="1298" max="1298" width="10.109375" style="3039" customWidth="1"/>
    <col min="1299" max="1299" width="10" style="3039" customWidth="1"/>
    <col min="1300" max="1300" width="26.109375" style="3039" customWidth="1"/>
    <col min="1301" max="1536" width="8.88671875" style="3039"/>
    <col min="1537" max="1537" width="9.44140625" style="3039" customWidth="1"/>
    <col min="1538" max="1538" width="8.88671875" style="3039"/>
    <col min="1539" max="1541" width="12.88671875" style="3039" customWidth="1"/>
    <col min="1542" max="1542" width="47.44140625" style="3039" customWidth="1"/>
    <col min="1543" max="1543" width="13" style="3039" customWidth="1"/>
    <col min="1544" max="1545" width="8.88671875" style="3039"/>
    <col min="1546" max="1546" width="5.77734375" style="3039" customWidth="1"/>
    <col min="1547" max="1547" width="11.77734375" style="3039" customWidth="1"/>
    <col min="1548" max="1549" width="10.77734375" style="3039" customWidth="1"/>
    <col min="1550" max="1550" width="10" style="3039" customWidth="1"/>
    <col min="1551" max="1552" width="10.44140625" style="3039" bestFit="1" customWidth="1"/>
    <col min="1553" max="1553" width="10" style="3039" customWidth="1"/>
    <col min="1554" max="1554" width="10.109375" style="3039" customWidth="1"/>
    <col min="1555" max="1555" width="10" style="3039" customWidth="1"/>
    <col min="1556" max="1556" width="26.109375" style="3039" customWidth="1"/>
    <col min="1557" max="1792" width="8.88671875" style="3039"/>
    <col min="1793" max="1793" width="9.44140625" style="3039" customWidth="1"/>
    <col min="1794" max="1794" width="8.88671875" style="3039"/>
    <col min="1795" max="1797" width="12.88671875" style="3039" customWidth="1"/>
    <col min="1798" max="1798" width="47.44140625" style="3039" customWidth="1"/>
    <col min="1799" max="1799" width="13" style="3039" customWidth="1"/>
    <col min="1800" max="1801" width="8.88671875" style="3039"/>
    <col min="1802" max="1802" width="5.77734375" style="3039" customWidth="1"/>
    <col min="1803" max="1803" width="11.77734375" style="3039" customWidth="1"/>
    <col min="1804" max="1805" width="10.77734375" style="3039" customWidth="1"/>
    <col min="1806" max="1806" width="10" style="3039" customWidth="1"/>
    <col min="1807" max="1808" width="10.44140625" style="3039" bestFit="1" customWidth="1"/>
    <col min="1809" max="1809" width="10" style="3039" customWidth="1"/>
    <col min="1810" max="1810" width="10.109375" style="3039" customWidth="1"/>
    <col min="1811" max="1811" width="10" style="3039" customWidth="1"/>
    <col min="1812" max="1812" width="26.109375" style="3039" customWidth="1"/>
    <col min="1813" max="2048" width="8.88671875" style="3039"/>
    <col min="2049" max="2049" width="9.44140625" style="3039" customWidth="1"/>
    <col min="2050" max="2050" width="8.88671875" style="3039"/>
    <col min="2051" max="2053" width="12.88671875" style="3039" customWidth="1"/>
    <col min="2054" max="2054" width="47.44140625" style="3039" customWidth="1"/>
    <col min="2055" max="2055" width="13" style="3039" customWidth="1"/>
    <col min="2056" max="2057" width="8.88671875" style="3039"/>
    <col min="2058" max="2058" width="5.77734375" style="3039" customWidth="1"/>
    <col min="2059" max="2059" width="11.77734375" style="3039" customWidth="1"/>
    <col min="2060" max="2061" width="10.77734375" style="3039" customWidth="1"/>
    <col min="2062" max="2062" width="10" style="3039" customWidth="1"/>
    <col min="2063" max="2064" width="10.44140625" style="3039" bestFit="1" customWidth="1"/>
    <col min="2065" max="2065" width="10" style="3039" customWidth="1"/>
    <col min="2066" max="2066" width="10.109375" style="3039" customWidth="1"/>
    <col min="2067" max="2067" width="10" style="3039" customWidth="1"/>
    <col min="2068" max="2068" width="26.109375" style="3039" customWidth="1"/>
    <col min="2069" max="2304" width="8.88671875" style="3039"/>
    <col min="2305" max="2305" width="9.44140625" style="3039" customWidth="1"/>
    <col min="2306" max="2306" width="8.88671875" style="3039"/>
    <col min="2307" max="2309" width="12.88671875" style="3039" customWidth="1"/>
    <col min="2310" max="2310" width="47.44140625" style="3039" customWidth="1"/>
    <col min="2311" max="2311" width="13" style="3039" customWidth="1"/>
    <col min="2312" max="2313" width="8.88671875" style="3039"/>
    <col min="2314" max="2314" width="5.77734375" style="3039" customWidth="1"/>
    <col min="2315" max="2315" width="11.77734375" style="3039" customWidth="1"/>
    <col min="2316" max="2317" width="10.77734375" style="3039" customWidth="1"/>
    <col min="2318" max="2318" width="10" style="3039" customWidth="1"/>
    <col min="2319" max="2320" width="10.44140625" style="3039" bestFit="1" customWidth="1"/>
    <col min="2321" max="2321" width="10" style="3039" customWidth="1"/>
    <col min="2322" max="2322" width="10.109375" style="3039" customWidth="1"/>
    <col min="2323" max="2323" width="10" style="3039" customWidth="1"/>
    <col min="2324" max="2324" width="26.109375" style="3039" customWidth="1"/>
    <col min="2325" max="2560" width="8.88671875" style="3039"/>
    <col min="2561" max="2561" width="9.44140625" style="3039" customWidth="1"/>
    <col min="2562" max="2562" width="8.88671875" style="3039"/>
    <col min="2563" max="2565" width="12.88671875" style="3039" customWidth="1"/>
    <col min="2566" max="2566" width="47.44140625" style="3039" customWidth="1"/>
    <col min="2567" max="2567" width="13" style="3039" customWidth="1"/>
    <col min="2568" max="2569" width="8.88671875" style="3039"/>
    <col min="2570" max="2570" width="5.77734375" style="3039" customWidth="1"/>
    <col min="2571" max="2571" width="11.77734375" style="3039" customWidth="1"/>
    <col min="2572" max="2573" width="10.77734375" style="3039" customWidth="1"/>
    <col min="2574" max="2574" width="10" style="3039" customWidth="1"/>
    <col min="2575" max="2576" width="10.44140625" style="3039" bestFit="1" customWidth="1"/>
    <col min="2577" max="2577" width="10" style="3039" customWidth="1"/>
    <col min="2578" max="2578" width="10.109375" style="3039" customWidth="1"/>
    <col min="2579" max="2579" width="10" style="3039" customWidth="1"/>
    <col min="2580" max="2580" width="26.109375" style="3039" customWidth="1"/>
    <col min="2581" max="2816" width="8.88671875" style="3039"/>
    <col min="2817" max="2817" width="9.44140625" style="3039" customWidth="1"/>
    <col min="2818" max="2818" width="8.88671875" style="3039"/>
    <col min="2819" max="2821" width="12.88671875" style="3039" customWidth="1"/>
    <col min="2822" max="2822" width="47.44140625" style="3039" customWidth="1"/>
    <col min="2823" max="2823" width="13" style="3039" customWidth="1"/>
    <col min="2824" max="2825" width="8.88671875" style="3039"/>
    <col min="2826" max="2826" width="5.77734375" style="3039" customWidth="1"/>
    <col min="2827" max="2827" width="11.77734375" style="3039" customWidth="1"/>
    <col min="2828" max="2829" width="10.77734375" style="3039" customWidth="1"/>
    <col min="2830" max="2830" width="10" style="3039" customWidth="1"/>
    <col min="2831" max="2832" width="10.44140625" style="3039" bestFit="1" customWidth="1"/>
    <col min="2833" max="2833" width="10" style="3039" customWidth="1"/>
    <col min="2834" max="2834" width="10.109375" style="3039" customWidth="1"/>
    <col min="2835" max="2835" width="10" style="3039" customWidth="1"/>
    <col min="2836" max="2836" width="26.109375" style="3039" customWidth="1"/>
    <col min="2837" max="3072" width="8.88671875" style="3039"/>
    <col min="3073" max="3073" width="9.44140625" style="3039" customWidth="1"/>
    <col min="3074" max="3074" width="8.88671875" style="3039"/>
    <col min="3075" max="3077" width="12.88671875" style="3039" customWidth="1"/>
    <col min="3078" max="3078" width="47.44140625" style="3039" customWidth="1"/>
    <col min="3079" max="3079" width="13" style="3039" customWidth="1"/>
    <col min="3080" max="3081" width="8.88671875" style="3039"/>
    <col min="3082" max="3082" width="5.77734375" style="3039" customWidth="1"/>
    <col min="3083" max="3083" width="11.77734375" style="3039" customWidth="1"/>
    <col min="3084" max="3085" width="10.77734375" style="3039" customWidth="1"/>
    <col min="3086" max="3086" width="10" style="3039" customWidth="1"/>
    <col min="3087" max="3088" width="10.44140625" style="3039" bestFit="1" customWidth="1"/>
    <col min="3089" max="3089" width="10" style="3039" customWidth="1"/>
    <col min="3090" max="3090" width="10.109375" style="3039" customWidth="1"/>
    <col min="3091" max="3091" width="10" style="3039" customWidth="1"/>
    <col min="3092" max="3092" width="26.109375" style="3039" customWidth="1"/>
    <col min="3093" max="3328" width="8.88671875" style="3039"/>
    <col min="3329" max="3329" width="9.44140625" style="3039" customWidth="1"/>
    <col min="3330" max="3330" width="8.88671875" style="3039"/>
    <col min="3331" max="3333" width="12.88671875" style="3039" customWidth="1"/>
    <col min="3334" max="3334" width="47.44140625" style="3039" customWidth="1"/>
    <col min="3335" max="3335" width="13" style="3039" customWidth="1"/>
    <col min="3336" max="3337" width="8.88671875" style="3039"/>
    <col min="3338" max="3338" width="5.77734375" style="3039" customWidth="1"/>
    <col min="3339" max="3339" width="11.77734375" style="3039" customWidth="1"/>
    <col min="3340" max="3341" width="10.77734375" style="3039" customWidth="1"/>
    <col min="3342" max="3342" width="10" style="3039" customWidth="1"/>
    <col min="3343" max="3344" width="10.44140625" style="3039" bestFit="1" customWidth="1"/>
    <col min="3345" max="3345" width="10" style="3039" customWidth="1"/>
    <col min="3346" max="3346" width="10.109375" style="3039" customWidth="1"/>
    <col min="3347" max="3347" width="10" style="3039" customWidth="1"/>
    <col min="3348" max="3348" width="26.109375" style="3039" customWidth="1"/>
    <col min="3349" max="3584" width="8.88671875" style="3039"/>
    <col min="3585" max="3585" width="9.44140625" style="3039" customWidth="1"/>
    <col min="3586" max="3586" width="8.88671875" style="3039"/>
    <col min="3587" max="3589" width="12.88671875" style="3039" customWidth="1"/>
    <col min="3590" max="3590" width="47.44140625" style="3039" customWidth="1"/>
    <col min="3591" max="3591" width="13" style="3039" customWidth="1"/>
    <col min="3592" max="3593" width="8.88671875" style="3039"/>
    <col min="3594" max="3594" width="5.77734375" style="3039" customWidth="1"/>
    <col min="3595" max="3595" width="11.77734375" style="3039" customWidth="1"/>
    <col min="3596" max="3597" width="10.77734375" style="3039" customWidth="1"/>
    <col min="3598" max="3598" width="10" style="3039" customWidth="1"/>
    <col min="3599" max="3600" width="10.44140625" style="3039" bestFit="1" customWidth="1"/>
    <col min="3601" max="3601" width="10" style="3039" customWidth="1"/>
    <col min="3602" max="3602" width="10.109375" style="3039" customWidth="1"/>
    <col min="3603" max="3603" width="10" style="3039" customWidth="1"/>
    <col min="3604" max="3604" width="26.109375" style="3039" customWidth="1"/>
    <col min="3605" max="3840" width="8.88671875" style="3039"/>
    <col min="3841" max="3841" width="9.44140625" style="3039" customWidth="1"/>
    <col min="3842" max="3842" width="8.88671875" style="3039"/>
    <col min="3843" max="3845" width="12.88671875" style="3039" customWidth="1"/>
    <col min="3846" max="3846" width="47.44140625" style="3039" customWidth="1"/>
    <col min="3847" max="3847" width="13" style="3039" customWidth="1"/>
    <col min="3848" max="3849" width="8.88671875" style="3039"/>
    <col min="3850" max="3850" width="5.77734375" style="3039" customWidth="1"/>
    <col min="3851" max="3851" width="11.77734375" style="3039" customWidth="1"/>
    <col min="3852" max="3853" width="10.77734375" style="3039" customWidth="1"/>
    <col min="3854" max="3854" width="10" style="3039" customWidth="1"/>
    <col min="3855" max="3856" width="10.44140625" style="3039" bestFit="1" customWidth="1"/>
    <col min="3857" max="3857" width="10" style="3039" customWidth="1"/>
    <col min="3858" max="3858" width="10.109375" style="3039" customWidth="1"/>
    <col min="3859" max="3859" width="10" style="3039" customWidth="1"/>
    <col min="3860" max="3860" width="26.109375" style="3039" customWidth="1"/>
    <col min="3861" max="4096" width="8.88671875" style="3039"/>
    <col min="4097" max="4097" width="9.44140625" style="3039" customWidth="1"/>
    <col min="4098" max="4098" width="8.88671875" style="3039"/>
    <col min="4099" max="4101" width="12.88671875" style="3039" customWidth="1"/>
    <col min="4102" max="4102" width="47.44140625" style="3039" customWidth="1"/>
    <col min="4103" max="4103" width="13" style="3039" customWidth="1"/>
    <col min="4104" max="4105" width="8.88671875" style="3039"/>
    <col min="4106" max="4106" width="5.77734375" style="3039" customWidth="1"/>
    <col min="4107" max="4107" width="11.77734375" style="3039" customWidth="1"/>
    <col min="4108" max="4109" width="10.77734375" style="3039" customWidth="1"/>
    <col min="4110" max="4110" width="10" style="3039" customWidth="1"/>
    <col min="4111" max="4112" width="10.44140625" style="3039" bestFit="1" customWidth="1"/>
    <col min="4113" max="4113" width="10" style="3039" customWidth="1"/>
    <col min="4114" max="4114" width="10.109375" style="3039" customWidth="1"/>
    <col min="4115" max="4115" width="10" style="3039" customWidth="1"/>
    <col min="4116" max="4116" width="26.109375" style="3039" customWidth="1"/>
    <col min="4117" max="4352" width="8.88671875" style="3039"/>
    <col min="4353" max="4353" width="9.44140625" style="3039" customWidth="1"/>
    <col min="4354" max="4354" width="8.88671875" style="3039"/>
    <col min="4355" max="4357" width="12.88671875" style="3039" customWidth="1"/>
    <col min="4358" max="4358" width="47.44140625" style="3039" customWidth="1"/>
    <col min="4359" max="4359" width="13" style="3039" customWidth="1"/>
    <col min="4360" max="4361" width="8.88671875" style="3039"/>
    <col min="4362" max="4362" width="5.77734375" style="3039" customWidth="1"/>
    <col min="4363" max="4363" width="11.77734375" style="3039" customWidth="1"/>
    <col min="4364" max="4365" width="10.77734375" style="3039" customWidth="1"/>
    <col min="4366" max="4366" width="10" style="3039" customWidth="1"/>
    <col min="4367" max="4368" width="10.44140625" style="3039" bestFit="1" customWidth="1"/>
    <col min="4369" max="4369" width="10" style="3039" customWidth="1"/>
    <col min="4370" max="4370" width="10.109375" style="3039" customWidth="1"/>
    <col min="4371" max="4371" width="10" style="3039" customWidth="1"/>
    <col min="4372" max="4372" width="26.109375" style="3039" customWidth="1"/>
    <col min="4373" max="4608" width="8.88671875" style="3039"/>
    <col min="4609" max="4609" width="9.44140625" style="3039" customWidth="1"/>
    <col min="4610" max="4610" width="8.88671875" style="3039"/>
    <col min="4611" max="4613" width="12.88671875" style="3039" customWidth="1"/>
    <col min="4614" max="4614" width="47.44140625" style="3039" customWidth="1"/>
    <col min="4615" max="4615" width="13" style="3039" customWidth="1"/>
    <col min="4616" max="4617" width="8.88671875" style="3039"/>
    <col min="4618" max="4618" width="5.77734375" style="3039" customWidth="1"/>
    <col min="4619" max="4619" width="11.77734375" style="3039" customWidth="1"/>
    <col min="4620" max="4621" width="10.77734375" style="3039" customWidth="1"/>
    <col min="4622" max="4622" width="10" style="3039" customWidth="1"/>
    <col min="4623" max="4624" width="10.44140625" style="3039" bestFit="1" customWidth="1"/>
    <col min="4625" max="4625" width="10" style="3039" customWidth="1"/>
    <col min="4626" max="4626" width="10.109375" style="3039" customWidth="1"/>
    <col min="4627" max="4627" width="10" style="3039" customWidth="1"/>
    <col min="4628" max="4628" width="26.109375" style="3039" customWidth="1"/>
    <col min="4629" max="4864" width="8.88671875" style="3039"/>
    <col min="4865" max="4865" width="9.44140625" style="3039" customWidth="1"/>
    <col min="4866" max="4866" width="8.88671875" style="3039"/>
    <col min="4867" max="4869" width="12.88671875" style="3039" customWidth="1"/>
    <col min="4870" max="4870" width="47.44140625" style="3039" customWidth="1"/>
    <col min="4871" max="4871" width="13" style="3039" customWidth="1"/>
    <col min="4872" max="4873" width="8.88671875" style="3039"/>
    <col min="4874" max="4874" width="5.77734375" style="3039" customWidth="1"/>
    <col min="4875" max="4875" width="11.77734375" style="3039" customWidth="1"/>
    <col min="4876" max="4877" width="10.77734375" style="3039" customWidth="1"/>
    <col min="4878" max="4878" width="10" style="3039" customWidth="1"/>
    <col min="4879" max="4880" width="10.44140625" style="3039" bestFit="1" customWidth="1"/>
    <col min="4881" max="4881" width="10" style="3039" customWidth="1"/>
    <col min="4882" max="4882" width="10.109375" style="3039" customWidth="1"/>
    <col min="4883" max="4883" width="10" style="3039" customWidth="1"/>
    <col min="4884" max="4884" width="26.109375" style="3039" customWidth="1"/>
    <col min="4885" max="5120" width="8.88671875" style="3039"/>
    <col min="5121" max="5121" width="9.44140625" style="3039" customWidth="1"/>
    <col min="5122" max="5122" width="8.88671875" style="3039"/>
    <col min="5123" max="5125" width="12.88671875" style="3039" customWidth="1"/>
    <col min="5126" max="5126" width="47.44140625" style="3039" customWidth="1"/>
    <col min="5127" max="5127" width="13" style="3039" customWidth="1"/>
    <col min="5128" max="5129" width="8.88671875" style="3039"/>
    <col min="5130" max="5130" width="5.77734375" style="3039" customWidth="1"/>
    <col min="5131" max="5131" width="11.77734375" style="3039" customWidth="1"/>
    <col min="5132" max="5133" width="10.77734375" style="3039" customWidth="1"/>
    <col min="5134" max="5134" width="10" style="3039" customWidth="1"/>
    <col min="5135" max="5136" width="10.44140625" style="3039" bestFit="1" customWidth="1"/>
    <col min="5137" max="5137" width="10" style="3039" customWidth="1"/>
    <col min="5138" max="5138" width="10.109375" style="3039" customWidth="1"/>
    <col min="5139" max="5139" width="10" style="3039" customWidth="1"/>
    <col min="5140" max="5140" width="26.109375" style="3039" customWidth="1"/>
    <col min="5141" max="5376" width="8.88671875" style="3039"/>
    <col min="5377" max="5377" width="9.44140625" style="3039" customWidth="1"/>
    <col min="5378" max="5378" width="8.88671875" style="3039"/>
    <col min="5379" max="5381" width="12.88671875" style="3039" customWidth="1"/>
    <col min="5382" max="5382" width="47.44140625" style="3039" customWidth="1"/>
    <col min="5383" max="5383" width="13" style="3039" customWidth="1"/>
    <col min="5384" max="5385" width="8.88671875" style="3039"/>
    <col min="5386" max="5386" width="5.77734375" style="3039" customWidth="1"/>
    <col min="5387" max="5387" width="11.77734375" style="3039" customWidth="1"/>
    <col min="5388" max="5389" width="10.77734375" style="3039" customWidth="1"/>
    <col min="5390" max="5390" width="10" style="3039" customWidth="1"/>
    <col min="5391" max="5392" width="10.44140625" style="3039" bestFit="1" customWidth="1"/>
    <col min="5393" max="5393" width="10" style="3039" customWidth="1"/>
    <col min="5394" max="5394" width="10.109375" style="3039" customWidth="1"/>
    <col min="5395" max="5395" width="10" style="3039" customWidth="1"/>
    <col min="5396" max="5396" width="26.109375" style="3039" customWidth="1"/>
    <col min="5397" max="5632" width="8.88671875" style="3039"/>
    <col min="5633" max="5633" width="9.44140625" style="3039" customWidth="1"/>
    <col min="5634" max="5634" width="8.88671875" style="3039"/>
    <col min="5635" max="5637" width="12.88671875" style="3039" customWidth="1"/>
    <col min="5638" max="5638" width="47.44140625" style="3039" customWidth="1"/>
    <col min="5639" max="5639" width="13" style="3039" customWidth="1"/>
    <col min="5640" max="5641" width="8.88671875" style="3039"/>
    <col min="5642" max="5642" width="5.77734375" style="3039" customWidth="1"/>
    <col min="5643" max="5643" width="11.77734375" style="3039" customWidth="1"/>
    <col min="5644" max="5645" width="10.77734375" style="3039" customWidth="1"/>
    <col min="5646" max="5646" width="10" style="3039" customWidth="1"/>
    <col min="5647" max="5648" width="10.44140625" style="3039" bestFit="1" customWidth="1"/>
    <col min="5649" max="5649" width="10" style="3039" customWidth="1"/>
    <col min="5650" max="5650" width="10.109375" style="3039" customWidth="1"/>
    <col min="5651" max="5651" width="10" style="3039" customWidth="1"/>
    <col min="5652" max="5652" width="26.109375" style="3039" customWidth="1"/>
    <col min="5653" max="5888" width="8.88671875" style="3039"/>
    <col min="5889" max="5889" width="9.44140625" style="3039" customWidth="1"/>
    <col min="5890" max="5890" width="8.88671875" style="3039"/>
    <col min="5891" max="5893" width="12.88671875" style="3039" customWidth="1"/>
    <col min="5894" max="5894" width="47.44140625" style="3039" customWidth="1"/>
    <col min="5895" max="5895" width="13" style="3039" customWidth="1"/>
    <col min="5896" max="5897" width="8.88671875" style="3039"/>
    <col min="5898" max="5898" width="5.77734375" style="3039" customWidth="1"/>
    <col min="5899" max="5899" width="11.77734375" style="3039" customWidth="1"/>
    <col min="5900" max="5901" width="10.77734375" style="3039" customWidth="1"/>
    <col min="5902" max="5902" width="10" style="3039" customWidth="1"/>
    <col min="5903" max="5904" width="10.44140625" style="3039" bestFit="1" customWidth="1"/>
    <col min="5905" max="5905" width="10" style="3039" customWidth="1"/>
    <col min="5906" max="5906" width="10.109375" style="3039" customWidth="1"/>
    <col min="5907" max="5907" width="10" style="3039" customWidth="1"/>
    <col min="5908" max="5908" width="26.109375" style="3039" customWidth="1"/>
    <col min="5909" max="6144" width="8.88671875" style="3039"/>
    <col min="6145" max="6145" width="9.44140625" style="3039" customWidth="1"/>
    <col min="6146" max="6146" width="8.88671875" style="3039"/>
    <col min="6147" max="6149" width="12.88671875" style="3039" customWidth="1"/>
    <col min="6150" max="6150" width="47.44140625" style="3039" customWidth="1"/>
    <col min="6151" max="6151" width="13" style="3039" customWidth="1"/>
    <col min="6152" max="6153" width="8.88671875" style="3039"/>
    <col min="6154" max="6154" width="5.77734375" style="3039" customWidth="1"/>
    <col min="6155" max="6155" width="11.77734375" style="3039" customWidth="1"/>
    <col min="6156" max="6157" width="10.77734375" style="3039" customWidth="1"/>
    <col min="6158" max="6158" width="10" style="3039" customWidth="1"/>
    <col min="6159" max="6160" width="10.44140625" style="3039" bestFit="1" customWidth="1"/>
    <col min="6161" max="6161" width="10" style="3039" customWidth="1"/>
    <col min="6162" max="6162" width="10.109375" style="3039" customWidth="1"/>
    <col min="6163" max="6163" width="10" style="3039" customWidth="1"/>
    <col min="6164" max="6164" width="26.109375" style="3039" customWidth="1"/>
    <col min="6165" max="6400" width="8.88671875" style="3039"/>
    <col min="6401" max="6401" width="9.44140625" style="3039" customWidth="1"/>
    <col min="6402" max="6402" width="8.88671875" style="3039"/>
    <col min="6403" max="6405" width="12.88671875" style="3039" customWidth="1"/>
    <col min="6406" max="6406" width="47.44140625" style="3039" customWidth="1"/>
    <col min="6407" max="6407" width="13" style="3039" customWidth="1"/>
    <col min="6408" max="6409" width="8.88671875" style="3039"/>
    <col min="6410" max="6410" width="5.77734375" style="3039" customWidth="1"/>
    <col min="6411" max="6411" width="11.77734375" style="3039" customWidth="1"/>
    <col min="6412" max="6413" width="10.77734375" style="3039" customWidth="1"/>
    <col min="6414" max="6414" width="10" style="3039" customWidth="1"/>
    <col min="6415" max="6416" width="10.44140625" style="3039" bestFit="1" customWidth="1"/>
    <col min="6417" max="6417" width="10" style="3039" customWidth="1"/>
    <col min="6418" max="6418" width="10.109375" style="3039" customWidth="1"/>
    <col min="6419" max="6419" width="10" style="3039" customWidth="1"/>
    <col min="6420" max="6420" width="26.109375" style="3039" customWidth="1"/>
    <col min="6421" max="6656" width="8.88671875" style="3039"/>
    <col min="6657" max="6657" width="9.44140625" style="3039" customWidth="1"/>
    <col min="6658" max="6658" width="8.88671875" style="3039"/>
    <col min="6659" max="6661" width="12.88671875" style="3039" customWidth="1"/>
    <col min="6662" max="6662" width="47.44140625" style="3039" customWidth="1"/>
    <col min="6663" max="6663" width="13" style="3039" customWidth="1"/>
    <col min="6664" max="6665" width="8.88671875" style="3039"/>
    <col min="6666" max="6666" width="5.77734375" style="3039" customWidth="1"/>
    <col min="6667" max="6667" width="11.77734375" style="3039" customWidth="1"/>
    <col min="6668" max="6669" width="10.77734375" style="3039" customWidth="1"/>
    <col min="6670" max="6670" width="10" style="3039" customWidth="1"/>
    <col min="6671" max="6672" width="10.44140625" style="3039" bestFit="1" customWidth="1"/>
    <col min="6673" max="6673" width="10" style="3039" customWidth="1"/>
    <col min="6674" max="6674" width="10.109375" style="3039" customWidth="1"/>
    <col min="6675" max="6675" width="10" style="3039" customWidth="1"/>
    <col min="6676" max="6676" width="26.109375" style="3039" customWidth="1"/>
    <col min="6677" max="6912" width="8.88671875" style="3039"/>
    <col min="6913" max="6913" width="9.44140625" style="3039" customWidth="1"/>
    <col min="6914" max="6914" width="8.88671875" style="3039"/>
    <col min="6915" max="6917" width="12.88671875" style="3039" customWidth="1"/>
    <col min="6918" max="6918" width="47.44140625" style="3039" customWidth="1"/>
    <col min="6919" max="6919" width="13" style="3039" customWidth="1"/>
    <col min="6920" max="6921" width="8.88671875" style="3039"/>
    <col min="6922" max="6922" width="5.77734375" style="3039" customWidth="1"/>
    <col min="6923" max="6923" width="11.77734375" style="3039" customWidth="1"/>
    <col min="6924" max="6925" width="10.77734375" style="3039" customWidth="1"/>
    <col min="6926" max="6926" width="10" style="3039" customWidth="1"/>
    <col min="6927" max="6928" width="10.44140625" style="3039" bestFit="1" customWidth="1"/>
    <col min="6929" max="6929" width="10" style="3039" customWidth="1"/>
    <col min="6930" max="6930" width="10.109375" style="3039" customWidth="1"/>
    <col min="6931" max="6931" width="10" style="3039" customWidth="1"/>
    <col min="6932" max="6932" width="26.109375" style="3039" customWidth="1"/>
    <col min="6933" max="7168" width="8.88671875" style="3039"/>
    <col min="7169" max="7169" width="9.44140625" style="3039" customWidth="1"/>
    <col min="7170" max="7170" width="8.88671875" style="3039"/>
    <col min="7171" max="7173" width="12.88671875" style="3039" customWidth="1"/>
    <col min="7174" max="7174" width="47.44140625" style="3039" customWidth="1"/>
    <col min="7175" max="7175" width="13" style="3039" customWidth="1"/>
    <col min="7176" max="7177" width="8.88671875" style="3039"/>
    <col min="7178" max="7178" width="5.77734375" style="3039" customWidth="1"/>
    <col min="7179" max="7179" width="11.77734375" style="3039" customWidth="1"/>
    <col min="7180" max="7181" width="10.77734375" style="3039" customWidth="1"/>
    <col min="7182" max="7182" width="10" style="3039" customWidth="1"/>
    <col min="7183" max="7184" width="10.44140625" style="3039" bestFit="1" customWidth="1"/>
    <col min="7185" max="7185" width="10" style="3039" customWidth="1"/>
    <col min="7186" max="7186" width="10.109375" style="3039" customWidth="1"/>
    <col min="7187" max="7187" width="10" style="3039" customWidth="1"/>
    <col min="7188" max="7188" width="26.109375" style="3039" customWidth="1"/>
    <col min="7189" max="7424" width="8.88671875" style="3039"/>
    <col min="7425" max="7425" width="9.44140625" style="3039" customWidth="1"/>
    <col min="7426" max="7426" width="8.88671875" style="3039"/>
    <col min="7427" max="7429" width="12.88671875" style="3039" customWidth="1"/>
    <col min="7430" max="7430" width="47.44140625" style="3039" customWidth="1"/>
    <col min="7431" max="7431" width="13" style="3039" customWidth="1"/>
    <col min="7432" max="7433" width="8.88671875" style="3039"/>
    <col min="7434" max="7434" width="5.77734375" style="3039" customWidth="1"/>
    <col min="7435" max="7435" width="11.77734375" style="3039" customWidth="1"/>
    <col min="7436" max="7437" width="10.77734375" style="3039" customWidth="1"/>
    <col min="7438" max="7438" width="10" style="3039" customWidth="1"/>
    <col min="7439" max="7440" width="10.44140625" style="3039" bestFit="1" customWidth="1"/>
    <col min="7441" max="7441" width="10" style="3039" customWidth="1"/>
    <col min="7442" max="7442" width="10.109375" style="3039" customWidth="1"/>
    <col min="7443" max="7443" width="10" style="3039" customWidth="1"/>
    <col min="7444" max="7444" width="26.109375" style="3039" customWidth="1"/>
    <col min="7445" max="7680" width="8.88671875" style="3039"/>
    <col min="7681" max="7681" width="9.44140625" style="3039" customWidth="1"/>
    <col min="7682" max="7682" width="8.88671875" style="3039"/>
    <col min="7683" max="7685" width="12.88671875" style="3039" customWidth="1"/>
    <col min="7686" max="7686" width="47.44140625" style="3039" customWidth="1"/>
    <col min="7687" max="7687" width="13" style="3039" customWidth="1"/>
    <col min="7688" max="7689" width="8.88671875" style="3039"/>
    <col min="7690" max="7690" width="5.77734375" style="3039" customWidth="1"/>
    <col min="7691" max="7691" width="11.77734375" style="3039" customWidth="1"/>
    <col min="7692" max="7693" width="10.77734375" style="3039" customWidth="1"/>
    <col min="7694" max="7694" width="10" style="3039" customWidth="1"/>
    <col min="7695" max="7696" width="10.44140625" style="3039" bestFit="1" customWidth="1"/>
    <col min="7697" max="7697" width="10" style="3039" customWidth="1"/>
    <col min="7698" max="7698" width="10.109375" style="3039" customWidth="1"/>
    <col min="7699" max="7699" width="10" style="3039" customWidth="1"/>
    <col min="7700" max="7700" width="26.109375" style="3039" customWidth="1"/>
    <col min="7701" max="7936" width="8.88671875" style="3039"/>
    <col min="7937" max="7937" width="9.44140625" style="3039" customWidth="1"/>
    <col min="7938" max="7938" width="8.88671875" style="3039"/>
    <col min="7939" max="7941" width="12.88671875" style="3039" customWidth="1"/>
    <col min="7942" max="7942" width="47.44140625" style="3039" customWidth="1"/>
    <col min="7943" max="7943" width="13" style="3039" customWidth="1"/>
    <col min="7944" max="7945" width="8.88671875" style="3039"/>
    <col min="7946" max="7946" width="5.77734375" style="3039" customWidth="1"/>
    <col min="7947" max="7947" width="11.77734375" style="3039" customWidth="1"/>
    <col min="7948" max="7949" width="10.77734375" style="3039" customWidth="1"/>
    <col min="7950" max="7950" width="10" style="3039" customWidth="1"/>
    <col min="7951" max="7952" width="10.44140625" style="3039" bestFit="1" customWidth="1"/>
    <col min="7953" max="7953" width="10" style="3039" customWidth="1"/>
    <col min="7954" max="7954" width="10.109375" style="3039" customWidth="1"/>
    <col min="7955" max="7955" width="10" style="3039" customWidth="1"/>
    <col min="7956" max="7956" width="26.109375" style="3039" customWidth="1"/>
    <col min="7957" max="8192" width="8.88671875" style="3039"/>
    <col min="8193" max="8193" width="9.44140625" style="3039" customWidth="1"/>
    <col min="8194" max="8194" width="8.88671875" style="3039"/>
    <col min="8195" max="8197" width="12.88671875" style="3039" customWidth="1"/>
    <col min="8198" max="8198" width="47.44140625" style="3039" customWidth="1"/>
    <col min="8199" max="8199" width="13" style="3039" customWidth="1"/>
    <col min="8200" max="8201" width="8.88671875" style="3039"/>
    <col min="8202" max="8202" width="5.77734375" style="3039" customWidth="1"/>
    <col min="8203" max="8203" width="11.77734375" style="3039" customWidth="1"/>
    <col min="8204" max="8205" width="10.77734375" style="3039" customWidth="1"/>
    <col min="8206" max="8206" width="10" style="3039" customWidth="1"/>
    <col min="8207" max="8208" width="10.44140625" style="3039" bestFit="1" customWidth="1"/>
    <col min="8209" max="8209" width="10" style="3039" customWidth="1"/>
    <col min="8210" max="8210" width="10.109375" style="3039" customWidth="1"/>
    <col min="8211" max="8211" width="10" style="3039" customWidth="1"/>
    <col min="8212" max="8212" width="26.109375" style="3039" customWidth="1"/>
    <col min="8213" max="8448" width="8.88671875" style="3039"/>
    <col min="8449" max="8449" width="9.44140625" style="3039" customWidth="1"/>
    <col min="8450" max="8450" width="8.88671875" style="3039"/>
    <col min="8451" max="8453" width="12.88671875" style="3039" customWidth="1"/>
    <col min="8454" max="8454" width="47.44140625" style="3039" customWidth="1"/>
    <col min="8455" max="8455" width="13" style="3039" customWidth="1"/>
    <col min="8456" max="8457" width="8.88671875" style="3039"/>
    <col min="8458" max="8458" width="5.77734375" style="3039" customWidth="1"/>
    <col min="8459" max="8459" width="11.77734375" style="3039" customWidth="1"/>
    <col min="8460" max="8461" width="10.77734375" style="3039" customWidth="1"/>
    <col min="8462" max="8462" width="10" style="3039" customWidth="1"/>
    <col min="8463" max="8464" width="10.44140625" style="3039" bestFit="1" customWidth="1"/>
    <col min="8465" max="8465" width="10" style="3039" customWidth="1"/>
    <col min="8466" max="8466" width="10.109375" style="3039" customWidth="1"/>
    <col min="8467" max="8467" width="10" style="3039" customWidth="1"/>
    <col min="8468" max="8468" width="26.109375" style="3039" customWidth="1"/>
    <col min="8469" max="8704" width="8.88671875" style="3039"/>
    <col min="8705" max="8705" width="9.44140625" style="3039" customWidth="1"/>
    <col min="8706" max="8706" width="8.88671875" style="3039"/>
    <col min="8707" max="8709" width="12.88671875" style="3039" customWidth="1"/>
    <col min="8710" max="8710" width="47.44140625" style="3039" customWidth="1"/>
    <col min="8711" max="8711" width="13" style="3039" customWidth="1"/>
    <col min="8712" max="8713" width="8.88671875" style="3039"/>
    <col min="8714" max="8714" width="5.77734375" style="3039" customWidth="1"/>
    <col min="8715" max="8715" width="11.77734375" style="3039" customWidth="1"/>
    <col min="8716" max="8717" width="10.77734375" style="3039" customWidth="1"/>
    <col min="8718" max="8718" width="10" style="3039" customWidth="1"/>
    <col min="8719" max="8720" width="10.44140625" style="3039" bestFit="1" customWidth="1"/>
    <col min="8721" max="8721" width="10" style="3039" customWidth="1"/>
    <col min="8722" max="8722" width="10.109375" style="3039" customWidth="1"/>
    <col min="8723" max="8723" width="10" style="3039" customWidth="1"/>
    <col min="8724" max="8724" width="26.109375" style="3039" customWidth="1"/>
    <col min="8725" max="8960" width="8.88671875" style="3039"/>
    <col min="8961" max="8961" width="9.44140625" style="3039" customWidth="1"/>
    <col min="8962" max="8962" width="8.88671875" style="3039"/>
    <col min="8963" max="8965" width="12.88671875" style="3039" customWidth="1"/>
    <col min="8966" max="8966" width="47.44140625" style="3039" customWidth="1"/>
    <col min="8967" max="8967" width="13" style="3039" customWidth="1"/>
    <col min="8968" max="8969" width="8.88671875" style="3039"/>
    <col min="8970" max="8970" width="5.77734375" style="3039" customWidth="1"/>
    <col min="8971" max="8971" width="11.77734375" style="3039" customWidth="1"/>
    <col min="8972" max="8973" width="10.77734375" style="3039" customWidth="1"/>
    <col min="8974" max="8974" width="10" style="3039" customWidth="1"/>
    <col min="8975" max="8976" width="10.44140625" style="3039" bestFit="1" customWidth="1"/>
    <col min="8977" max="8977" width="10" style="3039" customWidth="1"/>
    <col min="8978" max="8978" width="10.109375" style="3039" customWidth="1"/>
    <col min="8979" max="8979" width="10" style="3039" customWidth="1"/>
    <col min="8980" max="8980" width="26.109375" style="3039" customWidth="1"/>
    <col min="8981" max="9216" width="8.88671875" style="3039"/>
    <col min="9217" max="9217" width="9.44140625" style="3039" customWidth="1"/>
    <col min="9218" max="9218" width="8.88671875" style="3039"/>
    <col min="9219" max="9221" width="12.88671875" style="3039" customWidth="1"/>
    <col min="9222" max="9222" width="47.44140625" style="3039" customWidth="1"/>
    <col min="9223" max="9223" width="13" style="3039" customWidth="1"/>
    <col min="9224" max="9225" width="8.88671875" style="3039"/>
    <col min="9226" max="9226" width="5.77734375" style="3039" customWidth="1"/>
    <col min="9227" max="9227" width="11.77734375" style="3039" customWidth="1"/>
    <col min="9228" max="9229" width="10.77734375" style="3039" customWidth="1"/>
    <col min="9230" max="9230" width="10" style="3039" customWidth="1"/>
    <col min="9231" max="9232" width="10.44140625" style="3039" bestFit="1" customWidth="1"/>
    <col min="9233" max="9233" width="10" style="3039" customWidth="1"/>
    <col min="9234" max="9234" width="10.109375" style="3039" customWidth="1"/>
    <col min="9235" max="9235" width="10" style="3039" customWidth="1"/>
    <col min="9236" max="9236" width="26.109375" style="3039" customWidth="1"/>
    <col min="9237" max="9472" width="8.88671875" style="3039"/>
    <col min="9473" max="9473" width="9.44140625" style="3039" customWidth="1"/>
    <col min="9474" max="9474" width="8.88671875" style="3039"/>
    <col min="9475" max="9477" width="12.88671875" style="3039" customWidth="1"/>
    <col min="9478" max="9478" width="47.44140625" style="3039" customWidth="1"/>
    <col min="9479" max="9479" width="13" style="3039" customWidth="1"/>
    <col min="9480" max="9481" width="8.88671875" style="3039"/>
    <col min="9482" max="9482" width="5.77734375" style="3039" customWidth="1"/>
    <col min="9483" max="9483" width="11.77734375" style="3039" customWidth="1"/>
    <col min="9484" max="9485" width="10.77734375" style="3039" customWidth="1"/>
    <col min="9486" max="9486" width="10" style="3039" customWidth="1"/>
    <col min="9487" max="9488" width="10.44140625" style="3039" bestFit="1" customWidth="1"/>
    <col min="9489" max="9489" width="10" style="3039" customWidth="1"/>
    <col min="9490" max="9490" width="10.109375" style="3039" customWidth="1"/>
    <col min="9491" max="9491" width="10" style="3039" customWidth="1"/>
    <col min="9492" max="9492" width="26.109375" style="3039" customWidth="1"/>
    <col min="9493" max="9728" width="8.88671875" style="3039"/>
    <col min="9729" max="9729" width="9.44140625" style="3039" customWidth="1"/>
    <col min="9730" max="9730" width="8.88671875" style="3039"/>
    <col min="9731" max="9733" width="12.88671875" style="3039" customWidth="1"/>
    <col min="9734" max="9734" width="47.44140625" style="3039" customWidth="1"/>
    <col min="9735" max="9735" width="13" style="3039" customWidth="1"/>
    <col min="9736" max="9737" width="8.88671875" style="3039"/>
    <col min="9738" max="9738" width="5.77734375" style="3039" customWidth="1"/>
    <col min="9739" max="9739" width="11.77734375" style="3039" customWidth="1"/>
    <col min="9740" max="9741" width="10.77734375" style="3039" customWidth="1"/>
    <col min="9742" max="9742" width="10" style="3039" customWidth="1"/>
    <col min="9743" max="9744" width="10.44140625" style="3039" bestFit="1" customWidth="1"/>
    <col min="9745" max="9745" width="10" style="3039" customWidth="1"/>
    <col min="9746" max="9746" width="10.109375" style="3039" customWidth="1"/>
    <col min="9747" max="9747" width="10" style="3039" customWidth="1"/>
    <col min="9748" max="9748" width="26.109375" style="3039" customWidth="1"/>
    <col min="9749" max="9984" width="8.88671875" style="3039"/>
    <col min="9985" max="9985" width="9.44140625" style="3039" customWidth="1"/>
    <col min="9986" max="9986" width="8.88671875" style="3039"/>
    <col min="9987" max="9989" width="12.88671875" style="3039" customWidth="1"/>
    <col min="9990" max="9990" width="47.44140625" style="3039" customWidth="1"/>
    <col min="9991" max="9991" width="13" style="3039" customWidth="1"/>
    <col min="9992" max="9993" width="8.88671875" style="3039"/>
    <col min="9994" max="9994" width="5.77734375" style="3039" customWidth="1"/>
    <col min="9995" max="9995" width="11.77734375" style="3039" customWidth="1"/>
    <col min="9996" max="9997" width="10.77734375" style="3039" customWidth="1"/>
    <col min="9998" max="9998" width="10" style="3039" customWidth="1"/>
    <col min="9999" max="10000" width="10.44140625" style="3039" bestFit="1" customWidth="1"/>
    <col min="10001" max="10001" width="10" style="3039" customWidth="1"/>
    <col min="10002" max="10002" width="10.109375" style="3039" customWidth="1"/>
    <col min="10003" max="10003" width="10" style="3039" customWidth="1"/>
    <col min="10004" max="10004" width="26.109375" style="3039" customWidth="1"/>
    <col min="10005" max="10240" width="8.88671875" style="3039"/>
    <col min="10241" max="10241" width="9.44140625" style="3039" customWidth="1"/>
    <col min="10242" max="10242" width="8.88671875" style="3039"/>
    <col min="10243" max="10245" width="12.88671875" style="3039" customWidth="1"/>
    <col min="10246" max="10246" width="47.44140625" style="3039" customWidth="1"/>
    <col min="10247" max="10247" width="13" style="3039" customWidth="1"/>
    <col min="10248" max="10249" width="8.88671875" style="3039"/>
    <col min="10250" max="10250" width="5.77734375" style="3039" customWidth="1"/>
    <col min="10251" max="10251" width="11.77734375" style="3039" customWidth="1"/>
    <col min="10252" max="10253" width="10.77734375" style="3039" customWidth="1"/>
    <col min="10254" max="10254" width="10" style="3039" customWidth="1"/>
    <col min="10255" max="10256" width="10.44140625" style="3039" bestFit="1" customWidth="1"/>
    <col min="10257" max="10257" width="10" style="3039" customWidth="1"/>
    <col min="10258" max="10258" width="10.109375" style="3039" customWidth="1"/>
    <col min="10259" max="10259" width="10" style="3039" customWidth="1"/>
    <col min="10260" max="10260" width="26.109375" style="3039" customWidth="1"/>
    <col min="10261" max="10496" width="8.88671875" style="3039"/>
    <col min="10497" max="10497" width="9.44140625" style="3039" customWidth="1"/>
    <col min="10498" max="10498" width="8.88671875" style="3039"/>
    <col min="10499" max="10501" width="12.88671875" style="3039" customWidth="1"/>
    <col min="10502" max="10502" width="47.44140625" style="3039" customWidth="1"/>
    <col min="10503" max="10503" width="13" style="3039" customWidth="1"/>
    <col min="10504" max="10505" width="8.88671875" style="3039"/>
    <col min="10506" max="10506" width="5.77734375" style="3039" customWidth="1"/>
    <col min="10507" max="10507" width="11.77734375" style="3039" customWidth="1"/>
    <col min="10508" max="10509" width="10.77734375" style="3039" customWidth="1"/>
    <col min="10510" max="10510" width="10" style="3039" customWidth="1"/>
    <col min="10511" max="10512" width="10.44140625" style="3039" bestFit="1" customWidth="1"/>
    <col min="10513" max="10513" width="10" style="3039" customWidth="1"/>
    <col min="10514" max="10514" width="10.109375" style="3039" customWidth="1"/>
    <col min="10515" max="10515" width="10" style="3039" customWidth="1"/>
    <col min="10516" max="10516" width="26.109375" style="3039" customWidth="1"/>
    <col min="10517" max="10752" width="8.88671875" style="3039"/>
    <col min="10753" max="10753" width="9.44140625" style="3039" customWidth="1"/>
    <col min="10754" max="10754" width="8.88671875" style="3039"/>
    <col min="10755" max="10757" width="12.88671875" style="3039" customWidth="1"/>
    <col min="10758" max="10758" width="47.44140625" style="3039" customWidth="1"/>
    <col min="10759" max="10759" width="13" style="3039" customWidth="1"/>
    <col min="10760" max="10761" width="8.88671875" style="3039"/>
    <col min="10762" max="10762" width="5.77734375" style="3039" customWidth="1"/>
    <col min="10763" max="10763" width="11.77734375" style="3039" customWidth="1"/>
    <col min="10764" max="10765" width="10.77734375" style="3039" customWidth="1"/>
    <col min="10766" max="10766" width="10" style="3039" customWidth="1"/>
    <col min="10767" max="10768" width="10.44140625" style="3039" bestFit="1" customWidth="1"/>
    <col min="10769" max="10769" width="10" style="3039" customWidth="1"/>
    <col min="10770" max="10770" width="10.109375" style="3039" customWidth="1"/>
    <col min="10771" max="10771" width="10" style="3039" customWidth="1"/>
    <col min="10772" max="10772" width="26.109375" style="3039" customWidth="1"/>
    <col min="10773" max="11008" width="8.88671875" style="3039"/>
    <col min="11009" max="11009" width="9.44140625" style="3039" customWidth="1"/>
    <col min="11010" max="11010" width="8.88671875" style="3039"/>
    <col min="11011" max="11013" width="12.88671875" style="3039" customWidth="1"/>
    <col min="11014" max="11014" width="47.44140625" style="3039" customWidth="1"/>
    <col min="11015" max="11015" width="13" style="3039" customWidth="1"/>
    <col min="11016" max="11017" width="8.88671875" style="3039"/>
    <col min="11018" max="11018" width="5.77734375" style="3039" customWidth="1"/>
    <col min="11019" max="11019" width="11.77734375" style="3039" customWidth="1"/>
    <col min="11020" max="11021" width="10.77734375" style="3039" customWidth="1"/>
    <col min="11022" max="11022" width="10" style="3039" customWidth="1"/>
    <col min="11023" max="11024" width="10.44140625" style="3039" bestFit="1" customWidth="1"/>
    <col min="11025" max="11025" width="10" style="3039" customWidth="1"/>
    <col min="11026" max="11026" width="10.109375" style="3039" customWidth="1"/>
    <col min="11027" max="11027" width="10" style="3039" customWidth="1"/>
    <col min="11028" max="11028" width="26.109375" style="3039" customWidth="1"/>
    <col min="11029" max="11264" width="8.88671875" style="3039"/>
    <col min="11265" max="11265" width="9.44140625" style="3039" customWidth="1"/>
    <col min="11266" max="11266" width="8.88671875" style="3039"/>
    <col min="11267" max="11269" width="12.88671875" style="3039" customWidth="1"/>
    <col min="11270" max="11270" width="47.44140625" style="3039" customWidth="1"/>
    <col min="11271" max="11271" width="13" style="3039" customWidth="1"/>
    <col min="11272" max="11273" width="8.88671875" style="3039"/>
    <col min="11274" max="11274" width="5.77734375" style="3039" customWidth="1"/>
    <col min="11275" max="11275" width="11.77734375" style="3039" customWidth="1"/>
    <col min="11276" max="11277" width="10.77734375" style="3039" customWidth="1"/>
    <col min="11278" max="11278" width="10" style="3039" customWidth="1"/>
    <col min="11279" max="11280" width="10.44140625" style="3039" bestFit="1" customWidth="1"/>
    <col min="11281" max="11281" width="10" style="3039" customWidth="1"/>
    <col min="11282" max="11282" width="10.109375" style="3039" customWidth="1"/>
    <col min="11283" max="11283" width="10" style="3039" customWidth="1"/>
    <col min="11284" max="11284" width="26.109375" style="3039" customWidth="1"/>
    <col min="11285" max="11520" width="8.88671875" style="3039"/>
    <col min="11521" max="11521" width="9.44140625" style="3039" customWidth="1"/>
    <col min="11522" max="11522" width="8.88671875" style="3039"/>
    <col min="11523" max="11525" width="12.88671875" style="3039" customWidth="1"/>
    <col min="11526" max="11526" width="47.44140625" style="3039" customWidth="1"/>
    <col min="11527" max="11527" width="13" style="3039" customWidth="1"/>
    <col min="11528" max="11529" width="8.88671875" style="3039"/>
    <col min="11530" max="11530" width="5.77734375" style="3039" customWidth="1"/>
    <col min="11531" max="11531" width="11.77734375" style="3039" customWidth="1"/>
    <col min="11532" max="11533" width="10.77734375" style="3039" customWidth="1"/>
    <col min="11534" max="11534" width="10" style="3039" customWidth="1"/>
    <col min="11535" max="11536" width="10.44140625" style="3039" bestFit="1" customWidth="1"/>
    <col min="11537" max="11537" width="10" style="3039" customWidth="1"/>
    <col min="11538" max="11538" width="10.109375" style="3039" customWidth="1"/>
    <col min="11539" max="11539" width="10" style="3039" customWidth="1"/>
    <col min="11540" max="11540" width="26.109375" style="3039" customWidth="1"/>
    <col min="11541" max="11776" width="8.88671875" style="3039"/>
    <col min="11777" max="11777" width="9.44140625" style="3039" customWidth="1"/>
    <col min="11778" max="11778" width="8.88671875" style="3039"/>
    <col min="11779" max="11781" width="12.88671875" style="3039" customWidth="1"/>
    <col min="11782" max="11782" width="47.44140625" style="3039" customWidth="1"/>
    <col min="11783" max="11783" width="13" style="3039" customWidth="1"/>
    <col min="11784" max="11785" width="8.88671875" style="3039"/>
    <col min="11786" max="11786" width="5.77734375" style="3039" customWidth="1"/>
    <col min="11787" max="11787" width="11.77734375" style="3039" customWidth="1"/>
    <col min="11788" max="11789" width="10.77734375" style="3039" customWidth="1"/>
    <col min="11790" max="11790" width="10" style="3039" customWidth="1"/>
    <col min="11791" max="11792" width="10.44140625" style="3039" bestFit="1" customWidth="1"/>
    <col min="11793" max="11793" width="10" style="3039" customWidth="1"/>
    <col min="11794" max="11794" width="10.109375" style="3039" customWidth="1"/>
    <col min="11795" max="11795" width="10" style="3039" customWidth="1"/>
    <col min="11796" max="11796" width="26.109375" style="3039" customWidth="1"/>
    <col min="11797" max="12032" width="8.88671875" style="3039"/>
    <col min="12033" max="12033" width="9.44140625" style="3039" customWidth="1"/>
    <col min="12034" max="12034" width="8.88671875" style="3039"/>
    <col min="12035" max="12037" width="12.88671875" style="3039" customWidth="1"/>
    <col min="12038" max="12038" width="47.44140625" style="3039" customWidth="1"/>
    <col min="12039" max="12039" width="13" style="3039" customWidth="1"/>
    <col min="12040" max="12041" width="8.88671875" style="3039"/>
    <col min="12042" max="12042" width="5.77734375" style="3039" customWidth="1"/>
    <col min="12043" max="12043" width="11.77734375" style="3039" customWidth="1"/>
    <col min="12044" max="12045" width="10.77734375" style="3039" customWidth="1"/>
    <col min="12046" max="12046" width="10" style="3039" customWidth="1"/>
    <col min="12047" max="12048" width="10.44140625" style="3039" bestFit="1" customWidth="1"/>
    <col min="12049" max="12049" width="10" style="3039" customWidth="1"/>
    <col min="12050" max="12050" width="10.109375" style="3039" customWidth="1"/>
    <col min="12051" max="12051" width="10" style="3039" customWidth="1"/>
    <col min="12052" max="12052" width="26.109375" style="3039" customWidth="1"/>
    <col min="12053" max="12288" width="8.88671875" style="3039"/>
    <col min="12289" max="12289" width="9.44140625" style="3039" customWidth="1"/>
    <col min="12290" max="12290" width="8.88671875" style="3039"/>
    <col min="12291" max="12293" width="12.88671875" style="3039" customWidth="1"/>
    <col min="12294" max="12294" width="47.44140625" style="3039" customWidth="1"/>
    <col min="12295" max="12295" width="13" style="3039" customWidth="1"/>
    <col min="12296" max="12297" width="8.88671875" style="3039"/>
    <col min="12298" max="12298" width="5.77734375" style="3039" customWidth="1"/>
    <col min="12299" max="12299" width="11.77734375" style="3039" customWidth="1"/>
    <col min="12300" max="12301" width="10.77734375" style="3039" customWidth="1"/>
    <col min="12302" max="12302" width="10" style="3039" customWidth="1"/>
    <col min="12303" max="12304" width="10.44140625" style="3039" bestFit="1" customWidth="1"/>
    <col min="12305" max="12305" width="10" style="3039" customWidth="1"/>
    <col min="12306" max="12306" width="10.109375" style="3039" customWidth="1"/>
    <col min="12307" max="12307" width="10" style="3039" customWidth="1"/>
    <col min="12308" max="12308" width="26.109375" style="3039" customWidth="1"/>
    <col min="12309" max="12544" width="8.88671875" style="3039"/>
    <col min="12545" max="12545" width="9.44140625" style="3039" customWidth="1"/>
    <col min="12546" max="12546" width="8.88671875" style="3039"/>
    <col min="12547" max="12549" width="12.88671875" style="3039" customWidth="1"/>
    <col min="12550" max="12550" width="47.44140625" style="3039" customWidth="1"/>
    <col min="12551" max="12551" width="13" style="3039" customWidth="1"/>
    <col min="12552" max="12553" width="8.88671875" style="3039"/>
    <col min="12554" max="12554" width="5.77734375" style="3039" customWidth="1"/>
    <col min="12555" max="12555" width="11.77734375" style="3039" customWidth="1"/>
    <col min="12556" max="12557" width="10.77734375" style="3039" customWidth="1"/>
    <col min="12558" max="12558" width="10" style="3039" customWidth="1"/>
    <col min="12559" max="12560" width="10.44140625" style="3039" bestFit="1" customWidth="1"/>
    <col min="12561" max="12561" width="10" style="3039" customWidth="1"/>
    <col min="12562" max="12562" width="10.109375" style="3039" customWidth="1"/>
    <col min="12563" max="12563" width="10" style="3039" customWidth="1"/>
    <col min="12564" max="12564" width="26.109375" style="3039" customWidth="1"/>
    <col min="12565" max="12800" width="8.88671875" style="3039"/>
    <col min="12801" max="12801" width="9.44140625" style="3039" customWidth="1"/>
    <col min="12802" max="12802" width="8.88671875" style="3039"/>
    <col min="12803" max="12805" width="12.88671875" style="3039" customWidth="1"/>
    <col min="12806" max="12806" width="47.44140625" style="3039" customWidth="1"/>
    <col min="12807" max="12807" width="13" style="3039" customWidth="1"/>
    <col min="12808" max="12809" width="8.88671875" style="3039"/>
    <col min="12810" max="12810" width="5.77734375" style="3039" customWidth="1"/>
    <col min="12811" max="12811" width="11.77734375" style="3039" customWidth="1"/>
    <col min="12812" max="12813" width="10.77734375" style="3039" customWidth="1"/>
    <col min="12814" max="12814" width="10" style="3039" customWidth="1"/>
    <col min="12815" max="12816" width="10.44140625" style="3039" bestFit="1" customWidth="1"/>
    <col min="12817" max="12817" width="10" style="3039" customWidth="1"/>
    <col min="12818" max="12818" width="10.109375" style="3039" customWidth="1"/>
    <col min="12819" max="12819" width="10" style="3039" customWidth="1"/>
    <col min="12820" max="12820" width="26.109375" style="3039" customWidth="1"/>
    <col min="12821" max="13056" width="8.88671875" style="3039"/>
    <col min="13057" max="13057" width="9.44140625" style="3039" customWidth="1"/>
    <col min="13058" max="13058" width="8.88671875" style="3039"/>
    <col min="13059" max="13061" width="12.88671875" style="3039" customWidth="1"/>
    <col min="13062" max="13062" width="47.44140625" style="3039" customWidth="1"/>
    <col min="13063" max="13063" width="13" style="3039" customWidth="1"/>
    <col min="13064" max="13065" width="8.88671875" style="3039"/>
    <col min="13066" max="13066" width="5.77734375" style="3039" customWidth="1"/>
    <col min="13067" max="13067" width="11.77734375" style="3039" customWidth="1"/>
    <col min="13068" max="13069" width="10.77734375" style="3039" customWidth="1"/>
    <col min="13070" max="13070" width="10" style="3039" customWidth="1"/>
    <col min="13071" max="13072" width="10.44140625" style="3039" bestFit="1" customWidth="1"/>
    <col min="13073" max="13073" width="10" style="3039" customWidth="1"/>
    <col min="13074" max="13074" width="10.109375" style="3039" customWidth="1"/>
    <col min="13075" max="13075" width="10" style="3039" customWidth="1"/>
    <col min="13076" max="13076" width="26.109375" style="3039" customWidth="1"/>
    <col min="13077" max="13312" width="8.88671875" style="3039"/>
    <col min="13313" max="13313" width="9.44140625" style="3039" customWidth="1"/>
    <col min="13314" max="13314" width="8.88671875" style="3039"/>
    <col min="13315" max="13317" width="12.88671875" style="3039" customWidth="1"/>
    <col min="13318" max="13318" width="47.44140625" style="3039" customWidth="1"/>
    <col min="13319" max="13319" width="13" style="3039" customWidth="1"/>
    <col min="13320" max="13321" width="8.88671875" style="3039"/>
    <col min="13322" max="13322" width="5.77734375" style="3039" customWidth="1"/>
    <col min="13323" max="13323" width="11.77734375" style="3039" customWidth="1"/>
    <col min="13324" max="13325" width="10.77734375" style="3039" customWidth="1"/>
    <col min="13326" max="13326" width="10" style="3039" customWidth="1"/>
    <col min="13327" max="13328" width="10.44140625" style="3039" bestFit="1" customWidth="1"/>
    <col min="13329" max="13329" width="10" style="3039" customWidth="1"/>
    <col min="13330" max="13330" width="10.109375" style="3039" customWidth="1"/>
    <col min="13331" max="13331" width="10" style="3039" customWidth="1"/>
    <col min="13332" max="13332" width="26.109375" style="3039" customWidth="1"/>
    <col min="13333" max="13568" width="8.88671875" style="3039"/>
    <col min="13569" max="13569" width="9.44140625" style="3039" customWidth="1"/>
    <col min="13570" max="13570" width="8.88671875" style="3039"/>
    <col min="13571" max="13573" width="12.88671875" style="3039" customWidth="1"/>
    <col min="13574" max="13574" width="47.44140625" style="3039" customWidth="1"/>
    <col min="13575" max="13575" width="13" style="3039" customWidth="1"/>
    <col min="13576" max="13577" width="8.88671875" style="3039"/>
    <col min="13578" max="13578" width="5.77734375" style="3039" customWidth="1"/>
    <col min="13579" max="13579" width="11.77734375" style="3039" customWidth="1"/>
    <col min="13580" max="13581" width="10.77734375" style="3039" customWidth="1"/>
    <col min="13582" max="13582" width="10" style="3039" customWidth="1"/>
    <col min="13583" max="13584" width="10.44140625" style="3039" bestFit="1" customWidth="1"/>
    <col min="13585" max="13585" width="10" style="3039" customWidth="1"/>
    <col min="13586" max="13586" width="10.109375" style="3039" customWidth="1"/>
    <col min="13587" max="13587" width="10" style="3039" customWidth="1"/>
    <col min="13588" max="13588" width="26.109375" style="3039" customWidth="1"/>
    <col min="13589" max="13824" width="8.88671875" style="3039"/>
    <col min="13825" max="13825" width="9.44140625" style="3039" customWidth="1"/>
    <col min="13826" max="13826" width="8.88671875" style="3039"/>
    <col min="13827" max="13829" width="12.88671875" style="3039" customWidth="1"/>
    <col min="13830" max="13830" width="47.44140625" style="3039" customWidth="1"/>
    <col min="13831" max="13831" width="13" style="3039" customWidth="1"/>
    <col min="13832" max="13833" width="8.88671875" style="3039"/>
    <col min="13834" max="13834" width="5.77734375" style="3039" customWidth="1"/>
    <col min="13835" max="13835" width="11.77734375" style="3039" customWidth="1"/>
    <col min="13836" max="13837" width="10.77734375" style="3039" customWidth="1"/>
    <col min="13838" max="13838" width="10" style="3039" customWidth="1"/>
    <col min="13839" max="13840" width="10.44140625" style="3039" bestFit="1" customWidth="1"/>
    <col min="13841" max="13841" width="10" style="3039" customWidth="1"/>
    <col min="13842" max="13842" width="10.109375" style="3039" customWidth="1"/>
    <col min="13843" max="13843" width="10" style="3039" customWidth="1"/>
    <col min="13844" max="13844" width="26.109375" style="3039" customWidth="1"/>
    <col min="13845" max="14080" width="8.88671875" style="3039"/>
    <col min="14081" max="14081" width="9.44140625" style="3039" customWidth="1"/>
    <col min="14082" max="14082" width="8.88671875" style="3039"/>
    <col min="14083" max="14085" width="12.88671875" style="3039" customWidth="1"/>
    <col min="14086" max="14086" width="47.44140625" style="3039" customWidth="1"/>
    <col min="14087" max="14087" width="13" style="3039" customWidth="1"/>
    <col min="14088" max="14089" width="8.88671875" style="3039"/>
    <col min="14090" max="14090" width="5.77734375" style="3039" customWidth="1"/>
    <col min="14091" max="14091" width="11.77734375" style="3039" customWidth="1"/>
    <col min="14092" max="14093" width="10.77734375" style="3039" customWidth="1"/>
    <col min="14094" max="14094" width="10" style="3039" customWidth="1"/>
    <col min="14095" max="14096" width="10.44140625" style="3039" bestFit="1" customWidth="1"/>
    <col min="14097" max="14097" width="10" style="3039" customWidth="1"/>
    <col min="14098" max="14098" width="10.109375" style="3039" customWidth="1"/>
    <col min="14099" max="14099" width="10" style="3039" customWidth="1"/>
    <col min="14100" max="14100" width="26.109375" style="3039" customWidth="1"/>
    <col min="14101" max="14336" width="8.88671875" style="3039"/>
    <col min="14337" max="14337" width="9.44140625" style="3039" customWidth="1"/>
    <col min="14338" max="14338" width="8.88671875" style="3039"/>
    <col min="14339" max="14341" width="12.88671875" style="3039" customWidth="1"/>
    <col min="14342" max="14342" width="47.44140625" style="3039" customWidth="1"/>
    <col min="14343" max="14343" width="13" style="3039" customWidth="1"/>
    <col min="14344" max="14345" width="8.88671875" style="3039"/>
    <col min="14346" max="14346" width="5.77734375" style="3039" customWidth="1"/>
    <col min="14347" max="14347" width="11.77734375" style="3039" customWidth="1"/>
    <col min="14348" max="14349" width="10.77734375" style="3039" customWidth="1"/>
    <col min="14350" max="14350" width="10" style="3039" customWidth="1"/>
    <col min="14351" max="14352" width="10.44140625" style="3039" bestFit="1" customWidth="1"/>
    <col min="14353" max="14353" width="10" style="3039" customWidth="1"/>
    <col min="14354" max="14354" width="10.109375" style="3039" customWidth="1"/>
    <col min="14355" max="14355" width="10" style="3039" customWidth="1"/>
    <col min="14356" max="14356" width="26.109375" style="3039" customWidth="1"/>
    <col min="14357" max="14592" width="8.88671875" style="3039"/>
    <col min="14593" max="14593" width="9.44140625" style="3039" customWidth="1"/>
    <col min="14594" max="14594" width="8.88671875" style="3039"/>
    <col min="14595" max="14597" width="12.88671875" style="3039" customWidth="1"/>
    <col min="14598" max="14598" width="47.44140625" style="3039" customWidth="1"/>
    <col min="14599" max="14599" width="13" style="3039" customWidth="1"/>
    <col min="14600" max="14601" width="8.88671875" style="3039"/>
    <col min="14602" max="14602" width="5.77734375" style="3039" customWidth="1"/>
    <col min="14603" max="14603" width="11.77734375" style="3039" customWidth="1"/>
    <col min="14604" max="14605" width="10.77734375" style="3039" customWidth="1"/>
    <col min="14606" max="14606" width="10" style="3039" customWidth="1"/>
    <col min="14607" max="14608" width="10.44140625" style="3039" bestFit="1" customWidth="1"/>
    <col min="14609" max="14609" width="10" style="3039" customWidth="1"/>
    <col min="14610" max="14610" width="10.109375" style="3039" customWidth="1"/>
    <col min="14611" max="14611" width="10" style="3039" customWidth="1"/>
    <col min="14612" max="14612" width="26.109375" style="3039" customWidth="1"/>
    <col min="14613" max="14848" width="8.88671875" style="3039"/>
    <col min="14849" max="14849" width="9.44140625" style="3039" customWidth="1"/>
    <col min="14850" max="14850" width="8.88671875" style="3039"/>
    <col min="14851" max="14853" width="12.88671875" style="3039" customWidth="1"/>
    <col min="14854" max="14854" width="47.44140625" style="3039" customWidth="1"/>
    <col min="14855" max="14855" width="13" style="3039" customWidth="1"/>
    <col min="14856" max="14857" width="8.88671875" style="3039"/>
    <col min="14858" max="14858" width="5.77734375" style="3039" customWidth="1"/>
    <col min="14859" max="14859" width="11.77734375" style="3039" customWidth="1"/>
    <col min="14860" max="14861" width="10.77734375" style="3039" customWidth="1"/>
    <col min="14862" max="14862" width="10" style="3039" customWidth="1"/>
    <col min="14863" max="14864" width="10.44140625" style="3039" bestFit="1" customWidth="1"/>
    <col min="14865" max="14865" width="10" style="3039" customWidth="1"/>
    <col min="14866" max="14866" width="10.109375" style="3039" customWidth="1"/>
    <col min="14867" max="14867" width="10" style="3039" customWidth="1"/>
    <col min="14868" max="14868" width="26.109375" style="3039" customWidth="1"/>
    <col min="14869" max="15104" width="8.88671875" style="3039"/>
    <col min="15105" max="15105" width="9.44140625" style="3039" customWidth="1"/>
    <col min="15106" max="15106" width="8.88671875" style="3039"/>
    <col min="15107" max="15109" width="12.88671875" style="3039" customWidth="1"/>
    <col min="15110" max="15110" width="47.44140625" style="3039" customWidth="1"/>
    <col min="15111" max="15111" width="13" style="3039" customWidth="1"/>
    <col min="15112" max="15113" width="8.88671875" style="3039"/>
    <col min="15114" max="15114" width="5.77734375" style="3039" customWidth="1"/>
    <col min="15115" max="15115" width="11.77734375" style="3039" customWidth="1"/>
    <col min="15116" max="15117" width="10.77734375" style="3039" customWidth="1"/>
    <col min="15118" max="15118" width="10" style="3039" customWidth="1"/>
    <col min="15119" max="15120" width="10.44140625" style="3039" bestFit="1" customWidth="1"/>
    <col min="15121" max="15121" width="10" style="3039" customWidth="1"/>
    <col min="15122" max="15122" width="10.109375" style="3039" customWidth="1"/>
    <col min="15123" max="15123" width="10" style="3039" customWidth="1"/>
    <col min="15124" max="15124" width="26.109375" style="3039" customWidth="1"/>
    <col min="15125" max="15360" width="8.88671875" style="3039"/>
    <col min="15361" max="15361" width="9.44140625" style="3039" customWidth="1"/>
    <col min="15362" max="15362" width="8.88671875" style="3039"/>
    <col min="15363" max="15365" width="12.88671875" style="3039" customWidth="1"/>
    <col min="15366" max="15366" width="47.44140625" style="3039" customWidth="1"/>
    <col min="15367" max="15367" width="13" style="3039" customWidth="1"/>
    <col min="15368" max="15369" width="8.88671875" style="3039"/>
    <col min="15370" max="15370" width="5.77734375" style="3039" customWidth="1"/>
    <col min="15371" max="15371" width="11.77734375" style="3039" customWidth="1"/>
    <col min="15372" max="15373" width="10.77734375" style="3039" customWidth="1"/>
    <col min="15374" max="15374" width="10" style="3039" customWidth="1"/>
    <col min="15375" max="15376" width="10.44140625" style="3039" bestFit="1" customWidth="1"/>
    <col min="15377" max="15377" width="10" style="3039" customWidth="1"/>
    <col min="15378" max="15378" width="10.109375" style="3039" customWidth="1"/>
    <col min="15379" max="15379" width="10" style="3039" customWidth="1"/>
    <col min="15380" max="15380" width="26.109375" style="3039" customWidth="1"/>
    <col min="15381" max="15616" width="8.88671875" style="3039"/>
    <col min="15617" max="15617" width="9.44140625" style="3039" customWidth="1"/>
    <col min="15618" max="15618" width="8.88671875" style="3039"/>
    <col min="15619" max="15621" width="12.88671875" style="3039" customWidth="1"/>
    <col min="15622" max="15622" width="47.44140625" style="3039" customWidth="1"/>
    <col min="15623" max="15623" width="13" style="3039" customWidth="1"/>
    <col min="15624" max="15625" width="8.88671875" style="3039"/>
    <col min="15626" max="15626" width="5.77734375" style="3039" customWidth="1"/>
    <col min="15627" max="15627" width="11.77734375" style="3039" customWidth="1"/>
    <col min="15628" max="15629" width="10.77734375" style="3039" customWidth="1"/>
    <col min="15630" max="15630" width="10" style="3039" customWidth="1"/>
    <col min="15631" max="15632" width="10.44140625" style="3039" bestFit="1" customWidth="1"/>
    <col min="15633" max="15633" width="10" style="3039" customWidth="1"/>
    <col min="15634" max="15634" width="10.109375" style="3039" customWidth="1"/>
    <col min="15635" max="15635" width="10" style="3039" customWidth="1"/>
    <col min="15636" max="15636" width="26.109375" style="3039" customWidth="1"/>
    <col min="15637" max="15872" width="8.88671875" style="3039"/>
    <col min="15873" max="15873" width="9.44140625" style="3039" customWidth="1"/>
    <col min="15874" max="15874" width="8.88671875" style="3039"/>
    <col min="15875" max="15877" width="12.88671875" style="3039" customWidth="1"/>
    <col min="15878" max="15878" width="47.44140625" style="3039" customWidth="1"/>
    <col min="15879" max="15879" width="13" style="3039" customWidth="1"/>
    <col min="15880" max="15881" width="8.88671875" style="3039"/>
    <col min="15882" max="15882" width="5.77734375" style="3039" customWidth="1"/>
    <col min="15883" max="15883" width="11.77734375" style="3039" customWidth="1"/>
    <col min="15884" max="15885" width="10.77734375" style="3039" customWidth="1"/>
    <col min="15886" max="15886" width="10" style="3039" customWidth="1"/>
    <col min="15887" max="15888" width="10.44140625" style="3039" bestFit="1" customWidth="1"/>
    <col min="15889" max="15889" width="10" style="3039" customWidth="1"/>
    <col min="15890" max="15890" width="10.109375" style="3039" customWidth="1"/>
    <col min="15891" max="15891" width="10" style="3039" customWidth="1"/>
    <col min="15892" max="15892" width="26.109375" style="3039" customWidth="1"/>
    <col min="15893" max="16128" width="8.88671875" style="3039"/>
    <col min="16129" max="16129" width="9.44140625" style="3039" customWidth="1"/>
    <col min="16130" max="16130" width="8.88671875" style="3039"/>
    <col min="16131" max="16133" width="12.88671875" style="3039" customWidth="1"/>
    <col min="16134" max="16134" width="47.44140625" style="3039" customWidth="1"/>
    <col min="16135" max="16135" width="13" style="3039" customWidth="1"/>
    <col min="16136" max="16137" width="8.88671875" style="3039"/>
    <col min="16138" max="16138" width="5.77734375" style="3039" customWidth="1"/>
    <col min="16139" max="16139" width="11.77734375" style="3039" customWidth="1"/>
    <col min="16140" max="16141" width="10.77734375" style="3039" customWidth="1"/>
    <col min="16142" max="16142" width="10" style="3039" customWidth="1"/>
    <col min="16143" max="16144" width="10.44140625" style="3039" bestFit="1" customWidth="1"/>
    <col min="16145" max="16145" width="10" style="3039" customWidth="1"/>
    <col min="16146" max="16146" width="10.109375" style="3039" customWidth="1"/>
    <col min="16147" max="16147" width="10" style="3039" customWidth="1"/>
    <col min="16148" max="16148" width="26.109375" style="3039" customWidth="1"/>
    <col min="16149" max="16384" width="8.88671875" style="3039"/>
  </cols>
  <sheetData>
    <row r="1" spans="1:22" ht="21" customHeight="1">
      <c r="A1" s="3028" t="s">
        <v>3118</v>
      </c>
      <c r="B1" s="3029"/>
      <c r="C1" s="3041"/>
      <c r="D1" s="3041"/>
      <c r="E1" s="3030"/>
      <c r="F1" s="3031"/>
      <c r="G1" s="3032"/>
      <c r="J1" s="3035" t="s">
        <v>2997</v>
      </c>
      <c r="K1" s="3036"/>
      <c r="L1" s="3036"/>
      <c r="M1" s="3036"/>
      <c r="N1" s="3036"/>
      <c r="O1" s="3036"/>
      <c r="P1" s="3036"/>
      <c r="Q1" s="3036"/>
      <c r="R1" s="3037"/>
      <c r="S1" s="3038"/>
      <c r="T1" s="3038"/>
      <c r="U1" s="3038"/>
    </row>
    <row r="2" spans="1:22" s="3050" customFormat="1" ht="13.2" customHeight="1">
      <c r="A2" s="1539" t="s">
        <v>2998</v>
      </c>
      <c r="B2" s="3040" t="e">
        <f>C40</f>
        <v>#DIV/0!</v>
      </c>
      <c r="C2" s="3041" t="s">
        <v>2999</v>
      </c>
      <c r="D2" s="3041"/>
      <c r="E2" s="3042"/>
      <c r="F2" s="3043"/>
      <c r="G2" s="3044"/>
      <c r="H2" s="3045"/>
      <c r="I2" s="3046"/>
      <c r="J2" s="3454" t="s">
        <v>3000</v>
      </c>
      <c r="K2" s="3455"/>
      <c r="L2" s="3047" t="s">
        <v>3001</v>
      </c>
      <c r="M2" s="3047" t="s">
        <v>3002</v>
      </c>
      <c r="N2" s="3047" t="s">
        <v>3003</v>
      </c>
      <c r="O2" s="3047" t="s">
        <v>3004</v>
      </c>
      <c r="P2" s="3047" t="s">
        <v>3005</v>
      </c>
      <c r="Q2" s="3048" t="s">
        <v>3006</v>
      </c>
      <c r="R2" s="3049" t="s">
        <v>3007</v>
      </c>
      <c r="S2" s="3038"/>
      <c r="T2" s="3038"/>
      <c r="U2" s="3038"/>
      <c r="V2" s="3046"/>
    </row>
    <row r="3" spans="1:22" s="3050" customFormat="1" ht="13.2" customHeight="1">
      <c r="A3" s="3051" t="s">
        <v>3008</v>
      </c>
      <c r="B3" s="3052" t="e">
        <f>ROUND(B2*10000/B4,0)</f>
        <v>#DIV/0!</v>
      </c>
      <c r="C3" s="3041" t="s">
        <v>3009</v>
      </c>
      <c r="D3" s="3041"/>
      <c r="E3" s="3042"/>
      <c r="F3" s="3043"/>
      <c r="G3" s="3044"/>
      <c r="H3" s="3045"/>
      <c r="I3" s="3046"/>
      <c r="J3" s="3456" t="s">
        <v>3010</v>
      </c>
      <c r="K3" s="3457"/>
      <c r="L3" s="3053"/>
      <c r="M3" s="3053"/>
      <c r="N3" s="3053"/>
      <c r="O3" s="3053"/>
      <c r="P3" s="3053"/>
      <c r="Q3" s="3054"/>
      <c r="R3" s="3055">
        <f>SUM(L3:Q3)</f>
        <v>0</v>
      </c>
      <c r="S3" s="3038"/>
      <c r="T3" s="3038"/>
      <c r="U3" s="3038"/>
      <c r="V3" s="3046"/>
    </row>
    <row r="4" spans="1:22" s="3050" customFormat="1" ht="13.2" customHeight="1">
      <c r="A4" s="3056" t="s">
        <v>3011</v>
      </c>
      <c r="B4" s="3057"/>
      <c r="C4" s="3041"/>
      <c r="D4" s="3041"/>
      <c r="E4" s="3042"/>
      <c r="F4" s="3043"/>
      <c r="G4" s="3044"/>
      <c r="H4" s="3045"/>
      <c r="I4" s="3046"/>
      <c r="J4" s="3456" t="s">
        <v>3012</v>
      </c>
      <c r="K4" s="3457"/>
      <c r="L4" s="3058"/>
      <c r="M4" s="3058"/>
      <c r="N4" s="3058"/>
      <c r="O4" s="3058"/>
      <c r="P4" s="3058"/>
      <c r="Q4" s="3059"/>
      <c r="R4" s="3060">
        <f>SUM(L4:Q4)</f>
        <v>0</v>
      </c>
      <c r="S4" s="3038"/>
      <c r="T4" s="3038"/>
      <c r="U4" s="3038"/>
      <c r="V4" s="3046"/>
    </row>
    <row r="5" spans="1:22" s="3050" customFormat="1" ht="13.2" customHeight="1" thickBot="1">
      <c r="A5" s="3061" t="s">
        <v>3013</v>
      </c>
      <c r="B5" s="3062"/>
      <c r="C5" s="3041"/>
      <c r="D5" s="3063"/>
      <c r="E5" s="3043"/>
      <c r="F5" s="3043"/>
      <c r="G5" s="3044"/>
      <c r="H5" s="3045"/>
      <c r="I5" s="3046"/>
      <c r="J5" s="3064" t="s">
        <v>3014</v>
      </c>
      <c r="K5" s="3065"/>
      <c r="L5" s="3065"/>
      <c r="M5" s="3066"/>
      <c r="N5" s="3066"/>
      <c r="O5" s="3066"/>
      <c r="P5" s="3066"/>
      <c r="Q5" s="3066"/>
      <c r="R5" s="3049">
        <f>SUM(R14,R19,R24,R25,R27,R28)</f>
        <v>0</v>
      </c>
      <c r="S5" s="3038"/>
      <c r="T5" s="3038" t="s">
        <v>3015</v>
      </c>
      <c r="U5" s="3038" t="e">
        <f>ROUND(R5*10000/365/R3,1)</f>
        <v>#DIV/0!</v>
      </c>
      <c r="V5" s="3046"/>
    </row>
    <row r="6" spans="1:22" s="3050" customFormat="1" ht="13.2" customHeight="1" thickBot="1">
      <c r="A6" s="3458" t="s">
        <v>3016</v>
      </c>
      <c r="B6" s="3459"/>
      <c r="C6" s="3460"/>
      <c r="D6" s="3067"/>
      <c r="E6" s="3068"/>
      <c r="F6" s="3069"/>
      <c r="G6" s="3070"/>
      <c r="H6" s="3045"/>
      <c r="I6" s="3046"/>
      <c r="J6" s="3461">
        <v>1</v>
      </c>
      <c r="K6" s="3462" t="s">
        <v>3017</v>
      </c>
      <c r="L6" s="3071" t="s">
        <v>3018</v>
      </c>
      <c r="M6" s="3072" t="s">
        <v>3019</v>
      </c>
      <c r="N6" s="3072" t="s">
        <v>3020</v>
      </c>
      <c r="O6" s="3072" t="s">
        <v>3021</v>
      </c>
      <c r="P6" s="3072" t="s">
        <v>3022</v>
      </c>
      <c r="Q6" s="3072" t="s">
        <v>3023</v>
      </c>
      <c r="R6" s="3055" t="s">
        <v>3024</v>
      </c>
      <c r="S6" s="3038"/>
      <c r="T6" s="3038" t="s">
        <v>3025</v>
      </c>
      <c r="U6" s="3038"/>
      <c r="V6" s="3046"/>
    </row>
    <row r="7" spans="1:22" s="3050" customFormat="1" ht="13.2" customHeight="1">
      <c r="A7" s="3073" t="s">
        <v>3026</v>
      </c>
      <c r="B7" s="3074"/>
      <c r="C7" s="3075"/>
      <c r="D7" s="3076">
        <f>SUM(D9,D10,D11,D17,0)</f>
        <v>0</v>
      </c>
      <c r="E7" s="3077" t="e">
        <f>E9+E10+E11+E17</f>
        <v>#DIV/0!</v>
      </c>
      <c r="F7" s="3078"/>
      <c r="G7" s="3079"/>
      <c r="H7" s="3045"/>
      <c r="I7" s="3046"/>
      <c r="J7" s="3461"/>
      <c r="K7" s="3463"/>
      <c r="L7" s="3080" t="s">
        <v>3027</v>
      </c>
      <c r="M7" s="3081"/>
      <c r="N7" s="3057"/>
      <c r="O7" s="3082"/>
      <c r="P7" s="3082"/>
      <c r="Q7" s="3083">
        <v>365</v>
      </c>
      <c r="R7" s="3084">
        <f>ROUND(M7*N7*O7*P7*Q7/10000,0)</f>
        <v>0</v>
      </c>
      <c r="S7" s="3038"/>
      <c r="T7" s="3038" t="s">
        <v>3028</v>
      </c>
      <c r="U7" s="3038"/>
      <c r="V7" s="3046"/>
    </row>
    <row r="8" spans="1:22" s="3050" customFormat="1" ht="13.2" customHeight="1">
      <c r="A8" s="3085" t="s">
        <v>3029</v>
      </c>
      <c r="B8" s="3465" t="s">
        <v>3030</v>
      </c>
      <c r="C8" s="3466"/>
      <c r="D8" s="3086" t="s">
        <v>3031</v>
      </c>
      <c r="E8" s="3087" t="s">
        <v>3032</v>
      </c>
      <c r="F8" s="3088" t="s">
        <v>3033</v>
      </c>
      <c r="G8" s="3089"/>
      <c r="H8" s="3045"/>
      <c r="I8" s="3046"/>
      <c r="J8" s="3461"/>
      <c r="K8" s="3463"/>
      <c r="L8" s="3080" t="s">
        <v>3034</v>
      </c>
      <c r="M8" s="3081"/>
      <c r="N8" s="3057"/>
      <c r="O8" s="3082"/>
      <c r="P8" s="3082"/>
      <c r="Q8" s="3083">
        <v>365</v>
      </c>
      <c r="R8" s="3084">
        <f t="shared" ref="R8:R13" si="0">ROUND(M8*N8*O8*P8*Q8/10000,0)</f>
        <v>0</v>
      </c>
      <c r="S8" s="3038"/>
      <c r="T8" s="3038" t="s">
        <v>3035</v>
      </c>
      <c r="U8" s="3038"/>
      <c r="V8" s="3046"/>
    </row>
    <row r="9" spans="1:22" s="3050" customFormat="1" ht="13.2" customHeight="1">
      <c r="A9" s="3085">
        <v>1</v>
      </c>
      <c r="B9" s="3465" t="s">
        <v>3036</v>
      </c>
      <c r="C9" s="3466"/>
      <c r="D9" s="3086">
        <f>ROUND(D6*E9,0)</f>
        <v>0</v>
      </c>
      <c r="E9" s="3090"/>
      <c r="F9" s="3091" t="s">
        <v>3037</v>
      </c>
      <c r="G9" s="3070"/>
      <c r="H9" s="3045"/>
      <c r="I9" s="3046"/>
      <c r="J9" s="3461"/>
      <c r="K9" s="3463"/>
      <c r="L9" s="3080" t="s">
        <v>3038</v>
      </c>
      <c r="M9" s="3081"/>
      <c r="N9" s="3057"/>
      <c r="O9" s="3082"/>
      <c r="P9" s="3082"/>
      <c r="Q9" s="3083">
        <v>365</v>
      </c>
      <c r="R9" s="3084">
        <f t="shared" si="0"/>
        <v>0</v>
      </c>
      <c r="S9" s="3038"/>
      <c r="T9" s="3038"/>
      <c r="U9" s="3038"/>
      <c r="V9" s="3046"/>
    </row>
    <row r="10" spans="1:22" s="3050" customFormat="1" ht="13.2" customHeight="1">
      <c r="A10" s="3085">
        <v>2</v>
      </c>
      <c r="B10" s="3465" t="s">
        <v>3039</v>
      </c>
      <c r="C10" s="3466"/>
      <c r="D10" s="3086">
        <f>ROUND(D6*E10,0)</f>
        <v>0</v>
      </c>
      <c r="E10" s="3090"/>
      <c r="F10" s="3091" t="s">
        <v>3040</v>
      </c>
      <c r="G10" s="3070"/>
      <c r="H10" s="3045"/>
      <c r="I10" s="3046"/>
      <c r="J10" s="3461"/>
      <c r="K10" s="3463"/>
      <c r="L10" s="3080" t="s">
        <v>3041</v>
      </c>
      <c r="M10" s="3081"/>
      <c r="N10" s="3057"/>
      <c r="O10" s="3082"/>
      <c r="P10" s="3082"/>
      <c r="Q10" s="3083">
        <v>365</v>
      </c>
      <c r="R10" s="3084">
        <f t="shared" si="0"/>
        <v>0</v>
      </c>
      <c r="S10" s="3038"/>
      <c r="T10" s="3038"/>
      <c r="U10" s="3038"/>
      <c r="V10" s="3046"/>
    </row>
    <row r="11" spans="1:22" s="3050" customFormat="1" ht="13.2" customHeight="1">
      <c r="A11" s="3085">
        <v>3</v>
      </c>
      <c r="B11" s="3465" t="s">
        <v>3042</v>
      </c>
      <c r="C11" s="3466"/>
      <c r="D11" s="3086">
        <f>D12+D14+D15+D16</f>
        <v>0</v>
      </c>
      <c r="E11" s="3092" t="e">
        <f>D11/D6</f>
        <v>#DIV/0!</v>
      </c>
      <c r="F11" s="3088"/>
      <c r="G11" s="3089"/>
      <c r="H11" s="3045"/>
      <c r="I11" s="3046"/>
      <c r="J11" s="3461"/>
      <c r="K11" s="3463"/>
      <c r="L11" s="3080" t="s">
        <v>3043</v>
      </c>
      <c r="M11" s="3081"/>
      <c r="N11" s="3057"/>
      <c r="O11" s="3082"/>
      <c r="P11" s="3082"/>
      <c r="Q11" s="3083">
        <v>365</v>
      </c>
      <c r="R11" s="3084">
        <f t="shared" si="0"/>
        <v>0</v>
      </c>
      <c r="S11" s="3038"/>
      <c r="T11" s="3038"/>
      <c r="U11" s="3038"/>
      <c r="V11" s="3046"/>
    </row>
    <row r="12" spans="1:22" s="3050" customFormat="1" ht="13.2" customHeight="1">
      <c r="A12" s="3093" t="s">
        <v>3044</v>
      </c>
      <c r="B12" s="3467" t="s">
        <v>3045</v>
      </c>
      <c r="C12" s="3468"/>
      <c r="D12" s="3094">
        <f>ROUND(D13*1.2%*(1-30%),0)</f>
        <v>0</v>
      </c>
      <c r="E12" s="3095">
        <v>1.2E-2</v>
      </c>
      <c r="F12" s="3088" t="s">
        <v>3046</v>
      </c>
      <c r="G12" s="3089"/>
      <c r="H12" s="3045"/>
      <c r="I12" s="3046"/>
      <c r="J12" s="3461"/>
      <c r="K12" s="3463"/>
      <c r="L12" s="3080" t="s">
        <v>3047</v>
      </c>
      <c r="M12" s="3081"/>
      <c r="N12" s="3057"/>
      <c r="O12" s="3082"/>
      <c r="P12" s="3082"/>
      <c r="Q12" s="3083">
        <v>365</v>
      </c>
      <c r="R12" s="3084">
        <f t="shared" si="0"/>
        <v>0</v>
      </c>
      <c r="S12" s="3038"/>
      <c r="T12" s="3038"/>
      <c r="U12" s="3038"/>
      <c r="V12" s="3046"/>
    </row>
    <row r="13" spans="1:22" s="3050" customFormat="1" ht="13.2" customHeight="1">
      <c r="A13" s="3093"/>
      <c r="B13" s="3096"/>
      <c r="C13" s="3097" t="s">
        <v>3048</v>
      </c>
      <c r="D13" s="3098"/>
      <c r="E13" s="3099"/>
      <c r="F13" s="3088"/>
      <c r="G13" s="3089"/>
      <c r="H13" s="3045"/>
      <c r="I13" s="3046"/>
      <c r="J13" s="3461"/>
      <c r="K13" s="3463"/>
      <c r="L13" s="3080" t="s">
        <v>3049</v>
      </c>
      <c r="M13" s="3081"/>
      <c r="N13" s="3057"/>
      <c r="O13" s="3082"/>
      <c r="P13" s="3082"/>
      <c r="Q13" s="3083">
        <v>365</v>
      </c>
      <c r="R13" s="3084">
        <f t="shared" si="0"/>
        <v>0</v>
      </c>
      <c r="S13" s="3038"/>
      <c r="T13" s="3038"/>
      <c r="U13" s="3038"/>
      <c r="V13" s="3046"/>
    </row>
    <row r="14" spans="1:22" s="3050" customFormat="1" ht="13.2" customHeight="1">
      <c r="A14" s="3093" t="s">
        <v>3050</v>
      </c>
      <c r="B14" s="3467" t="s">
        <v>3051</v>
      </c>
      <c r="C14" s="3468"/>
      <c r="D14" s="3094">
        <f>ROUND(E14*B5/10000,0)</f>
        <v>0</v>
      </c>
      <c r="E14" s="3083"/>
      <c r="F14" s="3088" t="s">
        <v>3052</v>
      </c>
      <c r="G14" s="3089"/>
      <c r="H14" s="3045"/>
      <c r="I14" s="3046"/>
      <c r="J14" s="3461"/>
      <c r="K14" s="3464"/>
      <c r="L14" s="3100" t="s">
        <v>3053</v>
      </c>
      <c r="M14" s="3101">
        <f>SUM(M7:M13)</f>
        <v>0</v>
      </c>
      <c r="N14" s="3101" t="e">
        <f>ROUND((N7*M7+N8*M8+N9*M9+N10*M10+N11*M11+N12*M12+N13*M13)/M14,0)</f>
        <v>#DIV/0!</v>
      </c>
      <c r="O14" s="3102"/>
      <c r="P14" s="3102"/>
      <c r="Q14" s="3103"/>
      <c r="R14" s="3049">
        <f>SUM(R7:R13)</f>
        <v>0</v>
      </c>
      <c r="S14" s="3038"/>
      <c r="T14" s="3038"/>
      <c r="U14" s="3038"/>
      <c r="V14" s="3046"/>
    </row>
    <row r="15" spans="1:22" s="3050" customFormat="1" ht="13.2" customHeight="1">
      <c r="A15" s="3093" t="s">
        <v>3054</v>
      </c>
      <c r="B15" s="3467" t="s">
        <v>3055</v>
      </c>
      <c r="C15" s="3468"/>
      <c r="D15" s="3094">
        <f>ROUND(D6*E15,0)</f>
        <v>0</v>
      </c>
      <c r="E15" s="3095">
        <v>5.5E-2</v>
      </c>
      <c r="F15" s="3088" t="s">
        <v>3056</v>
      </c>
      <c r="G15" s="3070"/>
      <c r="H15" s="3045"/>
      <c r="I15" s="3046"/>
      <c r="J15" s="3461">
        <v>2</v>
      </c>
      <c r="K15" s="3462" t="s">
        <v>3057</v>
      </c>
      <c r="L15" s="3080" t="s">
        <v>3058</v>
      </c>
      <c r="M15" s="3081" t="s">
        <v>3059</v>
      </c>
      <c r="N15" s="3081" t="s">
        <v>3060</v>
      </c>
      <c r="O15" s="3082" t="s">
        <v>3061</v>
      </c>
      <c r="P15" s="3082" t="s">
        <v>3023</v>
      </c>
      <c r="Q15" s="3057" t="s">
        <v>3062</v>
      </c>
      <c r="R15" s="3104" t="s">
        <v>3024</v>
      </c>
      <c r="S15" s="3038"/>
      <c r="T15" s="3038"/>
      <c r="U15" s="3038"/>
      <c r="V15" s="3046"/>
    </row>
    <row r="16" spans="1:22" s="3050" customFormat="1" ht="13.2" customHeight="1">
      <c r="A16" s="3093" t="s">
        <v>3063</v>
      </c>
      <c r="B16" s="3467" t="s">
        <v>3064</v>
      </c>
      <c r="C16" s="3468"/>
      <c r="D16" s="3105">
        <f>D6*E16</f>
        <v>0</v>
      </c>
      <c r="E16" s="3106"/>
      <c r="F16" s="3091" t="s">
        <v>3065</v>
      </c>
      <c r="G16" s="3070"/>
      <c r="H16" s="3045"/>
      <c r="I16" s="3046"/>
      <c r="J16" s="3461"/>
      <c r="K16" s="3463"/>
      <c r="L16" s="3080" t="s">
        <v>3066</v>
      </c>
      <c r="M16" s="3081"/>
      <c r="N16" s="3081"/>
      <c r="O16" s="3082"/>
      <c r="P16" s="3083">
        <v>365</v>
      </c>
      <c r="Q16" s="3057"/>
      <c r="R16" s="3104">
        <f>ROUND(M16*N16*O16*P16/10000,0)</f>
        <v>0</v>
      </c>
      <c r="S16" s="3038"/>
      <c r="T16" s="3038"/>
      <c r="U16" s="3038"/>
      <c r="V16" s="3046"/>
    </row>
    <row r="17" spans="1:22" s="3050" customFormat="1" ht="13.2" customHeight="1" thickBot="1">
      <c r="A17" s="3107">
        <v>4</v>
      </c>
      <c r="B17" s="3469" t="s">
        <v>3067</v>
      </c>
      <c r="C17" s="3470"/>
      <c r="D17" s="3108">
        <f>ROUND(D6*E17,0)</f>
        <v>0</v>
      </c>
      <c r="E17" s="3109"/>
      <c r="F17" s="3110" t="s">
        <v>3068</v>
      </c>
      <c r="G17" s="3070"/>
      <c r="H17" s="3045"/>
      <c r="I17" s="3046"/>
      <c r="J17" s="3461"/>
      <c r="K17" s="3463"/>
      <c r="L17" s="3080" t="s">
        <v>3069</v>
      </c>
      <c r="M17" s="3081"/>
      <c r="N17" s="3081"/>
      <c r="O17" s="3082"/>
      <c r="P17" s="3083">
        <v>365</v>
      </c>
      <c r="Q17" s="3057"/>
      <c r="R17" s="3104">
        <f>ROUND(M17*N17*O17*P17/10000,0)</f>
        <v>0</v>
      </c>
      <c r="S17" s="3038"/>
      <c r="T17" s="3038"/>
      <c r="U17" s="3038"/>
      <c r="V17" s="3046"/>
    </row>
    <row r="18" spans="1:22" s="3050" customFormat="1" ht="13.2" customHeight="1" thickBot="1">
      <c r="A18" s="3073" t="s">
        <v>3070</v>
      </c>
      <c r="B18" s="3074"/>
      <c r="C18" s="3074"/>
      <c r="D18" s="3111">
        <f>ROUND(D6*E18,0)</f>
        <v>0</v>
      </c>
      <c r="E18" s="3112"/>
      <c r="F18" s="3113" t="s">
        <v>3071</v>
      </c>
      <c r="G18" s="3070"/>
      <c r="H18" s="3045"/>
      <c r="I18" s="3046"/>
      <c r="J18" s="3461"/>
      <c r="K18" s="3463"/>
      <c r="L18" s="3080" t="s">
        <v>3072</v>
      </c>
      <c r="M18" s="3081"/>
      <c r="N18" s="3081"/>
      <c r="O18" s="3082"/>
      <c r="P18" s="3083">
        <v>365</v>
      </c>
      <c r="Q18" s="3057"/>
      <c r="R18" s="3104">
        <f>ROUND(M18*N18*O18*P18/10000,0)</f>
        <v>0</v>
      </c>
      <c r="S18" s="3038"/>
      <c r="T18" s="3038"/>
      <c r="U18" s="3038"/>
      <c r="V18" s="3046"/>
    </row>
    <row r="19" spans="1:22" s="3050" customFormat="1" ht="13.2" customHeight="1" thickBot="1">
      <c r="A19" s="3114" t="s">
        <v>3073</v>
      </c>
      <c r="B19" s="3068"/>
      <c r="C19" s="3068"/>
      <c r="D19" s="3068"/>
      <c r="E19" s="3068"/>
      <c r="F19" s="3069"/>
      <c r="G19" s="3089"/>
      <c r="H19" s="3045"/>
      <c r="I19" s="3046"/>
      <c r="J19" s="3461"/>
      <c r="K19" s="3464"/>
      <c r="L19" s="3100" t="s">
        <v>3053</v>
      </c>
      <c r="M19" s="3101"/>
      <c r="N19" s="3101">
        <f>SUM(N16:N18)</f>
        <v>0</v>
      </c>
      <c r="O19" s="3102"/>
      <c r="P19" s="3115" t="s">
        <v>3117</v>
      </c>
      <c r="Q19" s="3082">
        <v>0</v>
      </c>
      <c r="R19" s="3116">
        <f>ROUND(IF(P19="按比例",R14*Q19,SUM(R16:R18)),0)</f>
        <v>0</v>
      </c>
      <c r="S19" s="3038"/>
      <c r="T19" s="3038"/>
      <c r="U19" s="3038"/>
      <c r="V19" s="3046"/>
    </row>
    <row r="20" spans="1:22" s="3050" customFormat="1" ht="13.2" customHeight="1">
      <c r="A20" s="3073"/>
      <c r="B20" s="3074"/>
      <c r="C20" s="3074"/>
      <c r="D20" s="3074"/>
      <c r="E20" s="3074"/>
      <c r="F20" s="3117"/>
      <c r="G20" s="3089"/>
      <c r="H20" s="3045"/>
      <c r="I20" s="3046"/>
      <c r="J20" s="3461">
        <v>3</v>
      </c>
      <c r="K20" s="3462" t="s">
        <v>3074</v>
      </c>
      <c r="L20" s="3080" t="s">
        <v>3075</v>
      </c>
      <c r="M20" s="3081" t="s">
        <v>3076</v>
      </c>
      <c r="N20" s="3118" t="s">
        <v>3077</v>
      </c>
      <c r="O20" s="3082" t="s">
        <v>3078</v>
      </c>
      <c r="P20" s="3083" t="s">
        <v>3079</v>
      </c>
      <c r="Q20" s="3057" t="s">
        <v>3080</v>
      </c>
      <c r="R20" s="3104" t="s">
        <v>3081</v>
      </c>
      <c r="S20" s="3119"/>
      <c r="T20" s="3119"/>
      <c r="U20" s="3119"/>
      <c r="V20" s="3046"/>
    </row>
    <row r="21" spans="1:22" s="3050" customFormat="1" ht="13.2" customHeight="1">
      <c r="A21" s="3073"/>
      <c r="B21" s="3074"/>
      <c r="C21" s="3120" t="s">
        <v>3082</v>
      </c>
      <c r="D21" s="3121" t="s">
        <v>3083</v>
      </c>
      <c r="E21" s="3122" t="s">
        <v>3084</v>
      </c>
      <c r="F21" s="3117"/>
      <c r="G21" s="3089"/>
      <c r="H21" s="3045"/>
      <c r="I21" s="3046"/>
      <c r="J21" s="3461"/>
      <c r="K21" s="3463"/>
      <c r="L21" s="3080" t="s">
        <v>3085</v>
      </c>
      <c r="M21" s="3081"/>
      <c r="N21" s="3081"/>
      <c r="O21" s="3082"/>
      <c r="P21" s="3083">
        <v>365</v>
      </c>
      <c r="Q21" s="3057"/>
      <c r="R21" s="3123">
        <f>ROUND(M21*N21*O21*P21/10000,0)</f>
        <v>0</v>
      </c>
      <c r="S21" s="3119"/>
      <c r="T21" s="3119"/>
      <c r="U21" s="3119"/>
      <c r="V21" s="3046"/>
    </row>
    <row r="22" spans="1:22" s="3050" customFormat="1" ht="13.2" customHeight="1">
      <c r="A22" s="3073"/>
      <c r="B22" s="3074"/>
      <c r="C22" s="3124" t="s">
        <v>3086</v>
      </c>
      <c r="D22" s="3125" t="s">
        <v>3087</v>
      </c>
      <c r="E22" s="3126" t="s">
        <v>3088</v>
      </c>
      <c r="F22" s="3117"/>
      <c r="G22" s="3127"/>
      <c r="H22" s="3045"/>
      <c r="I22" s="3046"/>
      <c r="J22" s="3461"/>
      <c r="K22" s="3463"/>
      <c r="L22" s="3080" t="s">
        <v>3089</v>
      </c>
      <c r="M22" s="3081"/>
      <c r="N22" s="3081"/>
      <c r="O22" s="3082"/>
      <c r="P22" s="3083">
        <v>365</v>
      </c>
      <c r="Q22" s="3057"/>
      <c r="R22" s="3123">
        <f>ROUND(M22*N22*O22*P22/10000,0)</f>
        <v>0</v>
      </c>
      <c r="S22" s="3119"/>
      <c r="T22" s="3119"/>
      <c r="U22" s="3119"/>
      <c r="V22" s="3046"/>
    </row>
    <row r="23" spans="1:22" s="3050" customFormat="1" ht="13.2" customHeight="1">
      <c r="A23" s="3128">
        <v>1</v>
      </c>
      <c r="B23" s="3129" t="s">
        <v>3090</v>
      </c>
      <c r="C23" s="3130">
        <f>D6</f>
        <v>0</v>
      </c>
      <c r="D23" s="3131">
        <f>C23*(1+D24)</f>
        <v>0</v>
      </c>
      <c r="E23" s="3132">
        <f>D23*(1+E24)</f>
        <v>0</v>
      </c>
      <c r="F23" s="3133"/>
      <c r="G23" s="3134"/>
      <c r="H23" s="3045"/>
      <c r="I23" s="3046"/>
      <c r="J23" s="3461"/>
      <c r="K23" s="3463"/>
      <c r="L23" s="3080" t="s">
        <v>3091</v>
      </c>
      <c r="M23" s="3081"/>
      <c r="N23" s="3081"/>
      <c r="O23" s="3082"/>
      <c r="P23" s="3083">
        <v>365</v>
      </c>
      <c r="Q23" s="3057"/>
      <c r="R23" s="3123">
        <f>ROUND(M23*N23*O23*P23/10000,0)</f>
        <v>0</v>
      </c>
      <c r="S23" s="3038"/>
      <c r="T23" s="3038"/>
      <c r="U23" s="3038"/>
      <c r="V23" s="3046"/>
    </row>
    <row r="24" spans="1:22" s="3050" customFormat="1" ht="13.2" customHeight="1">
      <c r="A24" s="3135"/>
      <c r="B24" s="3136" t="s">
        <v>3092</v>
      </c>
      <c r="C24" s="3137"/>
      <c r="D24" s="3138"/>
      <c r="E24" s="3139"/>
      <c r="F24" s="3140"/>
      <c r="G24" s="3134"/>
      <c r="H24" s="3045"/>
      <c r="I24" s="3046"/>
      <c r="J24" s="3461"/>
      <c r="K24" s="3464"/>
      <c r="L24" s="3100" t="s">
        <v>3053</v>
      </c>
      <c r="M24" s="3101">
        <f>SUM(M21:M23)</f>
        <v>0</v>
      </c>
      <c r="N24" s="3101"/>
      <c r="O24" s="3102"/>
      <c r="P24" s="3115" t="s">
        <v>3117</v>
      </c>
      <c r="Q24" s="3082">
        <v>0</v>
      </c>
      <c r="R24" s="3116">
        <f>ROUND(IF(P24="按比例",R14*Q24,SUM(R21:R23)),0)</f>
        <v>0</v>
      </c>
      <c r="S24" s="3038"/>
      <c r="T24" s="3038"/>
      <c r="U24" s="3038"/>
      <c r="V24" s="3046"/>
    </row>
    <row r="25" spans="1:22" s="3147" customFormat="1" ht="13.2" customHeight="1">
      <c r="A25" s="3135"/>
      <c r="B25" s="3136"/>
      <c r="C25" s="3137"/>
      <c r="D25" s="3138"/>
      <c r="E25" s="3139"/>
      <c r="F25" s="3140"/>
      <c r="G25" s="3127"/>
      <c r="H25" s="3045"/>
      <c r="I25" s="3046"/>
      <c r="J25" s="3141">
        <v>4</v>
      </c>
      <c r="K25" s="3142" t="s">
        <v>3093</v>
      </c>
      <c r="L25" s="3143"/>
      <c r="M25" s="3143"/>
      <c r="N25" s="3143"/>
      <c r="O25" s="3143"/>
      <c r="P25" s="3144"/>
      <c r="Q25" s="3145">
        <v>0</v>
      </c>
      <c r="R25" s="3116">
        <f>ROUND(R14*Q25,0)</f>
        <v>0</v>
      </c>
      <c r="S25" s="3038"/>
      <c r="T25" s="3038"/>
      <c r="U25" s="3038"/>
      <c r="V25" s="3146"/>
    </row>
    <row r="26" spans="1:22" s="3147" customFormat="1" ht="13.2" customHeight="1">
      <c r="A26" s="3128">
        <v>2</v>
      </c>
      <c r="B26" s="3129" t="s">
        <v>3094</v>
      </c>
      <c r="C26" s="3130">
        <f>D7</f>
        <v>0</v>
      </c>
      <c r="D26" s="3131">
        <f>D23*D27</f>
        <v>0</v>
      </c>
      <c r="E26" s="3132">
        <f>E23*E27</f>
        <v>0</v>
      </c>
      <c r="F26" s="3133"/>
      <c r="G26" s="3134"/>
      <c r="H26" s="3045"/>
      <c r="I26" s="3046"/>
      <c r="J26" s="3471">
        <v>5</v>
      </c>
      <c r="K26" s="3148" t="s">
        <v>3095</v>
      </c>
      <c r="L26" s="3149"/>
      <c r="M26" s="3150"/>
      <c r="N26" s="3151" t="s">
        <v>3096</v>
      </c>
      <c r="O26" s="3151" t="s">
        <v>3097</v>
      </c>
      <c r="P26" s="3152" t="s">
        <v>3098</v>
      </c>
      <c r="Q26" s="3152" t="s">
        <v>3099</v>
      </c>
      <c r="R26" s="3055" t="s">
        <v>3024</v>
      </c>
      <c r="S26" s="3153"/>
      <c r="T26" s="3153"/>
      <c r="U26" s="3153"/>
      <c r="V26" s="3146"/>
    </row>
    <row r="27" spans="1:22" s="3050" customFormat="1" ht="13.2" customHeight="1">
      <c r="A27" s="3135"/>
      <c r="B27" s="3136" t="s">
        <v>3100</v>
      </c>
      <c r="C27" s="3154" t="e">
        <f>E7</f>
        <v>#DIV/0!</v>
      </c>
      <c r="D27" s="3138"/>
      <c r="E27" s="3139"/>
      <c r="F27" s="3140"/>
      <c r="G27" s="3134"/>
      <c r="H27" s="3155"/>
      <c r="I27" s="3146"/>
      <c r="J27" s="3472"/>
      <c r="K27" s="3156"/>
      <c r="L27" s="3157"/>
      <c r="M27" s="3158"/>
      <c r="N27" s="3159"/>
      <c r="O27" s="3159"/>
      <c r="P27" s="3159"/>
      <c r="Q27" s="3160"/>
      <c r="R27" s="3116">
        <f>ROUND(O27*N27*P27*(1-Q27)/10000,0)</f>
        <v>0</v>
      </c>
      <c r="S27" s="3038"/>
      <c r="T27" s="3038"/>
      <c r="U27" s="3038"/>
      <c r="V27" s="3046"/>
    </row>
    <row r="28" spans="1:22" s="3147" customFormat="1" ht="13.2" customHeight="1" thickBot="1">
      <c r="A28" s="3135"/>
      <c r="B28" s="3136"/>
      <c r="C28" s="3154"/>
      <c r="D28" s="3138"/>
      <c r="E28" s="3139" t="s">
        <v>3101</v>
      </c>
      <c r="F28" s="3140"/>
      <c r="G28" s="3127"/>
      <c r="H28" s="3155"/>
      <c r="I28" s="3146"/>
      <c r="J28" s="3161">
        <v>6</v>
      </c>
      <c r="K28" s="3162" t="s">
        <v>3102</v>
      </c>
      <c r="L28" s="3163" t="s">
        <v>3103</v>
      </c>
      <c r="M28" s="3164"/>
      <c r="N28" s="3163" t="s">
        <v>3104</v>
      </c>
      <c r="O28" s="3165"/>
      <c r="P28" s="3163" t="s">
        <v>3105</v>
      </c>
      <c r="Q28" s="3166">
        <v>1.4999999999999999E-2</v>
      </c>
      <c r="R28" s="3167"/>
      <c r="S28" s="3119"/>
      <c r="T28" s="3119"/>
      <c r="U28" s="3119"/>
      <c r="V28" s="3146"/>
    </row>
    <row r="29" spans="1:22" s="3147" customFormat="1" ht="13.2" customHeight="1">
      <c r="A29" s="3128">
        <v>3</v>
      </c>
      <c r="B29" s="3129" t="s">
        <v>3106</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2" customHeight="1" thickBot="1">
      <c r="A30" s="3135"/>
      <c r="B30" s="3136" t="s">
        <v>3100</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2" customHeight="1">
      <c r="A31" s="3135"/>
      <c r="B31" s="3136"/>
      <c r="C31" s="3169"/>
      <c r="D31" s="3168"/>
      <c r="E31" s="3099"/>
      <c r="F31" s="3140"/>
      <c r="G31" s="3127"/>
      <c r="H31" s="3155"/>
      <c r="I31" s="3146"/>
      <c r="J31" s="3035" t="s">
        <v>3107</v>
      </c>
      <c r="K31" s="3036"/>
      <c r="L31" s="3036"/>
      <c r="M31" s="3036"/>
      <c r="N31" s="3036"/>
      <c r="O31" s="3036"/>
      <c r="P31" s="3036"/>
      <c r="Q31" s="3036"/>
      <c r="R31" s="3037"/>
      <c r="S31" s="3119"/>
      <c r="T31" s="3038"/>
      <c r="U31" s="3038"/>
      <c r="V31" s="3146"/>
    </row>
    <row r="32" spans="1:22" s="3147" customFormat="1" ht="13.2" customHeight="1">
      <c r="A32" s="3128">
        <v>4</v>
      </c>
      <c r="B32" s="3129" t="s">
        <v>3108</v>
      </c>
      <c r="C32" s="3130">
        <f>C23-C26-C29</f>
        <v>0</v>
      </c>
      <c r="D32" s="3131">
        <f>D23-D26-D29</f>
        <v>0</v>
      </c>
      <c r="E32" s="3132">
        <f>E23-E26-E29</f>
        <v>0</v>
      </c>
      <c r="F32" s="3133"/>
      <c r="G32" s="3127"/>
      <c r="H32" s="3045"/>
      <c r="I32" s="3046"/>
      <c r="J32" s="3454" t="s">
        <v>3000</v>
      </c>
      <c r="K32" s="3455"/>
      <c r="L32" s="3047" t="s">
        <v>3001</v>
      </c>
      <c r="M32" s="3047" t="s">
        <v>3002</v>
      </c>
      <c r="N32" s="3047" t="s">
        <v>3003</v>
      </c>
      <c r="O32" s="3047" t="s">
        <v>3004</v>
      </c>
      <c r="P32" s="3047" t="s">
        <v>3005</v>
      </c>
      <c r="Q32" s="3048" t="s">
        <v>3006</v>
      </c>
      <c r="R32" s="3170" t="s">
        <v>3007</v>
      </c>
      <c r="S32" s="3119"/>
      <c r="T32" s="3038"/>
      <c r="U32" s="3038"/>
      <c r="V32" s="3146"/>
    </row>
    <row r="33" spans="1:23" s="3050" customFormat="1" ht="13.2" customHeight="1">
      <c r="A33" s="3128"/>
      <c r="B33" s="3129"/>
      <c r="C33" s="3130"/>
      <c r="D33" s="3171"/>
      <c r="E33" s="3172"/>
      <c r="F33" s="3133"/>
      <c r="G33" s="3127"/>
      <c r="H33" s="3155"/>
      <c r="I33" s="3146"/>
      <c r="J33" s="3456" t="s">
        <v>3010</v>
      </c>
      <c r="K33" s="3457"/>
      <c r="L33" s="3053"/>
      <c r="M33" s="3053"/>
      <c r="N33" s="3053"/>
      <c r="O33" s="3053"/>
      <c r="P33" s="3053"/>
      <c r="Q33" s="3054"/>
      <c r="R33" s="3173">
        <f>SUM(L33:Q33)</f>
        <v>0</v>
      </c>
      <c r="S33" s="3119"/>
      <c r="T33" s="3038"/>
      <c r="U33" s="3038"/>
      <c r="V33" s="3046"/>
    </row>
    <row r="34" spans="1:23" s="3050" customFormat="1" ht="13.2" customHeight="1">
      <c r="A34" s="3128">
        <v>5</v>
      </c>
      <c r="B34" s="3129" t="s">
        <v>3109</v>
      </c>
      <c r="C34" s="3174"/>
      <c r="D34" s="3175"/>
      <c r="E34" s="3176"/>
      <c r="F34" s="3133"/>
      <c r="G34" s="3127"/>
      <c r="H34" s="3155"/>
      <c r="I34" s="3146"/>
      <c r="J34" s="3456" t="s">
        <v>3012</v>
      </c>
      <c r="K34" s="3457"/>
      <c r="L34" s="3058"/>
      <c r="M34" s="3058"/>
      <c r="N34" s="3058"/>
      <c r="O34" s="3058"/>
      <c r="P34" s="3058"/>
      <c r="Q34" s="3059"/>
      <c r="R34" s="3177">
        <f>SUM(L34:Q34)</f>
        <v>0</v>
      </c>
      <c r="S34" s="3119"/>
      <c r="T34" s="3038"/>
      <c r="U34" s="3038" t="e">
        <f>ROUND(R35*10000/365/R33,1)</f>
        <v>#DIV/0!</v>
      </c>
      <c r="V34" s="3046"/>
    </row>
    <row r="35" spans="1:23" s="3050" customFormat="1" ht="13.2" customHeight="1">
      <c r="A35" s="3128">
        <v>6</v>
      </c>
      <c r="B35" s="3129" t="s">
        <v>3110</v>
      </c>
      <c r="C35" s="3178"/>
      <c r="D35" s="3179"/>
      <c r="E35" s="3180"/>
      <c r="F35" s="3133"/>
      <c r="G35" s="3181"/>
      <c r="H35" s="3045"/>
      <c r="I35" s="3146"/>
      <c r="J35" s="3064" t="s">
        <v>3014</v>
      </c>
      <c r="K35" s="3065"/>
      <c r="L35" s="3065"/>
      <c r="M35" s="3066"/>
      <c r="N35" s="3066"/>
      <c r="O35" s="3066"/>
      <c r="P35" s="3066"/>
      <c r="Q35" s="3066"/>
      <c r="R35" s="3182">
        <f>R40+R41+R43</f>
        <v>0</v>
      </c>
      <c r="S35" s="3119"/>
      <c r="T35" s="3038" t="s">
        <v>3015</v>
      </c>
      <c r="U35" s="3038"/>
      <c r="V35" s="3046"/>
    </row>
    <row r="36" spans="1:23" s="3050" customFormat="1" ht="13.2" customHeight="1" thickBot="1">
      <c r="A36" s="3128">
        <v>7</v>
      </c>
      <c r="B36" s="3183" t="s">
        <v>3111</v>
      </c>
      <c r="C36" s="3184"/>
      <c r="D36" s="3185"/>
      <c r="E36" s="3186"/>
      <c r="F36" s="3187">
        <f>C36+D36+E36</f>
        <v>0</v>
      </c>
      <c r="G36" s="3127"/>
      <c r="H36" s="3045"/>
      <c r="I36" s="3046"/>
      <c r="J36" s="3461">
        <v>1</v>
      </c>
      <c r="K36" s="3462" t="s">
        <v>3112</v>
      </c>
      <c r="L36" s="3071"/>
      <c r="M36" s="3072"/>
      <c r="N36" s="3072"/>
      <c r="O36" s="3072"/>
      <c r="P36" s="3072"/>
      <c r="Q36" s="3072"/>
      <c r="R36" s="3055" t="s">
        <v>3024</v>
      </c>
      <c r="S36" s="3119"/>
      <c r="T36" s="3038" t="s">
        <v>3025</v>
      </c>
      <c r="U36" s="3038"/>
      <c r="V36" s="3046"/>
    </row>
    <row r="37" spans="1:23" s="3050" customFormat="1" ht="13.2" customHeight="1">
      <c r="A37" s="3128"/>
      <c r="B37" s="3129"/>
      <c r="C37" s="3129"/>
      <c r="D37" s="3129"/>
      <c r="E37" s="3129"/>
      <c r="F37" s="3133"/>
      <c r="G37" s="3127"/>
      <c r="H37" s="3045"/>
      <c r="I37" s="3046"/>
      <c r="J37" s="3461"/>
      <c r="K37" s="3463"/>
      <c r="L37" s="3080"/>
      <c r="M37" s="3081"/>
      <c r="N37" s="3057"/>
      <c r="O37" s="3082"/>
      <c r="P37" s="3082"/>
      <c r="Q37" s="3083"/>
      <c r="R37" s="3084"/>
      <c r="S37" s="3119"/>
      <c r="T37" s="3038" t="s">
        <v>3028</v>
      </c>
      <c r="U37" s="3038"/>
      <c r="V37" s="3046"/>
    </row>
    <row r="38" spans="1:23" s="3050" customFormat="1" ht="13.2" customHeight="1">
      <c r="A38" s="3128">
        <v>8</v>
      </c>
      <c r="B38" s="3129"/>
      <c r="C38" s="3086" t="e">
        <f>ROUND(C32*(1-((1+C35)/(1+C34))^C36)/(C34-C35),0)</f>
        <v>#DIV/0!</v>
      </c>
      <c r="D38" s="3086">
        <f>IF(D23=0,0,ROUND(D32*(1-((1+D35)/(1+D34))^D36)/(D34-D35),0))</f>
        <v>0</v>
      </c>
      <c r="E38" s="3086">
        <f>IF(E23=0,0,ROUND(E32*(1-((1+E35)/(1+E34))^E36)/(E34-E35),0))</f>
        <v>0</v>
      </c>
      <c r="F38" s="3133"/>
      <c r="G38" s="3127"/>
      <c r="H38" s="3045"/>
      <c r="I38" s="3046"/>
      <c r="J38" s="3461"/>
      <c r="K38" s="3463"/>
      <c r="L38" s="3080"/>
      <c r="M38" s="3081"/>
      <c r="N38" s="3057"/>
      <c r="O38" s="3082"/>
      <c r="P38" s="3082"/>
      <c r="Q38" s="3083"/>
      <c r="R38" s="3084"/>
      <c r="S38" s="3119"/>
      <c r="T38" s="3038" t="s">
        <v>3035</v>
      </c>
      <c r="U38" s="3038"/>
      <c r="V38" s="3046"/>
    </row>
    <row r="39" spans="1:23" s="3050" customFormat="1" ht="13.2" customHeight="1">
      <c r="A39" s="3128">
        <v>9</v>
      </c>
      <c r="B39" s="3129" t="s">
        <v>3113</v>
      </c>
      <c r="C39" s="3094" t="e">
        <f>C38</f>
        <v>#DIV/0!</v>
      </c>
      <c r="D39" s="3129">
        <f>D38/(1+D34)^C36</f>
        <v>0</v>
      </c>
      <c r="E39" s="3129">
        <f>E38/(1+E34)^(C36+D36)</f>
        <v>0</v>
      </c>
      <c r="F39" s="3133"/>
      <c r="G39" s="3188"/>
      <c r="H39" s="3045"/>
      <c r="I39" s="3046"/>
      <c r="J39" s="3461"/>
      <c r="K39" s="3463"/>
      <c r="L39" s="3080"/>
      <c r="M39" s="3081"/>
      <c r="N39" s="3057"/>
      <c r="O39" s="3082"/>
      <c r="P39" s="3082"/>
      <c r="Q39" s="3083"/>
      <c r="R39" s="3084"/>
      <c r="S39" s="3119"/>
      <c r="T39" s="3038"/>
      <c r="U39" s="3038"/>
      <c r="V39" s="3046"/>
    </row>
    <row r="40" spans="1:23" s="3050" customFormat="1" ht="13.2" customHeight="1">
      <c r="A40" s="3189">
        <v>10</v>
      </c>
      <c r="B40" s="3129" t="s">
        <v>3114</v>
      </c>
      <c r="C40" s="3190" t="e">
        <f>C39+D39+E39</f>
        <v>#DIV/0!</v>
      </c>
      <c r="D40" s="3191"/>
      <c r="E40" s="3191"/>
      <c r="F40" s="3192"/>
      <c r="G40" s="3127"/>
      <c r="H40" s="3045"/>
      <c r="I40" s="3046"/>
      <c r="J40" s="3461"/>
      <c r="K40" s="3464"/>
      <c r="L40" s="3100" t="s">
        <v>3053</v>
      </c>
      <c r="M40" s="3101"/>
      <c r="N40" s="3101"/>
      <c r="O40" s="3102"/>
      <c r="P40" s="3102"/>
      <c r="Q40" s="3103"/>
      <c r="R40" s="3049">
        <f>SUM(R37:R39)</f>
        <v>0</v>
      </c>
      <c r="S40" s="3119"/>
      <c r="T40" s="3038"/>
      <c r="U40" s="3038"/>
      <c r="V40" s="3046"/>
    </row>
    <row r="41" spans="1:23" s="3050" customFormat="1" ht="13.2" customHeight="1" thickBot="1">
      <c r="A41" s="3193">
        <v>11</v>
      </c>
      <c r="B41" s="3194" t="s">
        <v>3115</v>
      </c>
      <c r="C41" s="3194" t="e">
        <f>ROUND(C40*10000/B4,0)</f>
        <v>#DIV/0!</v>
      </c>
      <c r="D41" s="3195"/>
      <c r="E41" s="3195"/>
      <c r="F41" s="3196"/>
      <c r="G41" s="3197"/>
      <c r="H41" s="3045"/>
      <c r="I41" s="3046"/>
      <c r="J41" s="3141">
        <v>2</v>
      </c>
      <c r="K41" s="3142" t="s">
        <v>3093</v>
      </c>
      <c r="L41" s="3143"/>
      <c r="M41" s="3143"/>
      <c r="N41" s="3143"/>
      <c r="O41" s="3143"/>
      <c r="P41" s="3144"/>
      <c r="Q41" s="3145"/>
      <c r="R41" s="3116">
        <f>ROUND(R40*Q41,0)</f>
        <v>0</v>
      </c>
      <c r="S41" s="3119"/>
      <c r="T41" s="3038"/>
      <c r="U41" s="3153"/>
      <c r="V41" s="3046"/>
    </row>
    <row r="42" spans="1:23" s="3050" customFormat="1" ht="13.2" customHeight="1">
      <c r="G42" s="3197"/>
      <c r="H42" s="3045"/>
      <c r="I42" s="3046"/>
      <c r="J42" s="3471">
        <v>3</v>
      </c>
      <c r="K42" s="3148" t="s">
        <v>3095</v>
      </c>
      <c r="L42" s="3149"/>
      <c r="M42" s="3150"/>
      <c r="N42" s="3151" t="s">
        <v>3096</v>
      </c>
      <c r="O42" s="3151" t="s">
        <v>3097</v>
      </c>
      <c r="P42" s="3152" t="s">
        <v>3098</v>
      </c>
      <c r="Q42" s="3152" t="s">
        <v>3099</v>
      </c>
      <c r="R42" s="3055" t="s">
        <v>3024</v>
      </c>
      <c r="S42" s="3153"/>
      <c r="T42" s="3153"/>
      <c r="U42" s="3038"/>
      <c r="V42" s="3046"/>
    </row>
    <row r="43" spans="1:23" ht="13.2" customHeight="1">
      <c r="A43" s="3050"/>
      <c r="B43" s="3050"/>
      <c r="C43" s="3050"/>
      <c r="D43" s="3050"/>
      <c r="E43" s="3050"/>
      <c r="F43" s="3050"/>
      <c r="I43" s="3033"/>
      <c r="J43" s="3472"/>
      <c r="K43" s="3156"/>
      <c r="L43" s="3157"/>
      <c r="M43" s="3158"/>
      <c r="N43" s="3081"/>
      <c r="O43" s="3081"/>
      <c r="P43" s="3081"/>
      <c r="Q43" s="3145"/>
      <c r="R43" s="3116">
        <f>ROUND(O43*N43*P43*(1-Q43)/10000,0)</f>
        <v>0</v>
      </c>
      <c r="S43" s="3119"/>
      <c r="T43" s="3038"/>
      <c r="V43" s="3199"/>
      <c r="W43" s="3200"/>
    </row>
    <row r="44" spans="1:23" ht="13.2" customHeight="1" thickBot="1">
      <c r="J44" s="3161">
        <v>6</v>
      </c>
      <c r="K44" s="3162" t="s">
        <v>3102</v>
      </c>
      <c r="L44" s="3201" t="s">
        <v>3103</v>
      </c>
      <c r="M44" s="3164"/>
      <c r="N44" s="3201" t="s">
        <v>3104</v>
      </c>
      <c r="O44" s="3164"/>
      <c r="P44" s="3201" t="s">
        <v>3105</v>
      </c>
      <c r="Q44" s="3166">
        <v>1.4999999999999999E-2</v>
      </c>
      <c r="R44" s="31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11501.220000000001</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4.4">
      <c r="A4" s="361" t="s">
        <v>2295</v>
      </c>
      <c r="B4" s="362"/>
      <c r="C4" s="3491" t="s">
        <v>2296</v>
      </c>
      <c r="D4" s="3492"/>
      <c r="E4" s="3493" t="s">
        <v>2297</v>
      </c>
      <c r="F4" s="3494"/>
      <c r="G4" s="3491" t="s">
        <v>2298</v>
      </c>
      <c r="H4" s="3492"/>
      <c r="I4" s="3491" t="s">
        <v>2299</v>
      </c>
      <c r="J4" s="3492"/>
      <c r="K4" s="2045" t="s">
        <v>2300</v>
      </c>
      <c r="L4" s="2910"/>
      <c r="M4" s="2911"/>
      <c r="N4" s="2911"/>
      <c r="O4" s="2911"/>
      <c r="P4" s="3495" t="s">
        <v>2301</v>
      </c>
      <c r="Q4" s="3496"/>
      <c r="R4" s="3478" t="s">
        <v>2297</v>
      </c>
      <c r="S4" s="3479"/>
      <c r="T4" s="3478" t="s">
        <v>2298</v>
      </c>
      <c r="U4" s="3479"/>
      <c r="V4" s="3503" t="s">
        <v>2299</v>
      </c>
      <c r="W4" s="3503"/>
      <c r="X4" s="1509"/>
      <c r="Y4" s="3478" t="s">
        <v>2301</v>
      </c>
      <c r="Z4" s="3479"/>
      <c r="AA4" s="3473" t="s">
        <v>2297</v>
      </c>
      <c r="AB4" s="3473" t="s">
        <v>2298</v>
      </c>
      <c r="AC4" s="3473" t="s">
        <v>2299</v>
      </c>
    </row>
    <row r="5" spans="1:29">
      <c r="A5" s="364"/>
      <c r="B5" s="365"/>
      <c r="C5" s="3484" t="s">
        <v>2302</v>
      </c>
      <c r="D5" s="3485"/>
      <c r="E5" s="3482" t="s">
        <v>2303</v>
      </c>
      <c r="F5" s="3483"/>
      <c r="G5" s="3484" t="s">
        <v>2304</v>
      </c>
      <c r="H5" s="3485"/>
      <c r="I5" s="3484" t="s">
        <v>2305</v>
      </c>
      <c r="J5" s="3485"/>
      <c r="K5" s="2046"/>
      <c r="L5" s="2910"/>
      <c r="M5" s="2911"/>
      <c r="N5" s="2911"/>
      <c r="O5" s="2911"/>
      <c r="P5" s="3497"/>
      <c r="Q5" s="3498"/>
      <c r="R5" s="3480"/>
      <c r="S5" s="3481"/>
      <c r="T5" s="3480"/>
      <c r="U5" s="3481"/>
      <c r="V5" s="3503"/>
      <c r="W5" s="3503"/>
      <c r="X5" s="1509"/>
      <c r="Y5" s="3480"/>
      <c r="Z5" s="3481"/>
      <c r="AA5" s="3474"/>
      <c r="AB5" s="3474"/>
      <c r="AC5" s="3474"/>
    </row>
    <row r="6" spans="1:29" ht="15" thickBot="1">
      <c r="A6" s="366"/>
      <c r="B6" s="367"/>
      <c r="C6" s="3486" t="s">
        <v>2306</v>
      </c>
      <c r="D6" s="3487"/>
      <c r="E6" s="3488" t="s">
        <v>2306</v>
      </c>
      <c r="F6" s="3489"/>
      <c r="G6" s="3486" t="s">
        <v>2306</v>
      </c>
      <c r="H6" s="3487"/>
      <c r="I6" s="3486" t="s">
        <v>2306</v>
      </c>
      <c r="J6" s="3487"/>
      <c r="K6" s="2046" t="s">
        <v>2307</v>
      </c>
      <c r="L6" s="2910"/>
      <c r="M6" s="2911"/>
      <c r="N6" s="2911"/>
      <c r="O6" s="2911"/>
      <c r="P6" s="3499"/>
      <c r="Q6" s="3500"/>
      <c r="R6" s="3480"/>
      <c r="S6" s="3481"/>
      <c r="T6" s="3501"/>
      <c r="U6" s="3502"/>
      <c r="V6" s="3503"/>
      <c r="W6" s="3503"/>
      <c r="X6" s="1509"/>
      <c r="Y6" s="3501"/>
      <c r="Z6" s="3502"/>
      <c r="AA6" s="3475"/>
      <c r="AB6" s="3475"/>
      <c r="AC6" s="3475"/>
    </row>
    <row r="7" spans="1:29" s="113" customFormat="1" ht="15" thickBot="1">
      <c r="A7" s="368" t="s">
        <v>2308</v>
      </c>
      <c r="B7" s="369"/>
      <c r="C7" s="370">
        <f>'数据-取费表'!B2</f>
        <v>44572</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76" t="s">
        <v>2309</v>
      </c>
      <c r="Q7" s="3504"/>
      <c r="R7" s="710" t="s">
        <v>23</v>
      </c>
      <c r="S7" s="711">
        <f t="shared" ref="S7:S15" si="0">F7</f>
        <v>0</v>
      </c>
      <c r="T7" s="710" t="s">
        <v>23</v>
      </c>
      <c r="U7" s="711">
        <f t="shared" ref="U7:U15" si="1">H7</f>
        <v>0</v>
      </c>
      <c r="V7" s="710" t="s">
        <v>23</v>
      </c>
      <c r="W7" s="711">
        <f t="shared" ref="W7:W15" si="2">J7</f>
        <v>0</v>
      </c>
      <c r="X7" s="712"/>
      <c r="Y7" s="3476" t="s">
        <v>2309</v>
      </c>
      <c r="Z7" s="3477"/>
      <c r="AA7" s="713" t="e">
        <f>D7/F7</f>
        <v>#DIV/0!</v>
      </c>
      <c r="AB7" s="713" t="e">
        <f>D7/H7</f>
        <v>#DIV/0!</v>
      </c>
      <c r="AC7" s="713" t="e">
        <f>D7/J7</f>
        <v>#DIV/0!</v>
      </c>
    </row>
    <row r="8" spans="1:29" s="113" customFormat="1" ht="1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76" t="s">
        <v>2312</v>
      </c>
      <c r="Q8" s="3477"/>
      <c r="R8" s="710" t="s">
        <v>23</v>
      </c>
      <c r="S8" s="711">
        <f t="shared" si="0"/>
        <v>0</v>
      </c>
      <c r="T8" s="710" t="s">
        <v>23</v>
      </c>
      <c r="U8" s="711">
        <f t="shared" si="1"/>
        <v>0</v>
      </c>
      <c r="V8" s="710" t="s">
        <v>23</v>
      </c>
      <c r="W8" s="711">
        <f t="shared" si="2"/>
        <v>0</v>
      </c>
      <c r="X8" s="712"/>
      <c r="Y8" s="3476" t="s">
        <v>2312</v>
      </c>
      <c r="Z8" s="3477"/>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90"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90"/>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90"/>
      <c r="Q11" s="1497" t="str">
        <f t="shared" si="6"/>
        <v>容积率</v>
      </c>
      <c r="R11" s="710" t="s">
        <v>21</v>
      </c>
      <c r="S11" s="711" t="e">
        <f t="shared" si="0"/>
        <v>#N/A</v>
      </c>
      <c r="T11" s="710" t="s">
        <v>21</v>
      </c>
      <c r="U11" s="711" t="e">
        <f t="shared" si="1"/>
        <v>#N/A</v>
      </c>
      <c r="V11" s="710" t="s">
        <v>21</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90"/>
      <c r="Q12" s="1497">
        <f t="shared" si="6"/>
        <v>111</v>
      </c>
      <c r="R12" s="710" t="s">
        <v>21</v>
      </c>
      <c r="S12" s="711">
        <f t="shared" si="0"/>
        <v>100</v>
      </c>
      <c r="T12" s="710" t="s">
        <v>21</v>
      </c>
      <c r="U12" s="711">
        <f t="shared" si="1"/>
        <v>100</v>
      </c>
      <c r="V12" s="710" t="s">
        <v>21</v>
      </c>
      <c r="W12" s="711">
        <f t="shared" si="2"/>
        <v>100</v>
      </c>
      <c r="X12" s="712"/>
      <c r="Y12" s="339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90"/>
      <c r="Q13" s="1497">
        <f t="shared" si="6"/>
        <v>111</v>
      </c>
      <c r="R13" s="710" t="s">
        <v>21</v>
      </c>
      <c r="S13" s="711">
        <f t="shared" si="0"/>
        <v>100</v>
      </c>
      <c r="T13" s="710" t="s">
        <v>21</v>
      </c>
      <c r="U13" s="711">
        <f t="shared" si="1"/>
        <v>100</v>
      </c>
      <c r="V13" s="710" t="s">
        <v>21</v>
      </c>
      <c r="W13" s="711">
        <f t="shared" si="2"/>
        <v>100</v>
      </c>
      <c r="X13" s="712"/>
      <c r="Y13" s="3394"/>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90"/>
      <c r="Q14" s="1497">
        <f t="shared" si="6"/>
        <v>111</v>
      </c>
      <c r="R14" s="710" t="s">
        <v>21</v>
      </c>
      <c r="S14" s="711">
        <f t="shared" si="0"/>
        <v>100</v>
      </c>
      <c r="T14" s="710" t="s">
        <v>21</v>
      </c>
      <c r="U14" s="711">
        <f t="shared" si="1"/>
        <v>100</v>
      </c>
      <c r="V14" s="710" t="s">
        <v>21</v>
      </c>
      <c r="W14" s="711">
        <f t="shared" si="2"/>
        <v>100</v>
      </c>
      <c r="X14" s="712"/>
      <c r="Y14" s="3394"/>
      <c r="Z14" s="55">
        <f t="shared" si="7"/>
        <v>111</v>
      </c>
      <c r="AA14" s="713">
        <f t="shared" si="3"/>
        <v>1</v>
      </c>
      <c r="AB14" s="713">
        <f t="shared" si="4"/>
        <v>1</v>
      </c>
      <c r="AC14" s="713">
        <f t="shared" si="5"/>
        <v>1</v>
      </c>
    </row>
    <row r="15" spans="1:29" ht="15">
      <c r="A15" s="399" t="s">
        <v>2319</v>
      </c>
      <c r="B15" s="65" t="s">
        <v>1882</v>
      </c>
      <c r="C15" s="2052"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517" t="s">
        <v>2320</v>
      </c>
      <c r="Q15" s="1506" t="str">
        <f t="shared" si="6"/>
        <v>居住社区成熟度</v>
      </c>
      <c r="R15" s="714" t="s">
        <v>21</v>
      </c>
      <c r="S15" s="715">
        <f t="shared" si="0"/>
        <v>100</v>
      </c>
      <c r="T15" s="714" t="s">
        <v>21</v>
      </c>
      <c r="U15" s="715">
        <f t="shared" si="1"/>
        <v>100</v>
      </c>
      <c r="V15" s="714" t="s">
        <v>21</v>
      </c>
      <c r="W15" s="715">
        <f t="shared" si="2"/>
        <v>100</v>
      </c>
      <c r="X15" s="1509"/>
      <c r="Y15" s="3510"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518"/>
      <c r="Q16" s="1506"/>
      <c r="R16" s="714"/>
      <c r="S16" s="715"/>
      <c r="T16" s="714"/>
      <c r="U16" s="715"/>
      <c r="V16" s="714"/>
      <c r="W16" s="715"/>
      <c r="X16" s="1509"/>
      <c r="Y16" s="3511"/>
      <c r="Z16" s="1510"/>
      <c r="AA16" s="1507">
        <v>1</v>
      </c>
      <c r="AB16" s="1507">
        <v>1</v>
      </c>
      <c r="AC16" s="1507">
        <v>1</v>
      </c>
    </row>
    <row r="17" spans="1:29" ht="15">
      <c r="A17" s="387"/>
      <c r="B17" s="410" t="s">
        <v>1884</v>
      </c>
      <c r="C17" s="2056"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518"/>
      <c r="Q17" s="1506" t="str">
        <f>B17</f>
        <v>交通便捷度</v>
      </c>
      <c r="R17" s="714" t="s">
        <v>21</v>
      </c>
      <c r="S17" s="715">
        <f>F17</f>
        <v>100</v>
      </c>
      <c r="T17" s="714" t="s">
        <v>21</v>
      </c>
      <c r="U17" s="715">
        <f>H17</f>
        <v>100</v>
      </c>
      <c r="V17" s="714" t="s">
        <v>21</v>
      </c>
      <c r="W17" s="715">
        <f>J17</f>
        <v>100</v>
      </c>
      <c r="X17" s="1509"/>
      <c r="Y17" s="351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518"/>
      <c r="Q18" s="1506"/>
      <c r="R18" s="714"/>
      <c r="S18" s="715"/>
      <c r="T18" s="714"/>
      <c r="U18" s="715"/>
      <c r="V18" s="714"/>
      <c r="W18" s="715"/>
      <c r="X18" s="1509"/>
      <c r="Y18" s="3511"/>
      <c r="Z18" s="1510"/>
      <c r="AA18" s="1507">
        <v>1</v>
      </c>
      <c r="AB18" s="1507">
        <v>1</v>
      </c>
      <c r="AC18" s="1507">
        <v>1</v>
      </c>
    </row>
    <row r="19" spans="1:29" ht="15">
      <c r="A19" s="387"/>
      <c r="B19" s="410" t="s">
        <v>1883</v>
      </c>
      <c r="C19" s="2056"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518"/>
      <c r="Q19" s="1506" t="str">
        <f>B19</f>
        <v>公共配套设施</v>
      </c>
      <c r="R19" s="714" t="s">
        <v>21</v>
      </c>
      <c r="S19" s="715">
        <f>F19</f>
        <v>100</v>
      </c>
      <c r="T19" s="714" t="s">
        <v>21</v>
      </c>
      <c r="U19" s="715">
        <f>H19</f>
        <v>100</v>
      </c>
      <c r="V19" s="714" t="s">
        <v>21</v>
      </c>
      <c r="W19" s="715">
        <f>J19</f>
        <v>100</v>
      </c>
      <c r="X19" s="1509"/>
      <c r="Y19" s="351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518"/>
      <c r="Q20" s="1506"/>
      <c r="R20" s="714"/>
      <c r="S20" s="715"/>
      <c r="T20" s="714"/>
      <c r="U20" s="715"/>
      <c r="V20" s="714"/>
      <c r="W20" s="715"/>
      <c r="X20" s="1509"/>
      <c r="Y20" s="3511"/>
      <c r="Z20" s="1510"/>
      <c r="AA20" s="1507">
        <v>1</v>
      </c>
      <c r="AB20" s="1507">
        <v>1</v>
      </c>
      <c r="AC20" s="1507">
        <v>1</v>
      </c>
    </row>
    <row r="21" spans="1:29" ht="15">
      <c r="A21" s="387"/>
      <c r="B21" s="1265" t="s">
        <v>1885</v>
      </c>
      <c r="C21" s="205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518"/>
      <c r="Q21" s="1506" t="str">
        <f>B21</f>
        <v>基础设施水平</v>
      </c>
      <c r="R21" s="714" t="s">
        <v>17</v>
      </c>
      <c r="S21" s="715">
        <f>F21</f>
        <v>100</v>
      </c>
      <c r="T21" s="714" t="s">
        <v>17</v>
      </c>
      <c r="U21" s="715">
        <f>H21</f>
        <v>100</v>
      </c>
      <c r="V21" s="714" t="s">
        <v>17</v>
      </c>
      <c r="W21" s="715">
        <f>J21</f>
        <v>100</v>
      </c>
      <c r="X21" s="1509"/>
      <c r="Y21" s="351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518"/>
      <c r="Q22" s="1506"/>
      <c r="R22" s="714"/>
      <c r="S22" s="715"/>
      <c r="T22" s="714"/>
      <c r="U22" s="715"/>
      <c r="V22" s="714"/>
      <c r="W22" s="715"/>
      <c r="X22" s="1509"/>
      <c r="Y22" s="3511"/>
      <c r="Z22" s="1510"/>
      <c r="AA22" s="1507">
        <v>1</v>
      </c>
      <c r="AB22" s="1507">
        <v>1</v>
      </c>
      <c r="AC22" s="1507">
        <v>1</v>
      </c>
    </row>
    <row r="23" spans="1:29" ht="15">
      <c r="A23" s="387"/>
      <c r="B23" s="410" t="s">
        <v>1886</v>
      </c>
      <c r="C23" s="2056"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518"/>
      <c r="Q23" s="1506" t="str">
        <f>B23</f>
        <v>自然及人文环境</v>
      </c>
      <c r="R23" s="714" t="s">
        <v>21</v>
      </c>
      <c r="S23" s="715">
        <f>F23</f>
        <v>100</v>
      </c>
      <c r="T23" s="714" t="s">
        <v>21</v>
      </c>
      <c r="U23" s="715">
        <f>H23</f>
        <v>100</v>
      </c>
      <c r="V23" s="714" t="s">
        <v>21</v>
      </c>
      <c r="W23" s="715">
        <f>J23</f>
        <v>100</v>
      </c>
      <c r="X23" s="1509"/>
      <c r="Y23" s="351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518"/>
      <c r="Q24" s="1506"/>
      <c r="R24" s="714"/>
      <c r="S24" s="715"/>
      <c r="T24" s="714"/>
      <c r="U24" s="715"/>
      <c r="V24" s="714"/>
      <c r="W24" s="715"/>
      <c r="X24" s="1509"/>
      <c r="Y24" s="3511"/>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51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11"/>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518"/>
      <c r="Q26" s="1506" t="str">
        <f t="shared" si="11"/>
        <v>朝向</v>
      </c>
      <c r="R26" s="714" t="s">
        <v>21</v>
      </c>
      <c r="S26" s="715">
        <f t="shared" si="12"/>
        <v>100</v>
      </c>
      <c r="T26" s="714" t="s">
        <v>21</v>
      </c>
      <c r="U26" s="715">
        <f t="shared" si="13"/>
        <v>100</v>
      </c>
      <c r="V26" s="714" t="s">
        <v>21</v>
      </c>
      <c r="W26" s="715">
        <f t="shared" si="14"/>
        <v>100</v>
      </c>
      <c r="X26" s="1509"/>
      <c r="Y26" s="351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518"/>
      <c r="Q27" s="1497">
        <f t="shared" si="11"/>
        <v>111</v>
      </c>
      <c r="R27" s="710" t="s">
        <v>21</v>
      </c>
      <c r="S27" s="711">
        <f t="shared" si="12"/>
        <v>100</v>
      </c>
      <c r="T27" s="710" t="s">
        <v>21</v>
      </c>
      <c r="U27" s="711">
        <f t="shared" si="13"/>
        <v>100</v>
      </c>
      <c r="V27" s="710" t="s">
        <v>21</v>
      </c>
      <c r="W27" s="711">
        <f t="shared" si="14"/>
        <v>100</v>
      </c>
      <c r="X27" s="712"/>
      <c r="Y27" s="351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518"/>
      <c r="Q28" s="1506">
        <f t="shared" si="11"/>
        <v>111</v>
      </c>
      <c r="R28" s="714" t="s">
        <v>21</v>
      </c>
      <c r="S28" s="715">
        <f t="shared" si="12"/>
        <v>100</v>
      </c>
      <c r="T28" s="714" t="s">
        <v>21</v>
      </c>
      <c r="U28" s="715">
        <f t="shared" si="13"/>
        <v>100</v>
      </c>
      <c r="V28" s="714" t="s">
        <v>21</v>
      </c>
      <c r="W28" s="715">
        <f t="shared" si="14"/>
        <v>100</v>
      </c>
      <c r="X28" s="1509"/>
      <c r="Y28" s="351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518"/>
      <c r="Q29" s="1506">
        <f t="shared" si="11"/>
        <v>111</v>
      </c>
      <c r="R29" s="714" t="s">
        <v>21</v>
      </c>
      <c r="S29" s="715">
        <f t="shared" si="12"/>
        <v>100</v>
      </c>
      <c r="T29" s="714" t="s">
        <v>21</v>
      </c>
      <c r="U29" s="715">
        <f t="shared" si="13"/>
        <v>100</v>
      </c>
      <c r="V29" s="714" t="s">
        <v>21</v>
      </c>
      <c r="W29" s="715">
        <f t="shared" si="14"/>
        <v>100</v>
      </c>
      <c r="X29" s="1509"/>
      <c r="Y29" s="351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518"/>
      <c r="Q30" s="1506">
        <f t="shared" si="11"/>
        <v>111</v>
      </c>
      <c r="R30" s="714" t="s">
        <v>21</v>
      </c>
      <c r="S30" s="715">
        <f t="shared" si="12"/>
        <v>100</v>
      </c>
      <c r="T30" s="714" t="s">
        <v>21</v>
      </c>
      <c r="U30" s="715">
        <f t="shared" si="13"/>
        <v>100</v>
      </c>
      <c r="V30" s="714" t="s">
        <v>21</v>
      </c>
      <c r="W30" s="715">
        <f t="shared" si="14"/>
        <v>100</v>
      </c>
      <c r="X30" s="1509"/>
      <c r="Y30" s="3511"/>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518"/>
      <c r="Q31" s="1506">
        <f t="shared" si="11"/>
        <v>111</v>
      </c>
      <c r="R31" s="714" t="s">
        <v>21</v>
      </c>
      <c r="S31" s="715">
        <f t="shared" si="12"/>
        <v>100</v>
      </c>
      <c r="T31" s="714" t="s">
        <v>21</v>
      </c>
      <c r="U31" s="715">
        <f t="shared" si="13"/>
        <v>100</v>
      </c>
      <c r="V31" s="714" t="s">
        <v>21</v>
      </c>
      <c r="W31" s="715">
        <f t="shared" si="14"/>
        <v>100</v>
      </c>
      <c r="X31" s="1509"/>
      <c r="Y31" s="3511"/>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512" t="s">
        <v>2325</v>
      </c>
      <c r="Q32" s="1506" t="str">
        <f t="shared" si="11"/>
        <v>建筑类型</v>
      </c>
      <c r="R32" s="714" t="s">
        <v>21</v>
      </c>
      <c r="S32" s="715">
        <f t="shared" si="12"/>
        <v>100</v>
      </c>
      <c r="T32" s="714" t="s">
        <v>21</v>
      </c>
      <c r="U32" s="715">
        <f t="shared" si="13"/>
        <v>100</v>
      </c>
      <c r="V32" s="714" t="s">
        <v>21</v>
      </c>
      <c r="W32" s="715">
        <f t="shared" si="14"/>
        <v>100</v>
      </c>
      <c r="X32" s="1509"/>
      <c r="Y32" s="3515"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513"/>
      <c r="Q33" s="716" t="str">
        <f t="shared" si="11"/>
        <v>项目建筑规模</v>
      </c>
      <c r="R33" s="717" t="s">
        <v>21</v>
      </c>
      <c r="S33" s="718" t="e">
        <f t="shared" si="12"/>
        <v>#N/A</v>
      </c>
      <c r="T33" s="717" t="s">
        <v>21</v>
      </c>
      <c r="U33" s="718" t="e">
        <f t="shared" si="13"/>
        <v>#N/A</v>
      </c>
      <c r="V33" s="717" t="s">
        <v>21</v>
      </c>
      <c r="W33" s="718" t="e">
        <f t="shared" si="14"/>
        <v>#N/A</v>
      </c>
      <c r="X33" s="719"/>
      <c r="Y33" s="3515"/>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513"/>
      <c r="Q34" s="1506" t="str">
        <f t="shared" si="11"/>
        <v>建筑结构</v>
      </c>
      <c r="R34" s="714" t="s">
        <v>21</v>
      </c>
      <c r="S34" s="715">
        <f t="shared" si="12"/>
        <v>100</v>
      </c>
      <c r="T34" s="714" t="s">
        <v>21</v>
      </c>
      <c r="U34" s="715">
        <f t="shared" si="13"/>
        <v>100</v>
      </c>
      <c r="V34" s="714" t="s">
        <v>21</v>
      </c>
      <c r="W34" s="715">
        <f t="shared" si="14"/>
        <v>100</v>
      </c>
      <c r="X34" s="1509"/>
      <c r="Y34" s="3515"/>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513"/>
      <c r="Q35" s="1506" t="str">
        <f t="shared" si="11"/>
        <v>建筑品质</v>
      </c>
      <c r="R35" s="714" t="s">
        <v>21</v>
      </c>
      <c r="S35" s="715">
        <f t="shared" si="12"/>
        <v>100</v>
      </c>
      <c r="T35" s="714" t="s">
        <v>21</v>
      </c>
      <c r="U35" s="715">
        <f t="shared" si="13"/>
        <v>100</v>
      </c>
      <c r="V35" s="714" t="s">
        <v>21</v>
      </c>
      <c r="W35" s="715">
        <f t="shared" si="14"/>
        <v>100</v>
      </c>
      <c r="X35" s="1509"/>
      <c r="Y35" s="3515"/>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513"/>
      <c r="Q36" s="1506" t="str">
        <f t="shared" si="11"/>
        <v>公共部分装修</v>
      </c>
      <c r="R36" s="714" t="s">
        <v>21</v>
      </c>
      <c r="S36" s="715">
        <f t="shared" si="12"/>
        <v>100</v>
      </c>
      <c r="T36" s="714" t="s">
        <v>21</v>
      </c>
      <c r="U36" s="715">
        <f t="shared" si="13"/>
        <v>100</v>
      </c>
      <c r="V36" s="714" t="s">
        <v>21</v>
      </c>
      <c r="W36" s="715">
        <f t="shared" si="14"/>
        <v>100</v>
      </c>
      <c r="X36" s="1509"/>
      <c r="Y36" s="3515"/>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513"/>
      <c r="Q37" s="1497" t="str">
        <f t="shared" si="11"/>
        <v>成新度</v>
      </c>
      <c r="R37" s="710" t="s">
        <v>21</v>
      </c>
      <c r="S37" s="711" t="e">
        <f t="shared" si="12"/>
        <v>#N/A</v>
      </c>
      <c r="T37" s="710" t="s">
        <v>21</v>
      </c>
      <c r="U37" s="711" t="e">
        <f t="shared" si="13"/>
        <v>#N/A</v>
      </c>
      <c r="V37" s="710" t="s">
        <v>21</v>
      </c>
      <c r="W37" s="711" t="e">
        <f t="shared" si="14"/>
        <v>#N/A</v>
      </c>
      <c r="X37" s="712"/>
      <c r="Y37" s="3515"/>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513" t="s">
        <v>2325</v>
      </c>
      <c r="Q38" s="1506" t="str">
        <f t="shared" si="11"/>
        <v>物业管理</v>
      </c>
      <c r="R38" s="714" t="s">
        <v>21</v>
      </c>
      <c r="S38" s="715">
        <f t="shared" si="12"/>
        <v>100</v>
      </c>
      <c r="T38" s="714" t="s">
        <v>21</v>
      </c>
      <c r="U38" s="715">
        <f t="shared" si="13"/>
        <v>100</v>
      </c>
      <c r="V38" s="714" t="s">
        <v>21</v>
      </c>
      <c r="W38" s="715">
        <f t="shared" si="14"/>
        <v>100</v>
      </c>
      <c r="X38" s="1509"/>
      <c r="Y38" s="3515"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513"/>
      <c r="Q39" s="1506" t="str">
        <f t="shared" si="11"/>
        <v>市政基础设施</v>
      </c>
      <c r="R39" s="714" t="s">
        <v>21</v>
      </c>
      <c r="S39" s="715">
        <f t="shared" si="12"/>
        <v>100</v>
      </c>
      <c r="T39" s="714" t="s">
        <v>21</v>
      </c>
      <c r="U39" s="715">
        <f t="shared" si="13"/>
        <v>100</v>
      </c>
      <c r="V39" s="714" t="s">
        <v>21</v>
      </c>
      <c r="W39" s="715">
        <f t="shared" si="14"/>
        <v>100</v>
      </c>
      <c r="X39" s="1509"/>
      <c r="Y39" s="3515"/>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513"/>
      <c r="Q40" s="1506" t="str">
        <f t="shared" si="11"/>
        <v>房型</v>
      </c>
      <c r="R40" s="714" t="s">
        <v>21</v>
      </c>
      <c r="S40" s="715">
        <f t="shared" si="12"/>
        <v>100</v>
      </c>
      <c r="T40" s="714" t="s">
        <v>21</v>
      </c>
      <c r="U40" s="715">
        <f t="shared" si="13"/>
        <v>100</v>
      </c>
      <c r="V40" s="714" t="s">
        <v>21</v>
      </c>
      <c r="W40" s="715">
        <f t="shared" si="14"/>
        <v>100</v>
      </c>
      <c r="X40" s="1509"/>
      <c r="Y40" s="3515"/>
      <c r="Z40" s="1510" t="str">
        <f t="shared" si="18"/>
        <v>房型</v>
      </c>
      <c r="AA40" s="1507">
        <f t="shared" si="15"/>
        <v>1</v>
      </c>
      <c r="AB40" s="1507">
        <f t="shared" si="16"/>
        <v>1</v>
      </c>
      <c r="AC40" s="1507">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513"/>
      <c r="Q41" s="716" t="str">
        <f t="shared" si="11"/>
        <v>单套/主力户型建筑面积</v>
      </c>
      <c r="R41" s="717" t="s">
        <v>21</v>
      </c>
      <c r="S41" s="718">
        <f t="shared" si="12"/>
        <v>100</v>
      </c>
      <c r="T41" s="717" t="s">
        <v>21</v>
      </c>
      <c r="U41" s="718">
        <f t="shared" si="13"/>
        <v>100</v>
      </c>
      <c r="V41" s="717" t="s">
        <v>21</v>
      </c>
      <c r="W41" s="718">
        <f t="shared" si="14"/>
        <v>100</v>
      </c>
      <c r="X41" s="719"/>
      <c r="Y41" s="3515"/>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513"/>
      <c r="Q42" s="1506" t="str">
        <f t="shared" si="11"/>
        <v>内部装修</v>
      </c>
      <c r="R42" s="714" t="s">
        <v>21</v>
      </c>
      <c r="S42" s="715">
        <f t="shared" si="12"/>
        <v>100</v>
      </c>
      <c r="T42" s="714" t="s">
        <v>21</v>
      </c>
      <c r="U42" s="715">
        <f t="shared" si="13"/>
        <v>100</v>
      </c>
      <c r="V42" s="714" t="s">
        <v>21</v>
      </c>
      <c r="W42" s="715">
        <f t="shared" si="14"/>
        <v>100</v>
      </c>
      <c r="X42" s="1509"/>
      <c r="Y42" s="3515"/>
      <c r="Z42" s="1510" t="str">
        <f t="shared" si="18"/>
        <v>内部装修</v>
      </c>
      <c r="AA42" s="1507">
        <f t="shared" si="15"/>
        <v>1</v>
      </c>
      <c r="AB42" s="1507">
        <f t="shared" si="16"/>
        <v>1</v>
      </c>
      <c r="AC42" s="1507">
        <f t="shared" si="17"/>
        <v>1</v>
      </c>
    </row>
    <row r="43" spans="1:29" ht="28.8">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513"/>
      <c r="Q43" s="1506" t="str">
        <f t="shared" si="11"/>
        <v>内部装修维护情况</v>
      </c>
      <c r="R43" s="714" t="s">
        <v>21</v>
      </c>
      <c r="S43" s="715">
        <f t="shared" si="12"/>
        <v>100</v>
      </c>
      <c r="T43" s="714" t="s">
        <v>21</v>
      </c>
      <c r="U43" s="715">
        <f t="shared" si="13"/>
        <v>100</v>
      </c>
      <c r="V43" s="714" t="s">
        <v>21</v>
      </c>
      <c r="W43" s="715">
        <f t="shared" si="14"/>
        <v>100</v>
      </c>
      <c r="X43" s="1509"/>
      <c r="Y43" s="351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513"/>
      <c r="Q44" s="1497">
        <f t="shared" si="11"/>
        <v>111</v>
      </c>
      <c r="R44" s="710" t="s">
        <v>21</v>
      </c>
      <c r="S44" s="711">
        <f t="shared" si="12"/>
        <v>100</v>
      </c>
      <c r="T44" s="710" t="s">
        <v>21</v>
      </c>
      <c r="U44" s="711">
        <f t="shared" si="13"/>
        <v>100</v>
      </c>
      <c r="V44" s="710" t="s">
        <v>21</v>
      </c>
      <c r="W44" s="711">
        <f t="shared" si="14"/>
        <v>100</v>
      </c>
      <c r="X44" s="712"/>
      <c r="Y44" s="351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513"/>
      <c r="Q45" s="1506">
        <f t="shared" si="11"/>
        <v>111</v>
      </c>
      <c r="R45" s="714" t="s">
        <v>21</v>
      </c>
      <c r="S45" s="715">
        <f t="shared" si="12"/>
        <v>100</v>
      </c>
      <c r="T45" s="714" t="s">
        <v>21</v>
      </c>
      <c r="U45" s="715">
        <f t="shared" si="13"/>
        <v>100</v>
      </c>
      <c r="V45" s="714" t="s">
        <v>21</v>
      </c>
      <c r="W45" s="715">
        <f t="shared" si="14"/>
        <v>100</v>
      </c>
      <c r="X45" s="1509"/>
      <c r="Y45" s="3515"/>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514"/>
      <c r="Q46" s="1506">
        <f t="shared" si="11"/>
        <v>111</v>
      </c>
      <c r="R46" s="714" t="s">
        <v>20</v>
      </c>
      <c r="S46" s="715">
        <f t="shared" si="12"/>
        <v>100</v>
      </c>
      <c r="T46" s="714" t="s">
        <v>20</v>
      </c>
      <c r="U46" s="715">
        <f t="shared" si="13"/>
        <v>100</v>
      </c>
      <c r="V46" s="714" t="s">
        <v>20</v>
      </c>
      <c r="W46" s="715">
        <f t="shared" si="14"/>
        <v>100</v>
      </c>
      <c r="X46" s="1509"/>
      <c r="Y46" s="3516"/>
      <c r="Z46" s="1510">
        <f t="shared" si="18"/>
        <v>111</v>
      </c>
      <c r="AA46" s="1507">
        <f t="shared" si="15"/>
        <v>1</v>
      </c>
      <c r="AB46" s="1507">
        <f t="shared" si="16"/>
        <v>1</v>
      </c>
      <c r="AC46" s="1507">
        <f t="shared" si="17"/>
        <v>1</v>
      </c>
    </row>
    <row r="47" spans="1:29" ht="14.4">
      <c r="A47" s="438" t="s">
        <v>2337</v>
      </c>
      <c r="B47" s="439"/>
      <c r="C47" s="1288" t="s">
        <v>19</v>
      </c>
      <c r="D47" s="1289"/>
      <c r="E47" s="1290"/>
      <c r="F47" s="1291"/>
      <c r="G47" s="1292"/>
      <c r="H47" s="1293"/>
      <c r="I47" s="1290"/>
      <c r="J47" s="1293"/>
      <c r="K47" s="2070"/>
      <c r="L47" s="2919"/>
      <c r="M47" s="2920"/>
      <c r="N47" s="2911"/>
      <c r="O47" s="2920"/>
      <c r="P47" s="3508" t="str">
        <f>A47</f>
        <v>成交单价（元/平方米）</v>
      </c>
      <c r="Q47" s="3508"/>
      <c r="R47" s="3509">
        <f>E47</f>
        <v>0</v>
      </c>
      <c r="S47" s="3509"/>
      <c r="T47" s="3509">
        <f>G47</f>
        <v>0</v>
      </c>
      <c r="U47" s="3509"/>
      <c r="V47" s="3509">
        <f>I47</f>
        <v>0</v>
      </c>
      <c r="W47" s="3509"/>
      <c r="X47" s="699"/>
      <c r="Y47" s="721"/>
      <c r="Z47" s="699"/>
      <c r="AA47" s="699"/>
      <c r="AB47" s="699"/>
      <c r="AC47" s="699"/>
    </row>
    <row r="48" spans="1:29" ht="1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699"/>
      <c r="Y48" s="699"/>
      <c r="Z48" s="699"/>
      <c r="AA48" s="699"/>
      <c r="AB48" s="699"/>
      <c r="AC48" s="699"/>
    </row>
    <row r="49" spans="1:29" ht="15" thickBot="1">
      <c r="A49" s="449" t="s">
        <v>2339</v>
      </c>
      <c r="B49" s="450"/>
      <c r="C49" s="1296" t="e">
        <f>R49</f>
        <v>#DIV/0!</v>
      </c>
      <c r="D49" s="1297"/>
      <c r="E49" s="1297"/>
      <c r="F49" s="1297"/>
      <c r="G49" s="1297"/>
      <c r="H49" s="1297"/>
      <c r="I49" s="1297"/>
      <c r="J49" s="1297"/>
      <c r="K49" s="2071"/>
      <c r="L49" s="2919"/>
      <c r="M49" s="2920"/>
      <c r="N49" s="2920"/>
      <c r="O49" s="2920"/>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2.2" thickBot="1">
      <c r="A57" s="703" t="s">
        <v>2343</v>
      </c>
      <c r="B57" s="699"/>
      <c r="C57" s="704"/>
      <c r="D57" s="704"/>
      <c r="E57" s="704"/>
      <c r="F57" s="705"/>
      <c r="G57" s="705"/>
      <c r="H57" s="704"/>
      <c r="I57" s="704"/>
      <c r="J57" s="704"/>
      <c r="K57" s="1072"/>
      <c r="L57" s="1073"/>
      <c r="M57" s="1071"/>
      <c r="N57" s="1071"/>
      <c r="O57" s="1071"/>
      <c r="P57" s="2074"/>
      <c r="Q57" s="461"/>
    </row>
    <row r="58" spans="1:29" s="465" customFormat="1" ht="14.4">
      <c r="A58" s="462" t="s">
        <v>2344</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2345</v>
      </c>
      <c r="B60" s="473"/>
      <c r="C60" s="474"/>
      <c r="D60" s="475"/>
      <c r="E60" s="475"/>
      <c r="F60" s="475"/>
      <c r="G60" s="475"/>
      <c r="H60" s="475"/>
      <c r="I60" s="475"/>
      <c r="J60" s="475"/>
      <c r="K60" s="475"/>
      <c r="L60" s="475"/>
      <c r="M60" s="476"/>
      <c r="N60" s="475"/>
      <c r="O60" s="476"/>
      <c r="P60" s="2076"/>
      <c r="Q60" s="461"/>
    </row>
    <row r="61" spans="1:29" s="113" customFormat="1" ht="14.4">
      <c r="A61" s="478" t="s">
        <v>2346</v>
      </c>
      <c r="B61" s="467"/>
      <c r="C61" s="479" t="s">
        <v>2347</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2348</v>
      </c>
      <c r="B63" s="485" t="s">
        <v>2314</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2370</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2371</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2323</v>
      </c>
      <c r="B100" s="485" t="s">
        <v>2372</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6.2"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ht="14.4">
      <c r="B147" s="2085" t="s">
        <v>2400</v>
      </c>
    </row>
    <row r="148" spans="2:11" ht="14.4">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11501.220000000001</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4.4">
      <c r="A4" s="361" t="s">
        <v>2405</v>
      </c>
      <c r="B4" s="362"/>
      <c r="C4" s="3491" t="s">
        <v>2406</v>
      </c>
      <c r="D4" s="3492"/>
      <c r="E4" s="3493" t="s">
        <v>2407</v>
      </c>
      <c r="F4" s="3494"/>
      <c r="G4" s="3491" t="s">
        <v>2408</v>
      </c>
      <c r="H4" s="3492"/>
      <c r="I4" s="3491" t="s">
        <v>2409</v>
      </c>
      <c r="J4" s="3492"/>
      <c r="K4" s="567" t="s">
        <v>2410</v>
      </c>
      <c r="L4" s="2910"/>
      <c r="M4" s="2911"/>
      <c r="N4" s="2911"/>
      <c r="O4" s="2911"/>
      <c r="P4" s="3495" t="s">
        <v>2411</v>
      </c>
      <c r="Q4" s="3496"/>
      <c r="R4" s="3478" t="s">
        <v>2407</v>
      </c>
      <c r="S4" s="3479"/>
      <c r="T4" s="3478" t="s">
        <v>2408</v>
      </c>
      <c r="U4" s="3479"/>
      <c r="V4" s="3503" t="s">
        <v>2409</v>
      </c>
      <c r="W4" s="3503"/>
      <c r="X4" s="1509"/>
      <c r="Y4" s="3478" t="s">
        <v>2411</v>
      </c>
      <c r="Z4" s="3479"/>
      <c r="AA4" s="3473" t="s">
        <v>2407</v>
      </c>
      <c r="AB4" s="3503" t="s">
        <v>2408</v>
      </c>
      <c r="AC4" s="3473" t="s">
        <v>2409</v>
      </c>
    </row>
    <row r="5" spans="1:29">
      <c r="A5" s="364"/>
      <c r="B5" s="365"/>
      <c r="C5" s="3484" t="s">
        <v>2302</v>
      </c>
      <c r="D5" s="3485"/>
      <c r="E5" s="3482" t="s">
        <v>2303</v>
      </c>
      <c r="F5" s="3483"/>
      <c r="G5" s="3484" t="s">
        <v>2304</v>
      </c>
      <c r="H5" s="3485"/>
      <c r="I5" s="3484" t="s">
        <v>2305</v>
      </c>
      <c r="J5" s="3485"/>
      <c r="K5" s="567"/>
      <c r="L5" s="2910"/>
      <c r="M5" s="2911"/>
      <c r="N5" s="2911"/>
      <c r="O5" s="2911"/>
      <c r="P5" s="3497"/>
      <c r="Q5" s="3498"/>
      <c r="R5" s="3480"/>
      <c r="S5" s="3481"/>
      <c r="T5" s="3480"/>
      <c r="U5" s="3481"/>
      <c r="V5" s="3503"/>
      <c r="W5" s="3503"/>
      <c r="X5" s="1509"/>
      <c r="Y5" s="3480"/>
      <c r="Z5" s="3481"/>
      <c r="AA5" s="3474"/>
      <c r="AB5" s="3503"/>
      <c r="AC5" s="3474"/>
    </row>
    <row r="6" spans="1:29" ht="15" thickBot="1">
      <c r="A6" s="366"/>
      <c r="B6" s="367"/>
      <c r="C6" s="3486" t="s">
        <v>2306</v>
      </c>
      <c r="D6" s="3487"/>
      <c r="E6" s="3488" t="s">
        <v>2306</v>
      </c>
      <c r="F6" s="3489"/>
      <c r="G6" s="3486" t="s">
        <v>2306</v>
      </c>
      <c r="H6" s="3487"/>
      <c r="I6" s="3486" t="s">
        <v>2306</v>
      </c>
      <c r="J6" s="3487"/>
      <c r="K6" s="567" t="s">
        <v>2307</v>
      </c>
      <c r="L6" s="2910"/>
      <c r="M6" s="2911"/>
      <c r="N6" s="2911"/>
      <c r="O6" s="2911"/>
      <c r="P6" s="3499"/>
      <c r="Q6" s="3500"/>
      <c r="R6" s="3480"/>
      <c r="S6" s="3481"/>
      <c r="T6" s="3501"/>
      <c r="U6" s="3502"/>
      <c r="V6" s="3503"/>
      <c r="W6" s="3503"/>
      <c r="X6" s="1509"/>
      <c r="Y6" s="3501"/>
      <c r="Z6" s="3502"/>
      <c r="AA6" s="3475"/>
      <c r="AB6" s="3503"/>
      <c r="AC6" s="3475"/>
    </row>
    <row r="7" spans="1:29" s="113" customFormat="1" ht="15" thickBot="1">
      <c r="A7" s="368" t="s">
        <v>2308</v>
      </c>
      <c r="B7" s="369"/>
      <c r="C7" s="370">
        <f>'数据-取费表'!B2</f>
        <v>44572</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76" t="s">
        <v>2309</v>
      </c>
      <c r="Q7" s="3504"/>
      <c r="R7" s="710" t="s">
        <v>17</v>
      </c>
      <c r="S7" s="711">
        <f t="shared" ref="S7:S15" si="0">F7</f>
        <v>0</v>
      </c>
      <c r="T7" s="710" t="s">
        <v>17</v>
      </c>
      <c r="U7" s="711">
        <f t="shared" ref="U7:U15" si="1">H7</f>
        <v>0</v>
      </c>
      <c r="V7" s="710" t="s">
        <v>17</v>
      </c>
      <c r="W7" s="711">
        <f t="shared" ref="W7:W15" si="2">J7</f>
        <v>0</v>
      </c>
      <c r="X7" s="712"/>
      <c r="Y7" s="3476" t="s">
        <v>2309</v>
      </c>
      <c r="Z7" s="3477"/>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76" t="s">
        <v>2312</v>
      </c>
      <c r="Q8" s="3477"/>
      <c r="R8" s="710" t="s">
        <v>17</v>
      </c>
      <c r="S8" s="711">
        <f t="shared" si="0"/>
        <v>0</v>
      </c>
      <c r="T8" s="710" t="s">
        <v>17</v>
      </c>
      <c r="U8" s="711">
        <f t="shared" si="1"/>
        <v>0</v>
      </c>
      <c r="V8" s="710" t="s">
        <v>17</v>
      </c>
      <c r="W8" s="711">
        <f t="shared" si="2"/>
        <v>0</v>
      </c>
      <c r="X8" s="712"/>
      <c r="Y8" s="3476" t="s">
        <v>2312</v>
      </c>
      <c r="Z8" s="3477"/>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90"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90"/>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90"/>
      <c r="Q11" s="1497"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90"/>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90"/>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90"/>
      <c r="Q14" s="1497">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15">
      <c r="A15" s="399" t="s">
        <v>2319</v>
      </c>
      <c r="B15" s="65" t="s">
        <v>2413</v>
      </c>
      <c r="C15" s="2052"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517" t="s">
        <v>2320</v>
      </c>
      <c r="Q15" s="1506" t="str">
        <f t="shared" si="6"/>
        <v>商业繁华度</v>
      </c>
      <c r="R15" s="714" t="s">
        <v>17</v>
      </c>
      <c r="S15" s="715">
        <f t="shared" si="0"/>
        <v>100</v>
      </c>
      <c r="T15" s="714" t="s">
        <v>17</v>
      </c>
      <c r="U15" s="715">
        <f t="shared" si="1"/>
        <v>100</v>
      </c>
      <c r="V15" s="714" t="s">
        <v>17</v>
      </c>
      <c r="W15" s="715">
        <f t="shared" si="2"/>
        <v>100</v>
      </c>
      <c r="X15" s="1509"/>
      <c r="Y15" s="3510"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518"/>
      <c r="Q16" s="1506"/>
      <c r="R16" s="714"/>
      <c r="S16" s="715"/>
      <c r="T16" s="714"/>
      <c r="U16" s="715"/>
      <c r="V16" s="714"/>
      <c r="W16" s="715"/>
      <c r="X16" s="1509"/>
      <c r="Y16" s="3511"/>
      <c r="Z16" s="1510"/>
      <c r="AA16" s="1507">
        <v>1</v>
      </c>
      <c r="AB16" s="1507">
        <v>1</v>
      </c>
      <c r="AC16" s="1507">
        <v>1</v>
      </c>
    </row>
    <row r="17" spans="1:29" ht="15">
      <c r="A17" s="387"/>
      <c r="B17" s="410" t="s">
        <v>1884</v>
      </c>
      <c r="C17" s="2056"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518"/>
      <c r="Q17" s="1506" t="str">
        <f>B17</f>
        <v>交通便捷度</v>
      </c>
      <c r="R17" s="714" t="s">
        <v>17</v>
      </c>
      <c r="S17" s="715">
        <f>F17</f>
        <v>100</v>
      </c>
      <c r="T17" s="714" t="s">
        <v>17</v>
      </c>
      <c r="U17" s="715">
        <f>H17</f>
        <v>100</v>
      </c>
      <c r="V17" s="714" t="s">
        <v>17</v>
      </c>
      <c r="W17" s="715">
        <f>J17</f>
        <v>100</v>
      </c>
      <c r="X17" s="1509"/>
      <c r="Y17" s="351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518"/>
      <c r="Q18" s="1506"/>
      <c r="R18" s="714"/>
      <c r="S18" s="715"/>
      <c r="T18" s="714"/>
      <c r="U18" s="715"/>
      <c r="V18" s="714"/>
      <c r="W18" s="715"/>
      <c r="X18" s="1509"/>
      <c r="Y18" s="3511"/>
      <c r="Z18" s="1510"/>
      <c r="AA18" s="1507">
        <v>1</v>
      </c>
      <c r="AB18" s="1507">
        <v>1</v>
      </c>
      <c r="AC18" s="1507">
        <v>1</v>
      </c>
    </row>
    <row r="19" spans="1:29" ht="15">
      <c r="A19" s="387"/>
      <c r="B19" s="410" t="s">
        <v>2414</v>
      </c>
      <c r="C19" s="2056"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518"/>
      <c r="Q19" s="1506" t="str">
        <f>B19</f>
        <v>公共配套设施</v>
      </c>
      <c r="R19" s="714" t="s">
        <v>17</v>
      </c>
      <c r="S19" s="715">
        <f>F19</f>
        <v>100</v>
      </c>
      <c r="T19" s="714" t="s">
        <v>17</v>
      </c>
      <c r="U19" s="715">
        <f>H19</f>
        <v>100</v>
      </c>
      <c r="V19" s="714" t="s">
        <v>17</v>
      </c>
      <c r="W19" s="715">
        <f>J19</f>
        <v>100</v>
      </c>
      <c r="X19" s="1509"/>
      <c r="Y19" s="351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518"/>
      <c r="Q20" s="1506"/>
      <c r="R20" s="714"/>
      <c r="S20" s="715"/>
      <c r="T20" s="714"/>
      <c r="U20" s="715"/>
      <c r="V20" s="714"/>
      <c r="W20" s="715"/>
      <c r="X20" s="1509"/>
      <c r="Y20" s="3511"/>
      <c r="Z20" s="1510"/>
      <c r="AA20" s="1507">
        <v>1</v>
      </c>
      <c r="AB20" s="1507">
        <v>1</v>
      </c>
      <c r="AC20" s="1507">
        <v>1</v>
      </c>
    </row>
    <row r="21" spans="1:29" ht="15">
      <c r="A21" s="387"/>
      <c r="B21" s="1265" t="s">
        <v>2415</v>
      </c>
      <c r="C21" s="205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518"/>
      <c r="Q21" s="1506" t="str">
        <f>B21</f>
        <v>基础设施水平</v>
      </c>
      <c r="R21" s="714" t="s">
        <v>17</v>
      </c>
      <c r="S21" s="715">
        <f>F21</f>
        <v>100</v>
      </c>
      <c r="T21" s="714" t="s">
        <v>17</v>
      </c>
      <c r="U21" s="715">
        <f>H21</f>
        <v>100</v>
      </c>
      <c r="V21" s="714" t="s">
        <v>17</v>
      </c>
      <c r="W21" s="715">
        <f>J21</f>
        <v>100</v>
      </c>
      <c r="X21" s="1509"/>
      <c r="Y21" s="351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518"/>
      <c r="Q22" s="1506"/>
      <c r="R22" s="714"/>
      <c r="S22" s="715"/>
      <c r="T22" s="714"/>
      <c r="U22" s="715"/>
      <c r="V22" s="714"/>
      <c r="W22" s="715"/>
      <c r="X22" s="1509"/>
      <c r="Y22" s="3511"/>
      <c r="Z22" s="1510"/>
      <c r="AA22" s="1507">
        <v>1</v>
      </c>
      <c r="AB22" s="1507">
        <v>1</v>
      </c>
      <c r="AC22" s="1507">
        <v>1</v>
      </c>
    </row>
    <row r="23" spans="1:29" ht="15">
      <c r="A23" s="387"/>
      <c r="B23" s="410" t="s">
        <v>1886</v>
      </c>
      <c r="C23" s="2111"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518"/>
      <c r="Q23" s="1506" t="str">
        <f>B23</f>
        <v>自然及人文环境</v>
      </c>
      <c r="R23" s="714" t="s">
        <v>17</v>
      </c>
      <c r="S23" s="715">
        <f>F23</f>
        <v>100</v>
      </c>
      <c r="T23" s="714" t="s">
        <v>17</v>
      </c>
      <c r="U23" s="715">
        <f>H23</f>
        <v>100</v>
      </c>
      <c r="V23" s="714" t="s">
        <v>17</v>
      </c>
      <c r="W23" s="715">
        <f>J23</f>
        <v>100</v>
      </c>
      <c r="X23" s="1509"/>
      <c r="Y23" s="351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518"/>
      <c r="Q24" s="1506"/>
      <c r="R24" s="714"/>
      <c r="S24" s="715"/>
      <c r="T24" s="714"/>
      <c r="U24" s="715"/>
      <c r="V24" s="714"/>
      <c r="W24" s="715"/>
      <c r="X24" s="1509"/>
      <c r="Y24" s="3511"/>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518"/>
      <c r="Q25" s="1506" t="str">
        <f t="shared" ref="Q25:Q46" si="11">B25</f>
        <v>临街状况</v>
      </c>
      <c r="R25" s="714" t="s">
        <v>17</v>
      </c>
      <c r="S25" s="715">
        <f>F25</f>
        <v>100</v>
      </c>
      <c r="T25" s="714" t="s">
        <v>17</v>
      </c>
      <c r="U25" s="715">
        <f>H25</f>
        <v>100</v>
      </c>
      <c r="V25" s="714" t="s">
        <v>17</v>
      </c>
      <c r="W25" s="715">
        <f>J25</f>
        <v>100</v>
      </c>
      <c r="X25" s="1509"/>
      <c r="Y25" s="3511"/>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518"/>
      <c r="Q26" s="1506" t="str">
        <f t="shared" si="11"/>
        <v>平面位置/可视性</v>
      </c>
      <c r="R26" s="714" t="s">
        <v>17</v>
      </c>
      <c r="S26" s="715">
        <f>F26</f>
        <v>100</v>
      </c>
      <c r="T26" s="714" t="s">
        <v>17</v>
      </c>
      <c r="U26" s="715">
        <f>H26</f>
        <v>100</v>
      </c>
      <c r="V26" s="714" t="s">
        <v>17</v>
      </c>
      <c r="W26" s="715">
        <f>J26</f>
        <v>100</v>
      </c>
      <c r="X26" s="1509"/>
      <c r="Y26" s="3511"/>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518"/>
      <c r="Q27" s="1497" t="str">
        <f t="shared" si="11"/>
        <v>人流量</v>
      </c>
      <c r="R27" s="710" t="s">
        <v>17</v>
      </c>
      <c r="S27" s="711">
        <f>F27</f>
        <v>100</v>
      </c>
      <c r="T27" s="710" t="s">
        <v>17</v>
      </c>
      <c r="U27" s="711">
        <f>H27</f>
        <v>100</v>
      </c>
      <c r="V27" s="710" t="s">
        <v>17</v>
      </c>
      <c r="W27" s="711">
        <f>J27</f>
        <v>100</v>
      </c>
      <c r="X27" s="712"/>
      <c r="Y27" s="3511"/>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51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1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518"/>
      <c r="Q29" s="1506">
        <f t="shared" si="11"/>
        <v>111</v>
      </c>
      <c r="R29" s="714" t="s">
        <v>17</v>
      </c>
      <c r="S29" s="715">
        <f t="shared" si="12"/>
        <v>100</v>
      </c>
      <c r="T29" s="714" t="s">
        <v>17</v>
      </c>
      <c r="U29" s="715">
        <f t="shared" si="13"/>
        <v>100</v>
      </c>
      <c r="V29" s="714" t="s">
        <v>17</v>
      </c>
      <c r="W29" s="715">
        <f t="shared" si="14"/>
        <v>100</v>
      </c>
      <c r="X29" s="1509"/>
      <c r="Y29" s="351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518"/>
      <c r="Q30" s="1506">
        <f t="shared" si="11"/>
        <v>111</v>
      </c>
      <c r="R30" s="714" t="s">
        <v>17</v>
      </c>
      <c r="S30" s="715">
        <f t="shared" si="12"/>
        <v>100</v>
      </c>
      <c r="T30" s="714" t="s">
        <v>17</v>
      </c>
      <c r="U30" s="715">
        <f t="shared" si="13"/>
        <v>100</v>
      </c>
      <c r="V30" s="714" t="s">
        <v>17</v>
      </c>
      <c r="W30" s="715">
        <f t="shared" si="14"/>
        <v>100</v>
      </c>
      <c r="X30" s="1509"/>
      <c r="Y30" s="3511"/>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518"/>
      <c r="Q31" s="1506">
        <f t="shared" si="11"/>
        <v>111</v>
      </c>
      <c r="R31" s="714" t="s">
        <v>17</v>
      </c>
      <c r="S31" s="715">
        <f t="shared" si="12"/>
        <v>100</v>
      </c>
      <c r="T31" s="714" t="s">
        <v>17</v>
      </c>
      <c r="U31" s="715">
        <f t="shared" si="13"/>
        <v>100</v>
      </c>
      <c r="V31" s="714" t="s">
        <v>17</v>
      </c>
      <c r="W31" s="715">
        <f t="shared" si="14"/>
        <v>100</v>
      </c>
      <c r="X31" s="1509"/>
      <c r="Y31" s="3511"/>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512" t="s">
        <v>2325</v>
      </c>
      <c r="Q32" s="1506" t="str">
        <f t="shared" si="11"/>
        <v>商业类型</v>
      </c>
      <c r="R32" s="714" t="s">
        <v>17</v>
      </c>
      <c r="S32" s="715">
        <f t="shared" si="12"/>
        <v>100</v>
      </c>
      <c r="T32" s="714" t="s">
        <v>17</v>
      </c>
      <c r="U32" s="715">
        <f t="shared" si="13"/>
        <v>100</v>
      </c>
      <c r="V32" s="714" t="s">
        <v>17</v>
      </c>
      <c r="W32" s="715">
        <f t="shared" si="14"/>
        <v>100</v>
      </c>
      <c r="X32" s="1509"/>
      <c r="Y32" s="3515"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513"/>
      <c r="Q33" s="716" t="str">
        <f t="shared" si="11"/>
        <v>项目建筑规模</v>
      </c>
      <c r="R33" s="717" t="s">
        <v>17</v>
      </c>
      <c r="S33" s="718" t="e">
        <f t="shared" si="12"/>
        <v>#N/A</v>
      </c>
      <c r="T33" s="717" t="s">
        <v>17</v>
      </c>
      <c r="U33" s="718" t="e">
        <f t="shared" si="13"/>
        <v>#N/A</v>
      </c>
      <c r="V33" s="717" t="s">
        <v>17</v>
      </c>
      <c r="W33" s="718" t="e">
        <f t="shared" si="14"/>
        <v>#N/A</v>
      </c>
      <c r="X33" s="719"/>
      <c r="Y33" s="3515"/>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513"/>
      <c r="Q34" s="1506" t="str">
        <f t="shared" si="11"/>
        <v>建筑结构</v>
      </c>
      <c r="R34" s="714" t="s">
        <v>17</v>
      </c>
      <c r="S34" s="715">
        <f t="shared" si="12"/>
        <v>100</v>
      </c>
      <c r="T34" s="714" t="s">
        <v>17</v>
      </c>
      <c r="U34" s="715">
        <f t="shared" si="13"/>
        <v>100</v>
      </c>
      <c r="V34" s="714" t="s">
        <v>17</v>
      </c>
      <c r="W34" s="715">
        <f t="shared" si="14"/>
        <v>100</v>
      </c>
      <c r="X34" s="1509"/>
      <c r="Y34" s="3515"/>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513"/>
      <c r="Q35" s="1506" t="str">
        <f t="shared" si="11"/>
        <v>公共部分装修</v>
      </c>
      <c r="R35" s="714" t="s">
        <v>17</v>
      </c>
      <c r="S35" s="715">
        <f t="shared" si="12"/>
        <v>100</v>
      </c>
      <c r="T35" s="714" t="s">
        <v>17</v>
      </c>
      <c r="U35" s="715">
        <f t="shared" si="13"/>
        <v>100</v>
      </c>
      <c r="V35" s="714" t="s">
        <v>17</v>
      </c>
      <c r="W35" s="715">
        <f t="shared" si="14"/>
        <v>100</v>
      </c>
      <c r="X35" s="1509"/>
      <c r="Y35" s="3515"/>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513"/>
      <c r="Q36" s="1506" t="str">
        <f t="shared" si="11"/>
        <v>成新度</v>
      </c>
      <c r="R36" s="714" t="s">
        <v>17</v>
      </c>
      <c r="S36" s="715" t="e">
        <f t="shared" si="12"/>
        <v>#N/A</v>
      </c>
      <c r="T36" s="714" t="s">
        <v>17</v>
      </c>
      <c r="U36" s="715" t="e">
        <f t="shared" si="13"/>
        <v>#N/A</v>
      </c>
      <c r="V36" s="714" t="s">
        <v>17</v>
      </c>
      <c r="W36" s="715" t="e">
        <f t="shared" si="14"/>
        <v>#N/A</v>
      </c>
      <c r="X36" s="1509"/>
      <c r="Y36" s="3515"/>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513"/>
      <c r="Q37" s="1497" t="str">
        <f t="shared" si="11"/>
        <v>市政基础设施</v>
      </c>
      <c r="R37" s="710" t="s">
        <v>17</v>
      </c>
      <c r="S37" s="711">
        <f t="shared" si="12"/>
        <v>100</v>
      </c>
      <c r="T37" s="710" t="s">
        <v>17</v>
      </c>
      <c r="U37" s="711">
        <f t="shared" si="13"/>
        <v>100</v>
      </c>
      <c r="V37" s="710" t="s">
        <v>17</v>
      </c>
      <c r="W37" s="711">
        <f t="shared" si="14"/>
        <v>100</v>
      </c>
      <c r="X37" s="712"/>
      <c r="Y37" s="3515"/>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513" t="s">
        <v>2325</v>
      </c>
      <c r="Q38" s="1506" t="str">
        <f t="shared" si="11"/>
        <v>业态</v>
      </c>
      <c r="R38" s="714" t="s">
        <v>17</v>
      </c>
      <c r="S38" s="715">
        <f t="shared" si="12"/>
        <v>100</v>
      </c>
      <c r="T38" s="714" t="s">
        <v>17</v>
      </c>
      <c r="U38" s="715">
        <f t="shared" si="13"/>
        <v>100</v>
      </c>
      <c r="V38" s="714" t="s">
        <v>17</v>
      </c>
      <c r="W38" s="715">
        <f t="shared" si="14"/>
        <v>100</v>
      </c>
      <c r="X38" s="1509"/>
      <c r="Y38" s="3515"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513"/>
      <c r="Q39" s="1506" t="str">
        <f t="shared" si="11"/>
        <v>层高</v>
      </c>
      <c r="R39" s="714" t="s">
        <v>17</v>
      </c>
      <c r="S39" s="715">
        <f t="shared" si="12"/>
        <v>100</v>
      </c>
      <c r="T39" s="714" t="s">
        <v>17</v>
      </c>
      <c r="U39" s="715">
        <f t="shared" si="13"/>
        <v>100</v>
      </c>
      <c r="V39" s="714" t="s">
        <v>17</v>
      </c>
      <c r="W39" s="715">
        <f t="shared" si="14"/>
        <v>100</v>
      </c>
      <c r="X39" s="1509"/>
      <c r="Y39" s="3515"/>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513"/>
      <c r="Q40" s="1506" t="str">
        <f t="shared" si="11"/>
        <v>单套建筑面积</v>
      </c>
      <c r="R40" s="714" t="s">
        <v>17</v>
      </c>
      <c r="S40" s="715">
        <f t="shared" si="12"/>
        <v>100</v>
      </c>
      <c r="T40" s="714" t="s">
        <v>17</v>
      </c>
      <c r="U40" s="715">
        <f t="shared" si="13"/>
        <v>100</v>
      </c>
      <c r="V40" s="714" t="s">
        <v>17</v>
      </c>
      <c r="W40" s="715">
        <f t="shared" si="14"/>
        <v>100</v>
      </c>
      <c r="X40" s="1509"/>
      <c r="Y40" s="3515"/>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513"/>
      <c r="Q41" s="716" t="str">
        <f t="shared" si="11"/>
        <v>进深比</v>
      </c>
      <c r="R41" s="717" t="s">
        <v>17</v>
      </c>
      <c r="S41" s="718">
        <f t="shared" si="12"/>
        <v>100</v>
      </c>
      <c r="T41" s="717" t="s">
        <v>17</v>
      </c>
      <c r="U41" s="718">
        <f t="shared" si="13"/>
        <v>100</v>
      </c>
      <c r="V41" s="717" t="s">
        <v>17</v>
      </c>
      <c r="W41" s="718">
        <f t="shared" si="14"/>
        <v>100</v>
      </c>
      <c r="X41" s="719"/>
      <c r="Y41" s="3515"/>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513"/>
      <c r="Q42" s="1506" t="str">
        <f t="shared" si="11"/>
        <v>内部装修</v>
      </c>
      <c r="R42" s="714" t="s">
        <v>17</v>
      </c>
      <c r="S42" s="715">
        <f t="shared" si="12"/>
        <v>100</v>
      </c>
      <c r="T42" s="714" t="s">
        <v>17</v>
      </c>
      <c r="U42" s="715">
        <f t="shared" si="13"/>
        <v>100</v>
      </c>
      <c r="V42" s="714" t="s">
        <v>17</v>
      </c>
      <c r="W42" s="715">
        <f t="shared" si="14"/>
        <v>100</v>
      </c>
      <c r="X42" s="1509"/>
      <c r="Y42" s="3515"/>
      <c r="Z42" s="1510" t="str">
        <f t="shared" si="15"/>
        <v>内部装修</v>
      </c>
      <c r="AA42" s="1507">
        <f t="shared" si="3"/>
        <v>1</v>
      </c>
      <c r="AB42" s="1507">
        <f t="shared" si="4"/>
        <v>1</v>
      </c>
      <c r="AC42" s="1507">
        <f t="shared" si="5"/>
        <v>1</v>
      </c>
    </row>
    <row r="43" spans="1:29" ht="28.8">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513"/>
      <c r="Q43" s="1506" t="str">
        <f t="shared" si="11"/>
        <v>内部装修维护情况</v>
      </c>
      <c r="R43" s="714" t="s">
        <v>17</v>
      </c>
      <c r="S43" s="715">
        <f t="shared" si="12"/>
        <v>100</v>
      </c>
      <c r="T43" s="714" t="s">
        <v>17</v>
      </c>
      <c r="U43" s="715">
        <f t="shared" si="13"/>
        <v>100</v>
      </c>
      <c r="V43" s="714" t="s">
        <v>17</v>
      </c>
      <c r="W43" s="715">
        <f t="shared" si="14"/>
        <v>100</v>
      </c>
      <c r="X43" s="1509"/>
      <c r="Y43" s="351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513"/>
      <c r="Q44" s="1497">
        <f t="shared" si="11"/>
        <v>111</v>
      </c>
      <c r="R44" s="710" t="s">
        <v>17</v>
      </c>
      <c r="S44" s="711">
        <f t="shared" si="12"/>
        <v>100</v>
      </c>
      <c r="T44" s="710" t="s">
        <v>17</v>
      </c>
      <c r="U44" s="711">
        <f t="shared" si="13"/>
        <v>100</v>
      </c>
      <c r="V44" s="710" t="s">
        <v>17</v>
      </c>
      <c r="W44" s="711">
        <f t="shared" si="14"/>
        <v>100</v>
      </c>
      <c r="X44" s="712"/>
      <c r="Y44" s="351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513"/>
      <c r="Q45" s="1506">
        <f t="shared" si="11"/>
        <v>111</v>
      </c>
      <c r="R45" s="714" t="s">
        <v>17</v>
      </c>
      <c r="S45" s="715">
        <f t="shared" si="12"/>
        <v>100</v>
      </c>
      <c r="T45" s="714" t="s">
        <v>17</v>
      </c>
      <c r="U45" s="715">
        <f t="shared" si="13"/>
        <v>100</v>
      </c>
      <c r="V45" s="714" t="s">
        <v>17</v>
      </c>
      <c r="W45" s="715">
        <f t="shared" si="14"/>
        <v>100</v>
      </c>
      <c r="X45" s="1509"/>
      <c r="Y45" s="3515"/>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514"/>
      <c r="Q46" s="1506">
        <f t="shared" si="11"/>
        <v>111</v>
      </c>
      <c r="R46" s="714" t="s">
        <v>17</v>
      </c>
      <c r="S46" s="715">
        <f t="shared" si="12"/>
        <v>100</v>
      </c>
      <c r="T46" s="714" t="s">
        <v>17</v>
      </c>
      <c r="U46" s="715">
        <f t="shared" si="13"/>
        <v>100</v>
      </c>
      <c r="V46" s="714" t="s">
        <v>17</v>
      </c>
      <c r="W46" s="715">
        <f t="shared" si="14"/>
        <v>100</v>
      </c>
      <c r="X46" s="1509"/>
      <c r="Y46" s="3516"/>
      <c r="Z46" s="1510">
        <f t="shared" si="15"/>
        <v>111</v>
      </c>
      <c r="AA46" s="1507">
        <f t="shared" si="3"/>
        <v>1</v>
      </c>
      <c r="AB46" s="1507">
        <f t="shared" si="4"/>
        <v>1</v>
      </c>
      <c r="AC46" s="1507">
        <f t="shared" si="5"/>
        <v>1</v>
      </c>
    </row>
    <row r="47" spans="1:29" ht="14.4">
      <c r="A47" s="438" t="s">
        <v>2337</v>
      </c>
      <c r="B47" s="439"/>
      <c r="C47" s="1288" t="s">
        <v>1</v>
      </c>
      <c r="D47" s="1289"/>
      <c r="E47" s="1290"/>
      <c r="F47" s="1291"/>
      <c r="G47" s="1292"/>
      <c r="H47" s="1293"/>
      <c r="I47" s="1290"/>
      <c r="J47" s="1293"/>
      <c r="K47" s="723"/>
      <c r="L47" s="2919"/>
      <c r="M47" s="2920"/>
      <c r="N47" s="2911"/>
      <c r="O47" s="2920"/>
      <c r="P47" s="3508" t="str">
        <f>A47</f>
        <v>成交单价（元/平方米）</v>
      </c>
      <c r="Q47" s="3508"/>
      <c r="R47" s="3503">
        <f>E47</f>
        <v>0</v>
      </c>
      <c r="S47" s="3503"/>
      <c r="T47" s="3503">
        <f>G47</f>
        <v>0</v>
      </c>
      <c r="U47" s="3503"/>
      <c r="V47" s="3503">
        <f>I47</f>
        <v>0</v>
      </c>
      <c r="W47" s="3503"/>
      <c r="X47" s="699"/>
      <c r="Y47" s="721"/>
      <c r="Z47" s="699"/>
      <c r="AA47" s="699"/>
      <c r="AB47" s="699"/>
      <c r="AC47" s="699"/>
    </row>
    <row r="48" spans="1:29" ht="1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508" t="str">
        <f>A48</f>
        <v>比较价值（元/平方米）</v>
      </c>
      <c r="Q48" s="3508"/>
      <c r="R48" s="3509" t="e">
        <f>IF(F1="售价",ROUND(PRODUCT(R47,AA7:AA46),0),ROUND(PRODUCT(R47,AA7:AA46),1))</f>
        <v>#DIV/0!</v>
      </c>
      <c r="S48" s="3509"/>
      <c r="T48" s="3509" t="e">
        <f>IF(F1="售价",ROUND(PRODUCT(T47,AB7:AB46),0),ROUND(PRODUCT(T47,AB7:AB46),1))</f>
        <v>#DIV/0!</v>
      </c>
      <c r="U48" s="3509"/>
      <c r="V48" s="3509" t="e">
        <f>IF(F1="售价",ROUND(PRODUCT(V47,AC7:AC46),0),ROUND(PRODUCT(V47,AC7:AC46),1))</f>
        <v>#DIV/0!</v>
      </c>
      <c r="W48" s="3509"/>
      <c r="X48" s="699"/>
      <c r="Y48" s="699"/>
      <c r="Z48" s="699"/>
      <c r="AA48" s="699"/>
      <c r="AB48" s="699"/>
      <c r="AC48" s="699"/>
    </row>
    <row r="49" spans="1:29" ht="15" thickBot="1">
      <c r="A49" s="449" t="s">
        <v>2430</v>
      </c>
      <c r="B49" s="450"/>
      <c r="C49" s="1297" t="e">
        <f>R49</f>
        <v>#DIV/0!</v>
      </c>
      <c r="D49" s="1297"/>
      <c r="E49" s="1297"/>
      <c r="F49" s="1297"/>
      <c r="G49" s="1297"/>
      <c r="H49" s="1297"/>
      <c r="I49" s="1297"/>
      <c r="J49" s="1297"/>
      <c r="K49" s="724"/>
      <c r="L49" s="2919"/>
      <c r="M49" s="2920"/>
      <c r="N49" s="2911"/>
      <c r="O49" s="2920"/>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2.2"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4.4">
      <c r="A58" s="462" t="s">
        <v>2308</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5"/>
      <c r="Q58" s="2936"/>
      <c r="R58" s="2936"/>
      <c r="S58" s="2936"/>
      <c r="T58" s="2936"/>
      <c r="U58" s="2936"/>
      <c r="V58" s="2936"/>
      <c r="W58" s="2936"/>
      <c r="X58" s="2936"/>
      <c r="Y58" s="2936"/>
      <c r="Z58" s="2936"/>
      <c r="AA58" s="2936"/>
      <c r="AB58" s="2936"/>
      <c r="AC58" s="2936"/>
    </row>
    <row r="59" spans="1:29" s="113" customFormat="1">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4.4">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4.4"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ht="14.4">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4.4"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4.4"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4.4"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4.4"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4.4"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4.4"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4.4"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ht="14.4">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4.4"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4.4"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4.4"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4.4"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4.4"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4.4"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4.4"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4.4"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4.4"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4.4"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4.4"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ht="14.4">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4.4"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4.4"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4.4"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4.4"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4.4"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4.4"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4.4"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4.4"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11501.220000000001</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4.4">
      <c r="A4" s="361" t="s">
        <v>2405</v>
      </c>
      <c r="B4" s="362"/>
      <c r="C4" s="3491" t="s">
        <v>2406</v>
      </c>
      <c r="D4" s="3492"/>
      <c r="E4" s="3493" t="s">
        <v>2407</v>
      </c>
      <c r="F4" s="3494"/>
      <c r="G4" s="3491" t="s">
        <v>2408</v>
      </c>
      <c r="H4" s="3492"/>
      <c r="I4" s="3491" t="s">
        <v>2409</v>
      </c>
      <c r="J4" s="3492"/>
      <c r="K4" s="567" t="s">
        <v>2410</v>
      </c>
      <c r="L4" s="2910"/>
      <c r="M4" s="2911"/>
      <c r="N4" s="2911"/>
      <c r="O4" s="2911"/>
      <c r="P4" s="3525" t="s">
        <v>2411</v>
      </c>
      <c r="Q4" s="3526"/>
      <c r="R4" s="3520" t="s">
        <v>2407</v>
      </c>
      <c r="S4" s="3521"/>
      <c r="T4" s="3520" t="s">
        <v>2408</v>
      </c>
      <c r="U4" s="3521"/>
      <c r="V4" s="3529" t="s">
        <v>2409</v>
      </c>
      <c r="W4" s="3529"/>
      <c r="X4" s="2114"/>
      <c r="Y4" s="3520" t="s">
        <v>2411</v>
      </c>
      <c r="Z4" s="3521"/>
      <c r="AA4" s="3519" t="s">
        <v>2407</v>
      </c>
      <c r="AB4" s="3519" t="s">
        <v>2408</v>
      </c>
      <c r="AC4" s="3522" t="s">
        <v>2409</v>
      </c>
    </row>
    <row r="5" spans="1:29">
      <c r="A5" s="364"/>
      <c r="B5" s="365"/>
      <c r="C5" s="3484" t="s">
        <v>2302</v>
      </c>
      <c r="D5" s="3485"/>
      <c r="E5" s="3482" t="s">
        <v>2303</v>
      </c>
      <c r="F5" s="3483"/>
      <c r="G5" s="3484" t="s">
        <v>2304</v>
      </c>
      <c r="H5" s="3485"/>
      <c r="I5" s="3484" t="s">
        <v>2305</v>
      </c>
      <c r="J5" s="3485"/>
      <c r="K5" s="567"/>
      <c r="L5" s="2910"/>
      <c r="M5" s="2911"/>
      <c r="N5" s="2911"/>
      <c r="O5" s="2911"/>
      <c r="P5" s="3527"/>
      <c r="Q5" s="3498"/>
      <c r="R5" s="3480"/>
      <c r="S5" s="3481"/>
      <c r="T5" s="3480"/>
      <c r="U5" s="3481"/>
      <c r="V5" s="3503"/>
      <c r="W5" s="3503"/>
      <c r="X5" s="1509"/>
      <c r="Y5" s="3480"/>
      <c r="Z5" s="3481"/>
      <c r="AA5" s="3474"/>
      <c r="AB5" s="3474"/>
      <c r="AC5" s="3523"/>
    </row>
    <row r="6" spans="1:29" ht="15" thickBot="1">
      <c r="A6" s="366"/>
      <c r="B6" s="367"/>
      <c r="C6" s="3486" t="s">
        <v>2306</v>
      </c>
      <c r="D6" s="3487"/>
      <c r="E6" s="3488" t="s">
        <v>2306</v>
      </c>
      <c r="F6" s="3489"/>
      <c r="G6" s="3486" t="s">
        <v>2306</v>
      </c>
      <c r="H6" s="3487"/>
      <c r="I6" s="3486" t="s">
        <v>2306</v>
      </c>
      <c r="J6" s="3487"/>
      <c r="K6" s="567" t="s">
        <v>2307</v>
      </c>
      <c r="L6" s="2910"/>
      <c r="M6" s="2911"/>
      <c r="N6" s="2911"/>
      <c r="O6" s="2911"/>
      <c r="P6" s="3528"/>
      <c r="Q6" s="3500"/>
      <c r="R6" s="3480"/>
      <c r="S6" s="3481"/>
      <c r="T6" s="3501"/>
      <c r="U6" s="3502"/>
      <c r="V6" s="3503"/>
      <c r="W6" s="3503"/>
      <c r="X6" s="1509"/>
      <c r="Y6" s="3501"/>
      <c r="Z6" s="3502"/>
      <c r="AA6" s="3475"/>
      <c r="AB6" s="3475"/>
      <c r="AC6" s="3524"/>
    </row>
    <row r="7" spans="1:29" s="113" customFormat="1" ht="15" thickBot="1">
      <c r="A7" s="368" t="s">
        <v>2308</v>
      </c>
      <c r="B7" s="369"/>
      <c r="C7" s="370">
        <f>'数据-取费表'!B2</f>
        <v>44572</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30" t="s">
        <v>2309</v>
      </c>
      <c r="Q7" s="3504"/>
      <c r="R7" s="710" t="s">
        <v>17</v>
      </c>
      <c r="S7" s="711">
        <f t="shared" ref="S7:S15" si="0">F7</f>
        <v>0</v>
      </c>
      <c r="T7" s="710" t="s">
        <v>17</v>
      </c>
      <c r="U7" s="711">
        <f t="shared" ref="U7:U15" si="1">H7</f>
        <v>0</v>
      </c>
      <c r="V7" s="710" t="s">
        <v>17</v>
      </c>
      <c r="W7" s="711">
        <f t="shared" ref="W7:W15" si="2">J7</f>
        <v>0</v>
      </c>
      <c r="X7" s="712"/>
      <c r="Y7" s="3476" t="s">
        <v>2309</v>
      </c>
      <c r="Z7" s="3477"/>
      <c r="AA7" s="713" t="e">
        <f>D7/F7</f>
        <v>#DIV/0!</v>
      </c>
      <c r="AB7" s="713" t="e">
        <f>D7/H7</f>
        <v>#DIV/0!</v>
      </c>
      <c r="AC7" s="2115" t="e">
        <f>D7/J7</f>
        <v>#DIV/0!</v>
      </c>
    </row>
    <row r="8" spans="1:29" s="113" customFormat="1" ht="1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30" t="s">
        <v>2312</v>
      </c>
      <c r="Q8" s="3477"/>
      <c r="R8" s="710" t="s">
        <v>17</v>
      </c>
      <c r="S8" s="711">
        <f t="shared" si="0"/>
        <v>0</v>
      </c>
      <c r="T8" s="710" t="s">
        <v>17</v>
      </c>
      <c r="U8" s="711">
        <f t="shared" si="1"/>
        <v>0</v>
      </c>
      <c r="V8" s="710" t="s">
        <v>17</v>
      </c>
      <c r="W8" s="711">
        <f t="shared" si="2"/>
        <v>0</v>
      </c>
      <c r="X8" s="712"/>
      <c r="Y8" s="3476" t="s">
        <v>2312</v>
      </c>
      <c r="Z8" s="3477"/>
      <c r="AA8" s="713" t="e">
        <f t="shared" ref="AA8:AA47" si="3">D8/F8</f>
        <v>#DIV/0!</v>
      </c>
      <c r="AB8" s="713" t="e">
        <f t="shared" ref="AB8:AB47" si="4">D8/H8</f>
        <v>#DIV/0!</v>
      </c>
      <c r="AC8" s="2115" t="e">
        <f t="shared" ref="AC8:AC47" si="5">D8/J8</f>
        <v>#DIV/0!</v>
      </c>
    </row>
    <row r="9" spans="1:29" s="113" customFormat="1" ht="14.4">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90"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2115">
        <f t="shared" si="5"/>
        <v>1</v>
      </c>
    </row>
    <row r="10" spans="1:29" s="386" customFormat="1" ht="28.8">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90"/>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90"/>
      <c r="Q11" s="1497"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90"/>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90"/>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90"/>
      <c r="Q14" s="1497">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2115">
        <f t="shared" si="5"/>
        <v>1</v>
      </c>
    </row>
    <row r="15" spans="1:29" ht="15">
      <c r="A15" s="399" t="s">
        <v>2319</v>
      </c>
      <c r="B15" s="585" t="s">
        <v>2447</v>
      </c>
      <c r="C15" s="2117"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517" t="s">
        <v>2320</v>
      </c>
      <c r="Q15" s="1506" t="str">
        <f t="shared" si="6"/>
        <v>办公集聚程度</v>
      </c>
      <c r="R15" s="714" t="s">
        <v>17</v>
      </c>
      <c r="S15" s="715">
        <f t="shared" si="0"/>
        <v>100</v>
      </c>
      <c r="T15" s="714" t="s">
        <v>17</v>
      </c>
      <c r="U15" s="715">
        <f t="shared" si="1"/>
        <v>100</v>
      </c>
      <c r="V15" s="714" t="s">
        <v>17</v>
      </c>
      <c r="W15" s="715">
        <f t="shared" si="2"/>
        <v>100</v>
      </c>
      <c r="X15" s="1509"/>
      <c r="Y15" s="3510"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518"/>
      <c r="Q16" s="1506"/>
      <c r="R16" s="714"/>
      <c r="S16" s="715"/>
      <c r="T16" s="714"/>
      <c r="U16" s="715"/>
      <c r="V16" s="714"/>
      <c r="W16" s="715"/>
      <c r="X16" s="1509"/>
      <c r="Y16" s="3511"/>
      <c r="Z16" s="1510"/>
      <c r="AA16" s="1507">
        <v>1</v>
      </c>
      <c r="AB16" s="1507">
        <v>1</v>
      </c>
      <c r="AC16" s="2118">
        <v>1</v>
      </c>
    </row>
    <row r="17" spans="1:29" ht="15">
      <c r="A17" s="387"/>
      <c r="B17" s="587" t="s">
        <v>1884</v>
      </c>
      <c r="C17" s="2119"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518"/>
      <c r="Q17" s="1506" t="str">
        <f>B17</f>
        <v>交通便捷度</v>
      </c>
      <c r="R17" s="714" t="s">
        <v>17</v>
      </c>
      <c r="S17" s="715">
        <f>F17</f>
        <v>100</v>
      </c>
      <c r="T17" s="714" t="s">
        <v>17</v>
      </c>
      <c r="U17" s="715">
        <f>H17</f>
        <v>100</v>
      </c>
      <c r="V17" s="714" t="s">
        <v>17</v>
      </c>
      <c r="W17" s="715">
        <f>J17</f>
        <v>100</v>
      </c>
      <c r="X17" s="1509"/>
      <c r="Y17" s="351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518"/>
      <c r="Q18" s="1506"/>
      <c r="R18" s="714"/>
      <c r="S18" s="715"/>
      <c r="T18" s="714"/>
      <c r="U18" s="715"/>
      <c r="V18" s="714"/>
      <c r="W18" s="715"/>
      <c r="X18" s="1509"/>
      <c r="Y18" s="3511"/>
      <c r="Z18" s="1510"/>
      <c r="AA18" s="1507">
        <v>1</v>
      </c>
      <c r="AB18" s="1507">
        <v>1</v>
      </c>
      <c r="AC18" s="2118">
        <v>1</v>
      </c>
    </row>
    <row r="19" spans="1:29" ht="15">
      <c r="A19" s="387"/>
      <c r="B19" s="587" t="s">
        <v>2448</v>
      </c>
      <c r="C19" s="2119"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518"/>
      <c r="Q19" s="1506" t="str">
        <f>B19</f>
        <v>公共配套设施</v>
      </c>
      <c r="R19" s="714" t="s">
        <v>17</v>
      </c>
      <c r="S19" s="715">
        <f>F19</f>
        <v>100</v>
      </c>
      <c r="T19" s="714" t="s">
        <v>17</v>
      </c>
      <c r="U19" s="715">
        <f>H19</f>
        <v>100</v>
      </c>
      <c r="V19" s="714" t="s">
        <v>17</v>
      </c>
      <c r="W19" s="715">
        <f>J19</f>
        <v>100</v>
      </c>
      <c r="X19" s="1509"/>
      <c r="Y19" s="351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518"/>
      <c r="Q20" s="1506"/>
      <c r="R20" s="714"/>
      <c r="S20" s="715"/>
      <c r="T20" s="714"/>
      <c r="U20" s="715"/>
      <c r="V20" s="714"/>
      <c r="W20" s="715"/>
      <c r="X20" s="1509"/>
      <c r="Y20" s="3511"/>
      <c r="Z20" s="1510"/>
      <c r="AA20" s="1507">
        <v>1</v>
      </c>
      <c r="AB20" s="1507">
        <v>1</v>
      </c>
      <c r="AC20" s="2118">
        <v>1</v>
      </c>
    </row>
    <row r="21" spans="1:29" ht="15">
      <c r="A21" s="387"/>
      <c r="B21" s="589" t="s">
        <v>2449</v>
      </c>
      <c r="C21" s="2119"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518"/>
      <c r="Q21" s="1506" t="str">
        <f>B21</f>
        <v>基础设施水平</v>
      </c>
      <c r="R21" s="714" t="s">
        <v>17</v>
      </c>
      <c r="S21" s="715">
        <f>F21</f>
        <v>100</v>
      </c>
      <c r="T21" s="714" t="s">
        <v>17</v>
      </c>
      <c r="U21" s="715">
        <f>H21</f>
        <v>100</v>
      </c>
      <c r="V21" s="714" t="s">
        <v>17</v>
      </c>
      <c r="W21" s="715">
        <f>J21</f>
        <v>100</v>
      </c>
      <c r="X21" s="1509"/>
      <c r="Y21" s="351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518"/>
      <c r="Q22" s="1506"/>
      <c r="R22" s="714"/>
      <c r="S22" s="715"/>
      <c r="T22" s="714"/>
      <c r="U22" s="715"/>
      <c r="V22" s="714"/>
      <c r="W22" s="715"/>
      <c r="X22" s="1509"/>
      <c r="Y22" s="3511"/>
      <c r="Z22" s="1510"/>
      <c r="AA22" s="1507">
        <v>1</v>
      </c>
      <c r="AB22" s="1507">
        <v>1</v>
      </c>
      <c r="AC22" s="2118">
        <v>1</v>
      </c>
    </row>
    <row r="23" spans="1:29" ht="15">
      <c r="A23" s="387"/>
      <c r="B23" s="587" t="s">
        <v>2450</v>
      </c>
      <c r="C23" s="2119"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518"/>
      <c r="Q23" s="1506" t="str">
        <f>B23</f>
        <v>环境质量</v>
      </c>
      <c r="R23" s="714" t="s">
        <v>17</v>
      </c>
      <c r="S23" s="715">
        <f>F23</f>
        <v>100</v>
      </c>
      <c r="T23" s="714" t="s">
        <v>17</v>
      </c>
      <c r="U23" s="715">
        <f>H23</f>
        <v>100</v>
      </c>
      <c r="V23" s="714" t="s">
        <v>17</v>
      </c>
      <c r="W23" s="715">
        <f>J23</f>
        <v>100</v>
      </c>
      <c r="X23" s="1509"/>
      <c r="Y23" s="351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518"/>
      <c r="Q24" s="1506"/>
      <c r="R24" s="714"/>
      <c r="S24" s="715"/>
      <c r="T24" s="714"/>
      <c r="U24" s="715"/>
      <c r="V24" s="714"/>
      <c r="W24" s="715"/>
      <c r="X24" s="1509"/>
      <c r="Y24" s="3511"/>
      <c r="Z24" s="1510"/>
      <c r="AA24" s="1507">
        <v>1</v>
      </c>
      <c r="AB24" s="1507">
        <v>1</v>
      </c>
      <c r="AC24" s="2118">
        <v>1</v>
      </c>
    </row>
    <row r="25" spans="1:29" ht="28.8">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518"/>
      <c r="Q25" s="1506" t="str">
        <f>B25</f>
        <v>毗邻道路的类型与等级</v>
      </c>
      <c r="R25" s="714" t="s">
        <v>17</v>
      </c>
      <c r="S25" s="715">
        <f>F25</f>
        <v>100</v>
      </c>
      <c r="T25" s="714" t="s">
        <v>17</v>
      </c>
      <c r="U25" s="715">
        <f>H25</f>
        <v>100</v>
      </c>
      <c r="V25" s="714" t="s">
        <v>17</v>
      </c>
      <c r="W25" s="715">
        <f>J25</f>
        <v>100</v>
      </c>
      <c r="X25" s="1509"/>
      <c r="Y25" s="351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518"/>
      <c r="Q26" s="1506"/>
      <c r="R26" s="714"/>
      <c r="S26" s="715"/>
      <c r="T26" s="714"/>
      <c r="U26" s="715"/>
      <c r="V26" s="714"/>
      <c r="W26" s="715"/>
      <c r="X26" s="1509"/>
      <c r="Y26" s="3511"/>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518"/>
      <c r="Q27" s="1506" t="str">
        <f t="shared" ref="Q27:Q47" si="11">B27</f>
        <v>楼层</v>
      </c>
      <c r="R27" s="714" t="s">
        <v>17</v>
      </c>
      <c r="S27" s="715">
        <f>F27</f>
        <v>100</v>
      </c>
      <c r="T27" s="714" t="s">
        <v>17</v>
      </c>
      <c r="U27" s="715">
        <f>H27</f>
        <v>100</v>
      </c>
      <c r="V27" s="714" t="s">
        <v>17</v>
      </c>
      <c r="W27" s="715">
        <f>J27</f>
        <v>100</v>
      </c>
      <c r="X27" s="1509"/>
      <c r="Y27" s="3511"/>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518"/>
      <c r="Q28" s="1497" t="str">
        <f t="shared" si="11"/>
        <v>朝向</v>
      </c>
      <c r="R28" s="710" t="s">
        <v>17</v>
      </c>
      <c r="S28" s="711">
        <f>F28</f>
        <v>100</v>
      </c>
      <c r="T28" s="710" t="s">
        <v>17</v>
      </c>
      <c r="U28" s="711">
        <f>H28</f>
        <v>100</v>
      </c>
      <c r="V28" s="710" t="s">
        <v>17</v>
      </c>
      <c r="W28" s="711">
        <f>J28</f>
        <v>100</v>
      </c>
      <c r="X28" s="712"/>
      <c r="Y28" s="351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518"/>
      <c r="Q29" s="1506">
        <f t="shared" si="11"/>
        <v>111</v>
      </c>
      <c r="R29" s="714" t="s">
        <v>17</v>
      </c>
      <c r="S29" s="715">
        <f t="shared" ref="S29:S47" si="12">F29</f>
        <v>100</v>
      </c>
      <c r="T29" s="714" t="s">
        <v>17</v>
      </c>
      <c r="U29" s="715">
        <f t="shared" ref="U29:U47" si="13">H29</f>
        <v>100</v>
      </c>
      <c r="V29" s="714" t="s">
        <v>17</v>
      </c>
      <c r="W29" s="715">
        <f t="shared" ref="W29:W47" si="14">J29</f>
        <v>100</v>
      </c>
      <c r="X29" s="1509"/>
      <c r="Y29" s="351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518"/>
      <c r="Q30" s="1506">
        <f t="shared" si="11"/>
        <v>111</v>
      </c>
      <c r="R30" s="714" t="s">
        <v>17</v>
      </c>
      <c r="S30" s="715">
        <f t="shared" si="12"/>
        <v>100</v>
      </c>
      <c r="T30" s="714" t="s">
        <v>17</v>
      </c>
      <c r="U30" s="715">
        <f t="shared" si="13"/>
        <v>100</v>
      </c>
      <c r="V30" s="714" t="s">
        <v>17</v>
      </c>
      <c r="W30" s="715">
        <f t="shared" si="14"/>
        <v>100</v>
      </c>
      <c r="X30" s="1509"/>
      <c r="Y30" s="351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518"/>
      <c r="Q31" s="1506">
        <f t="shared" si="11"/>
        <v>111</v>
      </c>
      <c r="R31" s="714" t="s">
        <v>17</v>
      </c>
      <c r="S31" s="715">
        <f t="shared" si="12"/>
        <v>100</v>
      </c>
      <c r="T31" s="714" t="s">
        <v>17</v>
      </c>
      <c r="U31" s="715">
        <f t="shared" si="13"/>
        <v>100</v>
      </c>
      <c r="V31" s="714" t="s">
        <v>17</v>
      </c>
      <c r="W31" s="715">
        <f t="shared" si="14"/>
        <v>100</v>
      </c>
      <c r="X31" s="1509"/>
      <c r="Y31" s="3511"/>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518"/>
      <c r="Q32" s="1506">
        <f t="shared" si="11"/>
        <v>111</v>
      </c>
      <c r="R32" s="714" t="s">
        <v>17</v>
      </c>
      <c r="S32" s="715">
        <f t="shared" si="12"/>
        <v>100</v>
      </c>
      <c r="T32" s="714" t="s">
        <v>17</v>
      </c>
      <c r="U32" s="715">
        <f t="shared" si="13"/>
        <v>100</v>
      </c>
      <c r="V32" s="714" t="s">
        <v>17</v>
      </c>
      <c r="W32" s="715">
        <f t="shared" si="14"/>
        <v>100</v>
      </c>
      <c r="X32" s="1509"/>
      <c r="Y32" s="3511"/>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512" t="s">
        <v>2325</v>
      </c>
      <c r="Q33" s="1506" t="str">
        <f t="shared" si="11"/>
        <v>建筑类型</v>
      </c>
      <c r="R33" s="714" t="s">
        <v>17</v>
      </c>
      <c r="S33" s="715">
        <f t="shared" si="12"/>
        <v>100</v>
      </c>
      <c r="T33" s="714" t="s">
        <v>17</v>
      </c>
      <c r="U33" s="715">
        <f t="shared" si="13"/>
        <v>100</v>
      </c>
      <c r="V33" s="714" t="s">
        <v>17</v>
      </c>
      <c r="W33" s="715">
        <f t="shared" si="14"/>
        <v>100</v>
      </c>
      <c r="X33" s="1509"/>
      <c r="Y33" s="3515"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513"/>
      <c r="Q34" s="716" t="str">
        <f t="shared" si="11"/>
        <v>项目建筑规模</v>
      </c>
      <c r="R34" s="717" t="s">
        <v>17</v>
      </c>
      <c r="S34" s="718" t="e">
        <f t="shared" si="12"/>
        <v>#N/A</v>
      </c>
      <c r="T34" s="717" t="s">
        <v>17</v>
      </c>
      <c r="U34" s="718" t="e">
        <f t="shared" si="13"/>
        <v>#N/A</v>
      </c>
      <c r="V34" s="717" t="s">
        <v>17</v>
      </c>
      <c r="W34" s="718" t="e">
        <f t="shared" si="14"/>
        <v>#N/A</v>
      </c>
      <c r="X34" s="719"/>
      <c r="Y34" s="3515"/>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513"/>
      <c r="Q35" s="1506" t="str">
        <f t="shared" si="11"/>
        <v>建筑结构</v>
      </c>
      <c r="R35" s="714" t="s">
        <v>17</v>
      </c>
      <c r="S35" s="715">
        <f t="shared" si="12"/>
        <v>100</v>
      </c>
      <c r="T35" s="714" t="s">
        <v>17</v>
      </c>
      <c r="U35" s="715">
        <f t="shared" si="13"/>
        <v>100</v>
      </c>
      <c r="V35" s="714" t="s">
        <v>17</v>
      </c>
      <c r="W35" s="715">
        <f t="shared" si="14"/>
        <v>100</v>
      </c>
      <c r="X35" s="1509"/>
      <c r="Y35" s="3515"/>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513"/>
      <c r="Q36" s="1506" t="str">
        <f t="shared" si="11"/>
        <v>公共部分装修</v>
      </c>
      <c r="R36" s="714" t="s">
        <v>17</v>
      </c>
      <c r="S36" s="715">
        <f t="shared" si="12"/>
        <v>100</v>
      </c>
      <c r="T36" s="714" t="s">
        <v>17</v>
      </c>
      <c r="U36" s="715">
        <f t="shared" si="13"/>
        <v>100</v>
      </c>
      <c r="V36" s="714" t="s">
        <v>17</v>
      </c>
      <c r="W36" s="715">
        <f t="shared" si="14"/>
        <v>100</v>
      </c>
      <c r="X36" s="1509"/>
      <c r="Y36" s="3515"/>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513"/>
      <c r="Q37" s="1506" t="str">
        <f t="shared" si="11"/>
        <v>成新度</v>
      </c>
      <c r="R37" s="714" t="s">
        <v>17</v>
      </c>
      <c r="S37" s="715" t="e">
        <f t="shared" si="12"/>
        <v>#N/A</v>
      </c>
      <c r="T37" s="714" t="s">
        <v>17</v>
      </c>
      <c r="U37" s="715" t="e">
        <f t="shared" si="13"/>
        <v>#N/A</v>
      </c>
      <c r="V37" s="714" t="s">
        <v>17</v>
      </c>
      <c r="W37" s="715" t="e">
        <f t="shared" si="14"/>
        <v>#N/A</v>
      </c>
      <c r="X37" s="1509"/>
      <c r="Y37" s="3515"/>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513"/>
      <c r="Q38" s="1497" t="str">
        <f t="shared" si="11"/>
        <v>写字楼等级</v>
      </c>
      <c r="R38" s="710" t="s">
        <v>17</v>
      </c>
      <c r="S38" s="711">
        <f t="shared" si="12"/>
        <v>100</v>
      </c>
      <c r="T38" s="710" t="s">
        <v>17</v>
      </c>
      <c r="U38" s="711">
        <f t="shared" si="13"/>
        <v>100</v>
      </c>
      <c r="V38" s="710" t="s">
        <v>17</v>
      </c>
      <c r="W38" s="711">
        <f t="shared" si="14"/>
        <v>100</v>
      </c>
      <c r="X38" s="712"/>
      <c r="Y38" s="3515"/>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513" t="s">
        <v>2325</v>
      </c>
      <c r="Q39" s="1506" t="str">
        <f t="shared" si="11"/>
        <v>物业管理</v>
      </c>
      <c r="R39" s="714" t="s">
        <v>17</v>
      </c>
      <c r="S39" s="715">
        <f t="shared" si="12"/>
        <v>100</v>
      </c>
      <c r="T39" s="714" t="s">
        <v>17</v>
      </c>
      <c r="U39" s="715">
        <f t="shared" si="13"/>
        <v>100</v>
      </c>
      <c r="V39" s="714" t="s">
        <v>17</v>
      </c>
      <c r="W39" s="715">
        <f t="shared" si="14"/>
        <v>100</v>
      </c>
      <c r="X39" s="1509"/>
      <c r="Y39" s="3515"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513"/>
      <c r="Q40" s="1506" t="str">
        <f t="shared" si="11"/>
        <v>市政基础设施</v>
      </c>
      <c r="R40" s="714" t="s">
        <v>17</v>
      </c>
      <c r="S40" s="715">
        <f t="shared" si="12"/>
        <v>100</v>
      </c>
      <c r="T40" s="714" t="s">
        <v>17</v>
      </c>
      <c r="U40" s="715">
        <f t="shared" si="13"/>
        <v>100</v>
      </c>
      <c r="V40" s="714" t="s">
        <v>17</v>
      </c>
      <c r="W40" s="715">
        <f t="shared" si="14"/>
        <v>100</v>
      </c>
      <c r="X40" s="1509"/>
      <c r="Y40" s="3515"/>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513"/>
      <c r="Q41" s="1506" t="str">
        <f t="shared" si="11"/>
        <v>层高</v>
      </c>
      <c r="R41" s="714" t="s">
        <v>17</v>
      </c>
      <c r="S41" s="715">
        <f t="shared" si="12"/>
        <v>100</v>
      </c>
      <c r="T41" s="714" t="s">
        <v>17</v>
      </c>
      <c r="U41" s="715">
        <f t="shared" si="13"/>
        <v>100</v>
      </c>
      <c r="V41" s="714" t="s">
        <v>17</v>
      </c>
      <c r="W41" s="715">
        <f t="shared" si="14"/>
        <v>100</v>
      </c>
      <c r="X41" s="1509"/>
      <c r="Y41" s="3515"/>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513"/>
      <c r="Q42" s="716" t="str">
        <f t="shared" si="11"/>
        <v>单套建筑面积</v>
      </c>
      <c r="R42" s="717" t="s">
        <v>17</v>
      </c>
      <c r="S42" s="718">
        <f t="shared" si="12"/>
        <v>100</v>
      </c>
      <c r="T42" s="717" t="s">
        <v>17</v>
      </c>
      <c r="U42" s="718">
        <f t="shared" si="13"/>
        <v>100</v>
      </c>
      <c r="V42" s="717" t="s">
        <v>17</v>
      </c>
      <c r="W42" s="718">
        <f t="shared" si="14"/>
        <v>100</v>
      </c>
      <c r="X42" s="719"/>
      <c r="Y42" s="3515"/>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513"/>
      <c r="Q43" s="1506" t="str">
        <f t="shared" si="11"/>
        <v>内部装修</v>
      </c>
      <c r="R43" s="714" t="s">
        <v>17</v>
      </c>
      <c r="S43" s="715">
        <f t="shared" si="12"/>
        <v>100</v>
      </c>
      <c r="T43" s="714" t="s">
        <v>17</v>
      </c>
      <c r="U43" s="715">
        <f t="shared" si="13"/>
        <v>100</v>
      </c>
      <c r="V43" s="714" t="s">
        <v>17</v>
      </c>
      <c r="W43" s="715">
        <f t="shared" si="14"/>
        <v>100</v>
      </c>
      <c r="X43" s="1509"/>
      <c r="Y43" s="3515"/>
      <c r="Z43" s="1510" t="str">
        <f t="shared" si="15"/>
        <v>内部装修</v>
      </c>
      <c r="AA43" s="1507">
        <f t="shared" si="3"/>
        <v>1</v>
      </c>
      <c r="AB43" s="1507">
        <f t="shared" si="4"/>
        <v>1</v>
      </c>
      <c r="AC43" s="2118">
        <f t="shared" si="5"/>
        <v>1</v>
      </c>
    </row>
    <row r="44" spans="1:29" ht="28.8">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513"/>
      <c r="Q44" s="1506" t="str">
        <f t="shared" si="11"/>
        <v>内部装修维护情况</v>
      </c>
      <c r="R44" s="714" t="s">
        <v>17</v>
      </c>
      <c r="S44" s="715">
        <f t="shared" si="12"/>
        <v>100</v>
      </c>
      <c r="T44" s="714" t="s">
        <v>17</v>
      </c>
      <c r="U44" s="715">
        <f t="shared" si="13"/>
        <v>100</v>
      </c>
      <c r="V44" s="714" t="s">
        <v>17</v>
      </c>
      <c r="W44" s="715">
        <f t="shared" si="14"/>
        <v>100</v>
      </c>
      <c r="X44" s="1509"/>
      <c r="Y44" s="351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513"/>
      <c r="Q45" s="1497">
        <f t="shared" si="11"/>
        <v>111</v>
      </c>
      <c r="R45" s="710" t="s">
        <v>17</v>
      </c>
      <c r="S45" s="711">
        <f t="shared" si="12"/>
        <v>100</v>
      </c>
      <c r="T45" s="710" t="s">
        <v>17</v>
      </c>
      <c r="U45" s="711">
        <f t="shared" si="13"/>
        <v>100</v>
      </c>
      <c r="V45" s="710" t="s">
        <v>17</v>
      </c>
      <c r="W45" s="711">
        <f t="shared" si="14"/>
        <v>100</v>
      </c>
      <c r="X45" s="712"/>
      <c r="Y45" s="351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513"/>
      <c r="Q46" s="1506">
        <f t="shared" si="11"/>
        <v>111</v>
      </c>
      <c r="R46" s="714" t="s">
        <v>17</v>
      </c>
      <c r="S46" s="715">
        <f t="shared" si="12"/>
        <v>100</v>
      </c>
      <c r="T46" s="714" t="s">
        <v>17</v>
      </c>
      <c r="U46" s="715">
        <f t="shared" si="13"/>
        <v>100</v>
      </c>
      <c r="V46" s="714" t="s">
        <v>17</v>
      </c>
      <c r="W46" s="715">
        <f t="shared" si="14"/>
        <v>100</v>
      </c>
      <c r="X46" s="1509"/>
      <c r="Y46" s="3515"/>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514"/>
      <c r="Q47" s="1506">
        <f t="shared" si="11"/>
        <v>111</v>
      </c>
      <c r="R47" s="714" t="s">
        <v>17</v>
      </c>
      <c r="S47" s="715">
        <f t="shared" si="12"/>
        <v>100</v>
      </c>
      <c r="T47" s="714" t="s">
        <v>17</v>
      </c>
      <c r="U47" s="715">
        <f t="shared" si="13"/>
        <v>100</v>
      </c>
      <c r="V47" s="714" t="s">
        <v>17</v>
      </c>
      <c r="W47" s="715">
        <f t="shared" si="14"/>
        <v>100</v>
      </c>
      <c r="X47" s="1509"/>
      <c r="Y47" s="3516"/>
      <c r="Z47" s="1510">
        <f t="shared" si="15"/>
        <v>111</v>
      </c>
      <c r="AA47" s="1507">
        <f t="shared" si="3"/>
        <v>1</v>
      </c>
      <c r="AB47" s="1507">
        <f t="shared" si="4"/>
        <v>1</v>
      </c>
      <c r="AC47" s="2118">
        <f t="shared" si="5"/>
        <v>1</v>
      </c>
    </row>
    <row r="48" spans="1:29" ht="14.4">
      <c r="A48" s="438" t="s">
        <v>2337</v>
      </c>
      <c r="B48" s="439"/>
      <c r="C48" s="1288" t="s">
        <v>1</v>
      </c>
      <c r="D48" s="1289"/>
      <c r="E48" s="1290"/>
      <c r="F48" s="1291"/>
      <c r="G48" s="1292"/>
      <c r="H48" s="1293"/>
      <c r="I48" s="1290"/>
      <c r="J48" s="444"/>
      <c r="K48" s="723"/>
      <c r="L48" s="2919"/>
      <c r="M48" s="2911"/>
      <c r="N48" s="2911"/>
      <c r="O48" s="2911"/>
      <c r="P48" s="3490" t="str">
        <f>A48</f>
        <v>成交单价（元/平方米）</v>
      </c>
      <c r="Q48" s="3508"/>
      <c r="R48" s="3509">
        <f>E48</f>
        <v>0</v>
      </c>
      <c r="S48" s="3509"/>
      <c r="T48" s="3509">
        <f>G48</f>
        <v>0</v>
      </c>
      <c r="U48" s="3509"/>
      <c r="V48" s="3509">
        <f>I48</f>
        <v>0</v>
      </c>
      <c r="W48" s="3509"/>
      <c r="X48" s="405"/>
      <c r="Y48" s="721"/>
      <c r="Z48" s="405"/>
      <c r="AA48" s="405"/>
      <c r="AB48" s="405"/>
      <c r="AC48" s="586"/>
    </row>
    <row r="49" spans="1:29" ht="1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90" t="str">
        <f>A49</f>
        <v>比较价值（元/平方米）</v>
      </c>
      <c r="Q49" s="3508"/>
      <c r="R49" s="3509" t="e">
        <f>IF(F1="售价",ROUND(PRODUCT(R48,AA7:AA47),0),ROUND(PRODUCT(R48,AA7:AA47),1))</f>
        <v>#DIV/0!</v>
      </c>
      <c r="S49" s="3509"/>
      <c r="T49" s="3509" t="e">
        <f>IF(F1="售价",ROUND(PRODUCT(T48,AB7:AB47),0),ROUND(PRODUCT(T48,AB7:AB47),1))</f>
        <v>#DIV/0!</v>
      </c>
      <c r="U49" s="3509"/>
      <c r="V49" s="3509" t="e">
        <f>IF(F1="售价",ROUND(PRODUCT(V48,AC7:AC47),0),ROUND(PRODUCT(V48,AC7:AC47),1))</f>
        <v>#DIV/0!</v>
      </c>
      <c r="W49" s="3509"/>
      <c r="X49" s="405"/>
      <c r="Y49" s="405"/>
      <c r="Z49" s="405"/>
      <c r="AA49" s="405"/>
      <c r="AB49" s="405"/>
      <c r="AC49" s="586"/>
    </row>
    <row r="50" spans="1:29" ht="15" thickBot="1">
      <c r="A50" s="449" t="s">
        <v>2430</v>
      </c>
      <c r="B50" s="450"/>
      <c r="C50" s="1297" t="e">
        <f>R50</f>
        <v>#DIV/0!</v>
      </c>
      <c r="D50" s="1297"/>
      <c r="E50" s="1297"/>
      <c r="F50" s="1297"/>
      <c r="G50" s="1297"/>
      <c r="H50" s="1297"/>
      <c r="I50" s="1297"/>
      <c r="J50" s="451"/>
      <c r="K50" s="724"/>
      <c r="L50" s="2919"/>
      <c r="M50" s="2911"/>
      <c r="N50" s="2911"/>
      <c r="O50" s="2911"/>
      <c r="P50" s="3531" t="str">
        <f>A50</f>
        <v>估价对象XX用房的比较价值（楼面单价，元/平方米）</v>
      </c>
      <c r="Q50" s="3532"/>
      <c r="R50" s="3533" t="e">
        <f>IF(F1="售价",ROUND(IF(D49="简单平均",AVERAGE(R49:V49),R49*F49+T49*H49+V49*J49),0),ROUND(IF(D49="简单平均",AVERAGE(R49:V49),R49*F49+T49*H49+V49*J49),1))</f>
        <v>#DIV/0!</v>
      </c>
      <c r="S50" s="3533"/>
      <c r="T50" s="3533"/>
      <c r="U50" s="3533"/>
      <c r="V50" s="3533"/>
      <c r="W50" s="353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2.2"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4.4">
      <c r="A59" s="462" t="s">
        <v>2308</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4"/>
      <c r="Q59" s="2936"/>
      <c r="R59" s="2936"/>
      <c r="S59" s="2936"/>
      <c r="T59" s="2936"/>
      <c r="U59" s="2936"/>
      <c r="V59" s="2936"/>
      <c r="W59" s="2936"/>
      <c r="X59" s="2936"/>
      <c r="Y59" s="2936"/>
      <c r="Z59" s="2936"/>
      <c r="AA59" s="2936"/>
      <c r="AB59" s="2936"/>
      <c r="AC59" s="2936"/>
    </row>
    <row r="60" spans="1:29" s="113" customFormat="1">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 thickBot="1">
      <c r="A61" s="472" t="s">
        <v>2345</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4.4">
      <c r="A62" s="478" t="s">
        <v>2310</v>
      </c>
      <c r="B62" s="467"/>
      <c r="C62" s="479" t="s">
        <v>2412</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4.4"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ht="14.4">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4.4"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4.4"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4.4"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4.4"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4.4"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4.4"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4.4"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ht="14.4">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9.4"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4.4"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4.4"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4.4"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4.4"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4.4"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4.4"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4.4"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4.4"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ht="14.4">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4.4"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4.4"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4.4"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4.4"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4.4"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4.4"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4.4"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4.4"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1515</v>
      </c>
    </row>
    <row r="2" spans="1:1">
      <c r="A2" s="1633"/>
    </row>
    <row r="3" spans="1:1" ht="17.399999999999999">
      <c r="A3" s="1634" t="str">
        <f>项目基本情况!B5&amp;"："</f>
        <v>北京汉华房地产开发有限公司：</v>
      </c>
    </row>
    <row r="4" spans="1:1" ht="34.799999999999997">
      <c r="A4" s="1635" t="str">
        <f>"受贵公司委托，我公司对"&amp;项目基本情况!S1&amp;"进行了预评估。"</f>
        <v>受贵公司委托，我公司对北京市松榆南路52、54、56号房地产抵押价值进行了预评估。</v>
      </c>
    </row>
    <row r="5" spans="1:1" ht="17.399999999999999">
      <c r="A5" s="1636" t="s">
        <v>1516</v>
      </c>
    </row>
    <row r="6" spans="1:1" ht="17.399999999999999">
      <c r="A6" s="1637" t="s">
        <v>1517</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估价对象为北京市松榆南路52、54、56号房地产，为所有。根据《国有土地使用证》[]，估价对象（分摊）出让国有建设用地使用权面积为732.75平方米，建筑面积为11501.22平方米。</v>
      </c>
    </row>
    <row r="8" spans="1:1" ht="54.6">
      <c r="A8" s="1638" t="s">
        <v>1518</v>
      </c>
    </row>
    <row r="9" spans="1:1" ht="17.399999999999999">
      <c r="A9" s="1637" t="s">
        <v>1519</v>
      </c>
    </row>
    <row r="10" spans="1:1" ht="69.59999999999999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松榆南路52、54、56号房地产,属开发建设的商业项目，该项目尚在开发建设中。根据《国有土地使用证》[]，估价对象（分摊）出让国有建设用地使用权面积为732.75平方米，规划建筑面积为11501.22平方米。</v>
      </c>
    </row>
    <row r="11" spans="1:1" ht="72">
      <c r="A11" s="1638" t="s">
        <v>1520</v>
      </c>
    </row>
    <row r="12" spans="1:1" ht="17.399999999999999">
      <c r="A12" s="1636" t="s">
        <v>1521</v>
      </c>
    </row>
    <row r="13" spans="1:1" ht="38.25" customHeight="1">
      <c r="A13" s="1639"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640" t="s">
        <v>1522</v>
      </c>
    </row>
    <row r="15" spans="1:1" ht="17.399999999999999">
      <c r="A15" s="1641" t="str">
        <f>TEXT(项目基本情况!D3,"yyyy年m月d日;;")&amp;IF(项目基本情况!D3=项目基本情况!B3,"（评估专业人员实地查勘之日）","")</f>
        <v>2022年1月11日（评估专业人员实地查勘之日）</v>
      </c>
    </row>
    <row r="16" spans="1:1" ht="17.399999999999999">
      <c r="A16" s="1640" t="s">
        <v>1523</v>
      </c>
    </row>
    <row r="17" spans="1:1" ht="69.599999999999994">
      <c r="A17" s="1635" t="s">
        <v>1524</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35" t="str">
        <f>IF(项目基本情况!B9="房地产市场价值","——",IF(项目基本情况!E9="——","",定义!C57))</f>
        <v/>
      </c>
    </row>
    <row r="23" spans="1:1" ht="17.399999999999999">
      <c r="A23" s="1640" t="s">
        <v>1513</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11501.220000000001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2405</v>
      </c>
      <c r="B4" s="362"/>
      <c r="C4" s="3491" t="s">
        <v>2406</v>
      </c>
      <c r="D4" s="3492"/>
      <c r="E4" s="3493" t="s">
        <v>2407</v>
      </c>
      <c r="F4" s="3494"/>
      <c r="G4" s="3491" t="s">
        <v>2408</v>
      </c>
      <c r="H4" s="3492"/>
      <c r="I4" s="3491" t="s">
        <v>2409</v>
      </c>
      <c r="J4" s="3492"/>
      <c r="K4" s="567" t="s">
        <v>2410</v>
      </c>
      <c r="L4" s="1044"/>
      <c r="M4" s="1045"/>
      <c r="N4" s="1045"/>
      <c r="O4" s="1045"/>
      <c r="P4" s="3495" t="s">
        <v>2411</v>
      </c>
      <c r="Q4" s="3496"/>
      <c r="R4" s="3478" t="s">
        <v>2407</v>
      </c>
      <c r="S4" s="3479"/>
      <c r="T4" s="3478" t="s">
        <v>2408</v>
      </c>
      <c r="U4" s="3479"/>
      <c r="V4" s="3503" t="s">
        <v>2409</v>
      </c>
      <c r="W4" s="3503"/>
      <c r="X4" s="1509"/>
      <c r="Y4" s="3478" t="s">
        <v>2411</v>
      </c>
      <c r="Z4" s="3479"/>
      <c r="AA4" s="3473" t="s">
        <v>2407</v>
      </c>
      <c r="AB4" s="3474" t="s">
        <v>2408</v>
      </c>
      <c r="AC4" s="3473" t="s">
        <v>2409</v>
      </c>
    </row>
    <row r="5" spans="1:29">
      <c r="A5" s="364"/>
      <c r="B5" s="365"/>
      <c r="C5" s="3484" t="s">
        <v>2302</v>
      </c>
      <c r="D5" s="3485"/>
      <c r="E5" s="3482" t="s">
        <v>2303</v>
      </c>
      <c r="F5" s="3483"/>
      <c r="G5" s="3484" t="s">
        <v>2304</v>
      </c>
      <c r="H5" s="3485"/>
      <c r="I5" s="3484" t="s">
        <v>2305</v>
      </c>
      <c r="J5" s="3485"/>
      <c r="K5" s="567"/>
      <c r="L5" s="1044"/>
      <c r="M5" s="1045"/>
      <c r="N5" s="1045"/>
      <c r="O5" s="1045"/>
      <c r="P5" s="3497"/>
      <c r="Q5" s="3498"/>
      <c r="R5" s="3480"/>
      <c r="S5" s="3481"/>
      <c r="T5" s="3480"/>
      <c r="U5" s="3481"/>
      <c r="V5" s="3503"/>
      <c r="W5" s="3503"/>
      <c r="X5" s="1509"/>
      <c r="Y5" s="3480"/>
      <c r="Z5" s="3481"/>
      <c r="AA5" s="3474"/>
      <c r="AB5" s="3474"/>
      <c r="AC5" s="3474"/>
    </row>
    <row r="6" spans="1:29" ht="15" thickBot="1">
      <c r="A6" s="366"/>
      <c r="B6" s="367"/>
      <c r="C6" s="3486" t="s">
        <v>2306</v>
      </c>
      <c r="D6" s="3487"/>
      <c r="E6" s="3488" t="s">
        <v>2306</v>
      </c>
      <c r="F6" s="3489"/>
      <c r="G6" s="3486" t="s">
        <v>2306</v>
      </c>
      <c r="H6" s="3487"/>
      <c r="I6" s="3486" t="s">
        <v>2306</v>
      </c>
      <c r="J6" s="3487"/>
      <c r="K6" s="567" t="s">
        <v>2307</v>
      </c>
      <c r="L6" s="1044"/>
      <c r="M6" s="1045"/>
      <c r="N6" s="1045"/>
      <c r="O6" s="1045"/>
      <c r="P6" s="3499"/>
      <c r="Q6" s="3500"/>
      <c r="R6" s="3480"/>
      <c r="S6" s="3481"/>
      <c r="T6" s="3501"/>
      <c r="U6" s="3502"/>
      <c r="V6" s="3503"/>
      <c r="W6" s="3503"/>
      <c r="X6" s="1509"/>
      <c r="Y6" s="3501"/>
      <c r="Z6" s="3502"/>
      <c r="AA6" s="3475"/>
      <c r="AB6" s="3475"/>
      <c r="AC6" s="3475"/>
    </row>
    <row r="7" spans="1:29" s="113" customFormat="1" ht="15" thickBot="1">
      <c r="A7" s="368" t="s">
        <v>2308</v>
      </c>
      <c r="B7" s="369"/>
      <c r="C7" s="370">
        <f>'数据-取费表'!B2</f>
        <v>44572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6" t="s">
        <v>2309</v>
      </c>
      <c r="Q7" s="3504"/>
      <c r="R7" s="710" t="s">
        <v>17</v>
      </c>
      <c r="S7" s="711">
        <f t="shared" ref="S7:S15" si="0">F7</f>
        <v>0</v>
      </c>
      <c r="T7" s="710" t="s">
        <v>17</v>
      </c>
      <c r="U7" s="711">
        <f t="shared" ref="U7:U15" si="1">H7</f>
        <v>0</v>
      </c>
      <c r="V7" s="710" t="s">
        <v>17</v>
      </c>
      <c r="W7" s="711">
        <f t="shared" ref="W7:W15" si="2">J7</f>
        <v>0</v>
      </c>
      <c r="X7" s="712"/>
      <c r="Y7" s="3476" t="s">
        <v>2309</v>
      </c>
      <c r="Z7" s="3477"/>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6" t="s">
        <v>2312</v>
      </c>
      <c r="Q8" s="3477"/>
      <c r="R8" s="710" t="s">
        <v>17</v>
      </c>
      <c r="S8" s="711">
        <f t="shared" si="0"/>
        <v>0</v>
      </c>
      <c r="T8" s="710" t="s">
        <v>17</v>
      </c>
      <c r="U8" s="711">
        <f t="shared" si="1"/>
        <v>0</v>
      </c>
      <c r="V8" s="710" t="s">
        <v>17</v>
      </c>
      <c r="W8" s="711">
        <f t="shared" si="2"/>
        <v>0</v>
      </c>
      <c r="X8" s="712"/>
      <c r="Y8" s="3476" t="s">
        <v>2312</v>
      </c>
      <c r="Z8" s="3477"/>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08"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08"/>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08"/>
      <c r="Q11" s="1497"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08"/>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08"/>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08"/>
      <c r="Q14" s="1497">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69">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0" t="s">
        <v>2320</v>
      </c>
      <c r="Q15" s="1506" t="str">
        <f t="shared" si="6"/>
        <v>产业集聚程度</v>
      </c>
      <c r="R15" s="714" t="s">
        <v>17</v>
      </c>
      <c r="S15" s="715">
        <f t="shared" si="0"/>
        <v>100</v>
      </c>
      <c r="T15" s="714" t="s">
        <v>17</v>
      </c>
      <c r="U15" s="715">
        <f t="shared" si="1"/>
        <v>100</v>
      </c>
      <c r="V15" s="714" t="s">
        <v>17</v>
      </c>
      <c r="W15" s="715">
        <f t="shared" si="2"/>
        <v>100</v>
      </c>
      <c r="X15" s="1509"/>
      <c r="Y15" s="3510"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11"/>
      <c r="Q16" s="1506"/>
      <c r="R16" s="714"/>
      <c r="S16" s="715"/>
      <c r="T16" s="714"/>
      <c r="U16" s="715"/>
      <c r="V16" s="714"/>
      <c r="W16" s="715"/>
      <c r="X16" s="1509"/>
      <c r="Y16" s="3511"/>
      <c r="Z16" s="1510"/>
      <c r="AA16" s="1507">
        <v>1</v>
      </c>
      <c r="AB16" s="1507">
        <v>1</v>
      </c>
      <c r="AC16" s="1507">
        <v>1</v>
      </c>
    </row>
    <row r="17" spans="1:29" ht="96.6">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1"/>
      <c r="Q17" s="1506" t="str">
        <f>B17</f>
        <v>交通便捷度</v>
      </c>
      <c r="R17" s="714" t="s">
        <v>17</v>
      </c>
      <c r="S17" s="715">
        <f>F17</f>
        <v>100</v>
      </c>
      <c r="T17" s="714" t="s">
        <v>17</v>
      </c>
      <c r="U17" s="715">
        <f>H17</f>
        <v>100</v>
      </c>
      <c r="V17" s="714" t="s">
        <v>17</v>
      </c>
      <c r="W17" s="715">
        <f>J17</f>
        <v>100</v>
      </c>
      <c r="X17" s="1509"/>
      <c r="Y17" s="351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11"/>
      <c r="Q18" s="1506"/>
      <c r="R18" s="714"/>
      <c r="S18" s="715"/>
      <c r="T18" s="714"/>
      <c r="U18" s="715"/>
      <c r="V18" s="714"/>
      <c r="W18" s="715"/>
      <c r="X18" s="1509"/>
      <c r="Y18" s="3511"/>
      <c r="Z18" s="1510"/>
      <c r="AA18" s="1507">
        <v>1</v>
      </c>
      <c r="AB18" s="1507">
        <v>1</v>
      </c>
      <c r="AC18" s="1507">
        <v>1</v>
      </c>
    </row>
    <row r="19" spans="1:29" ht="41.4">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1"/>
      <c r="Q19" s="1506" t="str">
        <f>B19</f>
        <v>公共配套设施</v>
      </c>
      <c r="R19" s="714" t="s">
        <v>17</v>
      </c>
      <c r="S19" s="715">
        <f>F19</f>
        <v>100</v>
      </c>
      <c r="T19" s="714" t="s">
        <v>17</v>
      </c>
      <c r="U19" s="715">
        <f>H19</f>
        <v>100</v>
      </c>
      <c r="V19" s="714" t="s">
        <v>17</v>
      </c>
      <c r="W19" s="715">
        <f>J19</f>
        <v>100</v>
      </c>
      <c r="X19" s="1509"/>
      <c r="Y19" s="351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11"/>
      <c r="Q20" s="1506"/>
      <c r="R20" s="714"/>
      <c r="S20" s="715"/>
      <c r="T20" s="714"/>
      <c r="U20" s="715"/>
      <c r="V20" s="714"/>
      <c r="W20" s="715"/>
      <c r="X20" s="1509"/>
      <c r="Y20" s="3511"/>
      <c r="Z20" s="1510"/>
      <c r="AA20" s="1507">
        <v>1</v>
      </c>
      <c r="AB20" s="1507">
        <v>1</v>
      </c>
      <c r="AC20" s="1507">
        <v>1</v>
      </c>
    </row>
    <row r="21" spans="1:29" ht="41.4">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1"/>
      <c r="Q21" s="1506" t="str">
        <f>B21</f>
        <v>基础设施水平</v>
      </c>
      <c r="R21" s="714" t="s">
        <v>17</v>
      </c>
      <c r="S21" s="715">
        <f>F21</f>
        <v>100</v>
      </c>
      <c r="T21" s="714" t="s">
        <v>17</v>
      </c>
      <c r="U21" s="715">
        <f>H21</f>
        <v>100</v>
      </c>
      <c r="V21" s="714" t="s">
        <v>17</v>
      </c>
      <c r="W21" s="715">
        <f>J21</f>
        <v>100</v>
      </c>
      <c r="X21" s="1509"/>
      <c r="Y21" s="351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11"/>
      <c r="Q22" s="1506"/>
      <c r="R22" s="714"/>
      <c r="S22" s="715"/>
      <c r="T22" s="714"/>
      <c r="U22" s="715"/>
      <c r="V22" s="714"/>
      <c r="W22" s="715"/>
      <c r="X22" s="1509"/>
      <c r="Y22" s="3511"/>
      <c r="Z22" s="1510"/>
      <c r="AA22" s="1507">
        <v>1</v>
      </c>
      <c r="AB22" s="1507">
        <v>1</v>
      </c>
      <c r="AC22" s="1507">
        <v>1</v>
      </c>
    </row>
    <row r="23" spans="1:29" ht="82.8">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1"/>
      <c r="Q23" s="1506" t="str">
        <f>B23</f>
        <v>环境质量</v>
      </c>
      <c r="R23" s="714" t="s">
        <v>17</v>
      </c>
      <c r="S23" s="715">
        <f>F23</f>
        <v>100</v>
      </c>
      <c r="T23" s="714" t="s">
        <v>17</v>
      </c>
      <c r="U23" s="715">
        <f>H23</f>
        <v>100</v>
      </c>
      <c r="V23" s="714" t="s">
        <v>17</v>
      </c>
      <c r="W23" s="715">
        <f>J23</f>
        <v>100</v>
      </c>
      <c r="X23" s="1509"/>
      <c r="Y23" s="351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11"/>
      <c r="Q24" s="1506"/>
      <c r="R24" s="714"/>
      <c r="S24" s="715"/>
      <c r="T24" s="714"/>
      <c r="U24" s="715"/>
      <c r="V24" s="714"/>
      <c r="W24" s="715"/>
      <c r="X24" s="1509"/>
      <c r="Y24" s="351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1"/>
      <c r="Q25" s="1506">
        <f>B25</f>
        <v>111</v>
      </c>
      <c r="R25" s="714" t="s">
        <v>17</v>
      </c>
      <c r="S25" s="715">
        <f>F25</f>
        <v>100</v>
      </c>
      <c r="T25" s="714" t="s">
        <v>17</v>
      </c>
      <c r="U25" s="715">
        <f>H25</f>
        <v>100</v>
      </c>
      <c r="V25" s="714" t="s">
        <v>17</v>
      </c>
      <c r="W25" s="715">
        <f>J25</f>
        <v>100</v>
      </c>
      <c r="X25" s="1509"/>
      <c r="Y25" s="351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1"/>
      <c r="Q26" s="1506">
        <f t="shared" ref="Q26:Q40" si="11">B26</f>
        <v>111</v>
      </c>
      <c r="R26" s="714" t="s">
        <v>17</v>
      </c>
      <c r="S26" s="715">
        <f>F26</f>
        <v>100</v>
      </c>
      <c r="T26" s="714" t="s">
        <v>17</v>
      </c>
      <c r="U26" s="715">
        <f>H26</f>
        <v>100</v>
      </c>
      <c r="V26" s="714" t="s">
        <v>17</v>
      </c>
      <c r="W26" s="715">
        <f>J26</f>
        <v>100</v>
      </c>
      <c r="X26" s="1509"/>
      <c r="Y26" s="351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1"/>
      <c r="Q27" s="1497">
        <f t="shared" si="11"/>
        <v>111</v>
      </c>
      <c r="R27" s="710" t="s">
        <v>17</v>
      </c>
      <c r="S27" s="711">
        <f>F27</f>
        <v>100</v>
      </c>
      <c r="T27" s="710" t="s">
        <v>17</v>
      </c>
      <c r="U27" s="711">
        <f>H27</f>
        <v>100</v>
      </c>
      <c r="V27" s="710" t="s">
        <v>17</v>
      </c>
      <c r="W27" s="711">
        <f>J27</f>
        <v>100</v>
      </c>
      <c r="X27" s="712"/>
      <c r="Y27" s="3511"/>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1"/>
      <c r="Q28" s="1506">
        <f t="shared" si="11"/>
        <v>111</v>
      </c>
      <c r="R28" s="714" t="s">
        <v>17</v>
      </c>
      <c r="S28" s="715">
        <f t="shared" ref="S28:S40" si="12">F28</f>
        <v>100</v>
      </c>
      <c r="T28" s="714" t="s">
        <v>17</v>
      </c>
      <c r="U28" s="715">
        <f t="shared" ref="U28:U40" si="13">H28</f>
        <v>100</v>
      </c>
      <c r="V28" s="714" t="s">
        <v>17</v>
      </c>
      <c r="W28" s="715">
        <f t="shared" ref="W28:W40" si="14">J28</f>
        <v>100</v>
      </c>
      <c r="X28" s="1509"/>
      <c r="Y28" s="3511"/>
      <c r="Z28" s="1510">
        <f t="shared" ref="Z28:Z40" si="15">Q28</f>
        <v>111</v>
      </c>
      <c r="AA28" s="1507">
        <f t="shared" si="3"/>
        <v>1</v>
      </c>
      <c r="AB28" s="1507">
        <f t="shared" si="4"/>
        <v>1</v>
      </c>
      <c r="AC28" s="1507">
        <f t="shared" si="5"/>
        <v>1</v>
      </c>
    </row>
    <row r="29" spans="1:29" ht="30">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34" t="s">
        <v>2325</v>
      </c>
      <c r="Q29" s="1506" t="str">
        <f t="shared" si="11"/>
        <v>建筑类型</v>
      </c>
      <c r="R29" s="714" t="s">
        <v>17</v>
      </c>
      <c r="S29" s="715">
        <f t="shared" si="12"/>
        <v>100</v>
      </c>
      <c r="T29" s="714" t="s">
        <v>17</v>
      </c>
      <c r="U29" s="715">
        <f t="shared" si="13"/>
        <v>100</v>
      </c>
      <c r="V29" s="714" t="s">
        <v>17</v>
      </c>
      <c r="W29" s="715">
        <f t="shared" si="14"/>
        <v>100</v>
      </c>
      <c r="X29" s="1509"/>
      <c r="Y29" s="3515"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15"/>
      <c r="Q30" s="716" t="str">
        <f t="shared" si="11"/>
        <v>项目建筑规模</v>
      </c>
      <c r="R30" s="717" t="s">
        <v>17</v>
      </c>
      <c r="S30" s="718" t="e">
        <f t="shared" si="12"/>
        <v>#N/A</v>
      </c>
      <c r="T30" s="717" t="s">
        <v>17</v>
      </c>
      <c r="U30" s="718" t="e">
        <f t="shared" si="13"/>
        <v>#N/A</v>
      </c>
      <c r="V30" s="717" t="s">
        <v>17</v>
      </c>
      <c r="W30" s="718" t="e">
        <f t="shared" si="14"/>
        <v>#N/A</v>
      </c>
      <c r="X30" s="719"/>
      <c r="Y30" s="3515"/>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15"/>
      <c r="Q31" s="1506" t="str">
        <f t="shared" si="11"/>
        <v>建筑结构</v>
      </c>
      <c r="R31" s="714" t="s">
        <v>17</v>
      </c>
      <c r="S31" s="715">
        <f t="shared" si="12"/>
        <v>100</v>
      </c>
      <c r="T31" s="714" t="s">
        <v>17</v>
      </c>
      <c r="U31" s="715">
        <f t="shared" si="13"/>
        <v>100</v>
      </c>
      <c r="V31" s="714" t="s">
        <v>17</v>
      </c>
      <c r="W31" s="715">
        <f t="shared" si="14"/>
        <v>100</v>
      </c>
      <c r="X31" s="1509"/>
      <c r="Y31" s="3515"/>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15"/>
      <c r="Q32" s="1506" t="str">
        <f t="shared" si="11"/>
        <v>公共部分装修</v>
      </c>
      <c r="R32" s="714" t="s">
        <v>17</v>
      </c>
      <c r="S32" s="715">
        <f t="shared" si="12"/>
        <v>100</v>
      </c>
      <c r="T32" s="714" t="s">
        <v>17</v>
      </c>
      <c r="U32" s="715">
        <f t="shared" si="13"/>
        <v>100</v>
      </c>
      <c r="V32" s="714" t="s">
        <v>17</v>
      </c>
      <c r="W32" s="715">
        <f t="shared" si="14"/>
        <v>100</v>
      </c>
      <c r="X32" s="1509"/>
      <c r="Y32" s="3515"/>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15"/>
      <c r="Q33" s="1506" t="str">
        <f t="shared" si="11"/>
        <v>成新度</v>
      </c>
      <c r="R33" s="714" t="s">
        <v>17</v>
      </c>
      <c r="S33" s="715" t="e">
        <f t="shared" si="12"/>
        <v>#N/A</v>
      </c>
      <c r="T33" s="714" t="s">
        <v>17</v>
      </c>
      <c r="U33" s="715" t="e">
        <f t="shared" si="13"/>
        <v>#N/A</v>
      </c>
      <c r="V33" s="714" t="s">
        <v>17</v>
      </c>
      <c r="W33" s="715" t="e">
        <f t="shared" si="14"/>
        <v>#N/A</v>
      </c>
      <c r="X33" s="1509"/>
      <c r="Y33" s="3515"/>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15"/>
      <c r="Q34" s="1497" t="str">
        <f t="shared" si="11"/>
        <v>物业管理</v>
      </c>
      <c r="R34" s="710" t="s">
        <v>17</v>
      </c>
      <c r="S34" s="711">
        <f t="shared" si="12"/>
        <v>100</v>
      </c>
      <c r="T34" s="710" t="s">
        <v>17</v>
      </c>
      <c r="U34" s="711">
        <f t="shared" si="13"/>
        <v>100</v>
      </c>
      <c r="V34" s="710" t="s">
        <v>17</v>
      </c>
      <c r="W34" s="711">
        <f t="shared" si="14"/>
        <v>100</v>
      </c>
      <c r="X34" s="712"/>
      <c r="Y34" s="351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15" t="s">
        <v>2325</v>
      </c>
      <c r="Q35" s="1506" t="str">
        <f t="shared" si="11"/>
        <v>市政基础设施</v>
      </c>
      <c r="R35" s="714" t="s">
        <v>17</v>
      </c>
      <c r="S35" s="715">
        <f t="shared" si="12"/>
        <v>100</v>
      </c>
      <c r="T35" s="714" t="s">
        <v>17</v>
      </c>
      <c r="U35" s="715">
        <f t="shared" si="13"/>
        <v>100</v>
      </c>
      <c r="V35" s="714" t="s">
        <v>17</v>
      </c>
      <c r="W35" s="715">
        <f t="shared" si="14"/>
        <v>100</v>
      </c>
      <c r="X35" s="1509"/>
      <c r="Y35" s="3515"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15"/>
      <c r="Q36" s="1506" t="str">
        <f t="shared" si="11"/>
        <v>内部装修</v>
      </c>
      <c r="R36" s="714" t="s">
        <v>17</v>
      </c>
      <c r="S36" s="715">
        <f t="shared" si="12"/>
        <v>100</v>
      </c>
      <c r="T36" s="714" t="s">
        <v>17</v>
      </c>
      <c r="U36" s="715">
        <f t="shared" si="13"/>
        <v>100</v>
      </c>
      <c r="V36" s="714" t="s">
        <v>17</v>
      </c>
      <c r="W36" s="715">
        <f t="shared" si="14"/>
        <v>100</v>
      </c>
      <c r="X36" s="1509"/>
      <c r="Y36" s="3515"/>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15"/>
      <c r="Q37" s="1506" t="str">
        <f t="shared" si="11"/>
        <v>内部装修状况</v>
      </c>
      <c r="R37" s="714" t="s">
        <v>17</v>
      </c>
      <c r="S37" s="715">
        <f t="shared" si="12"/>
        <v>100</v>
      </c>
      <c r="T37" s="714" t="s">
        <v>17</v>
      </c>
      <c r="U37" s="715">
        <f t="shared" si="13"/>
        <v>100</v>
      </c>
      <c r="V37" s="714" t="s">
        <v>17</v>
      </c>
      <c r="W37" s="715">
        <f t="shared" si="14"/>
        <v>100</v>
      </c>
      <c r="X37" s="1509"/>
      <c r="Y37" s="351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15"/>
      <c r="Q38" s="716">
        <f t="shared" si="11"/>
        <v>111</v>
      </c>
      <c r="R38" s="717" t="s">
        <v>17</v>
      </c>
      <c r="S38" s="718">
        <f t="shared" si="12"/>
        <v>100</v>
      </c>
      <c r="T38" s="717" t="s">
        <v>17</v>
      </c>
      <c r="U38" s="718">
        <f t="shared" si="13"/>
        <v>100</v>
      </c>
      <c r="V38" s="717" t="s">
        <v>17</v>
      </c>
      <c r="W38" s="718">
        <f t="shared" si="14"/>
        <v>100</v>
      </c>
      <c r="X38" s="719"/>
      <c r="Y38" s="351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15"/>
      <c r="Q39" s="1506">
        <f t="shared" si="11"/>
        <v>111</v>
      </c>
      <c r="R39" s="714" t="s">
        <v>17</v>
      </c>
      <c r="S39" s="715">
        <f t="shared" si="12"/>
        <v>100</v>
      </c>
      <c r="T39" s="714" t="s">
        <v>17</v>
      </c>
      <c r="U39" s="715">
        <f t="shared" si="13"/>
        <v>100</v>
      </c>
      <c r="V39" s="714" t="s">
        <v>17</v>
      </c>
      <c r="W39" s="715">
        <f t="shared" si="14"/>
        <v>100</v>
      </c>
      <c r="X39" s="1509"/>
      <c r="Y39" s="3515"/>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16"/>
      <c r="Q40" s="1506">
        <f t="shared" si="11"/>
        <v>111</v>
      </c>
      <c r="R40" s="714" t="s">
        <v>17</v>
      </c>
      <c r="S40" s="715">
        <f t="shared" si="12"/>
        <v>100</v>
      </c>
      <c r="T40" s="714" t="s">
        <v>17</v>
      </c>
      <c r="U40" s="715">
        <f t="shared" si="13"/>
        <v>100</v>
      </c>
      <c r="V40" s="714" t="s">
        <v>17</v>
      </c>
      <c r="W40" s="715">
        <f t="shared" si="14"/>
        <v>100</v>
      </c>
      <c r="X40" s="1509"/>
      <c r="Y40" s="3516"/>
      <c r="Z40" s="1510">
        <f t="shared" si="15"/>
        <v>111</v>
      </c>
      <c r="AA40" s="1507">
        <f t="shared" si="3"/>
        <v>1</v>
      </c>
      <c r="AB40" s="1507">
        <f t="shared" si="4"/>
        <v>1</v>
      </c>
      <c r="AC40" s="1507">
        <f t="shared" si="5"/>
        <v>1</v>
      </c>
    </row>
    <row r="41" spans="1:29" ht="14.4">
      <c r="A41" s="438" t="s">
        <v>2337</v>
      </c>
      <c r="B41" s="439"/>
      <c r="C41" s="1288" t="s">
        <v>1</v>
      </c>
      <c r="D41" s="1289"/>
      <c r="E41" s="1290"/>
      <c r="F41" s="1291"/>
      <c r="G41" s="1292"/>
      <c r="H41" s="1293"/>
      <c r="I41" s="1290"/>
      <c r="J41" s="1293"/>
      <c r="K41" s="723"/>
      <c r="L41" s="1057"/>
      <c r="M41" s="1058"/>
      <c r="N41" s="1045"/>
      <c r="O41" s="1058"/>
      <c r="P41" s="3508" t="str">
        <f>A41</f>
        <v>成交单价（元/平方米）</v>
      </c>
      <c r="Q41" s="3508"/>
      <c r="R41" s="3509">
        <f>E41</f>
        <v>0</v>
      </c>
      <c r="S41" s="3509"/>
      <c r="T41" s="3509">
        <f>G41</f>
        <v>0</v>
      </c>
      <c r="U41" s="3509"/>
      <c r="V41" s="3509">
        <f>I41</f>
        <v>0</v>
      </c>
      <c r="W41" s="3509"/>
      <c r="X41" s="699"/>
      <c r="Y41" s="721"/>
      <c r="Z41" s="699"/>
      <c r="AA41" s="699"/>
      <c r="AB41" s="699"/>
      <c r="AC41" s="699"/>
    </row>
    <row r="42" spans="1:29" ht="1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508" t="str">
        <f>A42</f>
        <v>比较价值（元/平方米）</v>
      </c>
      <c r="Q42" s="3508"/>
      <c r="R42" s="3509" t="e">
        <f>IF(F1="售价",ROUND(PRODUCT(R41,AA7:AA40),0),ROUND(PRODUCT(R41,AA7:AA40),1))</f>
        <v>#DIV/0!</v>
      </c>
      <c r="S42" s="3509"/>
      <c r="T42" s="3509" t="e">
        <f>IF(F1="售价",ROUND(PRODUCT(T41,AB7:AB40),0),ROUND(PRODUCT(T41,AB7:AB40),1))</f>
        <v>#DIV/0!</v>
      </c>
      <c r="U42" s="3509"/>
      <c r="V42" s="3509" t="e">
        <f>IF(F1="售价",ROUND(PRODUCT(V41,AC7:AC40),0),ROUND(PRODUCT(V41,AC7:AC40),1))</f>
        <v>#DIV/0!</v>
      </c>
      <c r="W42" s="3509"/>
      <c r="X42" s="699"/>
      <c r="Y42" s="699"/>
      <c r="Z42" s="699"/>
      <c r="AA42" s="699"/>
      <c r="AB42" s="699"/>
      <c r="AC42" s="699"/>
    </row>
    <row r="43" spans="1:29" ht="15" thickBot="1">
      <c r="A43" s="449" t="s">
        <v>2430</v>
      </c>
      <c r="B43" s="450"/>
      <c r="C43" s="1297" t="e">
        <f>R43</f>
        <v>#DIV/0!</v>
      </c>
      <c r="D43" s="1297"/>
      <c r="E43" s="1297"/>
      <c r="F43" s="1297"/>
      <c r="G43" s="1297"/>
      <c r="H43" s="1297"/>
      <c r="I43" s="1297"/>
      <c r="J43" s="1297"/>
      <c r="K43" s="724"/>
      <c r="L43" s="1057"/>
      <c r="M43" s="1058"/>
      <c r="N43" s="1058"/>
      <c r="O43" s="1058"/>
      <c r="P43" s="3505" t="str">
        <f>A43</f>
        <v>估价对象XX用房的比较价值（楼面单价，元/平方米）</v>
      </c>
      <c r="Q43" s="3506"/>
      <c r="R43" s="3507" t="e">
        <f>IF(F1="售价",ROUND(IF(D42="简单平均",AVERAGE(R42:V42),R42*F42+T42*H42+V42*J42),0),ROUND(IF(D42="简单平均",AVERAGE(R42:V42),R42*F42+T42*H42+V42*J42),1))</f>
        <v>#DIV/0!</v>
      </c>
      <c r="S43" s="3507"/>
      <c r="T43" s="3507"/>
      <c r="U43" s="3507"/>
      <c r="V43" s="3507"/>
      <c r="W43" s="3507"/>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2.2" thickBot="1">
      <c r="A51" s="703" t="s">
        <v>2434</v>
      </c>
      <c r="B51" s="699"/>
      <c r="C51" s="704"/>
      <c r="D51" s="704"/>
      <c r="E51" s="704"/>
      <c r="F51" s="705"/>
      <c r="G51" s="705"/>
      <c r="H51" s="704"/>
      <c r="I51" s="704"/>
      <c r="J51" s="704"/>
      <c r="K51" s="1072"/>
      <c r="L51" s="1073"/>
      <c r="M51" s="1071"/>
      <c r="N51" s="1071"/>
      <c r="O51" s="1071"/>
      <c r="P51" s="460"/>
      <c r="Q51" s="461"/>
    </row>
    <row r="52" spans="1:17" s="465" customFormat="1" ht="14.4">
      <c r="A52" s="462" t="s">
        <v>2308</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5"/>
      <c r="O54" s="2966"/>
      <c r="P54" s="461"/>
      <c r="Q54" s="461"/>
    </row>
    <row r="55" spans="1:17" s="113" customFormat="1" ht="14.4">
      <c r="A55" s="478" t="s">
        <v>2310</v>
      </c>
      <c r="B55" s="467"/>
      <c r="C55" s="479" t="s">
        <v>2412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2348</v>
      </c>
      <c r="B57" s="485" t="s">
        <v>2314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2323</v>
      </c>
      <c r="B88" s="485" t="s">
        <v>2372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4.4">
      <c r="A4" s="361" t="s">
        <v>2405</v>
      </c>
      <c r="B4" s="362"/>
      <c r="C4" s="3491" t="s">
        <v>2406</v>
      </c>
      <c r="D4" s="3492"/>
      <c r="E4" s="3493" t="s">
        <v>2407</v>
      </c>
      <c r="F4" s="3494"/>
      <c r="G4" s="3491" t="s">
        <v>2408</v>
      </c>
      <c r="H4" s="3492"/>
      <c r="I4" s="3491" t="s">
        <v>2409</v>
      </c>
      <c r="J4" s="3492"/>
      <c r="K4" s="567" t="s">
        <v>2410</v>
      </c>
      <c r="L4" s="2910"/>
      <c r="M4" s="2911"/>
      <c r="N4" s="2911"/>
      <c r="O4" s="2911"/>
      <c r="P4" s="3495" t="s">
        <v>2411</v>
      </c>
      <c r="Q4" s="3496"/>
      <c r="R4" s="3478" t="s">
        <v>2407</v>
      </c>
      <c r="S4" s="3479"/>
      <c r="T4" s="3478" t="s">
        <v>2408</v>
      </c>
      <c r="U4" s="3479"/>
      <c r="V4" s="3503" t="s">
        <v>2409</v>
      </c>
      <c r="W4" s="3503"/>
      <c r="X4" s="1509"/>
      <c r="Y4" s="3478" t="s">
        <v>2411</v>
      </c>
      <c r="Z4" s="3479"/>
      <c r="AA4" s="3473" t="s">
        <v>2407</v>
      </c>
      <c r="AB4" s="3474" t="s">
        <v>2408</v>
      </c>
      <c r="AC4" s="3473" t="s">
        <v>2409</v>
      </c>
    </row>
    <row r="5" spans="1:29">
      <c r="A5" s="364"/>
      <c r="B5" s="365"/>
      <c r="C5" s="3484" t="s">
        <v>2302</v>
      </c>
      <c r="D5" s="3485"/>
      <c r="E5" s="3482" t="s">
        <v>2303</v>
      </c>
      <c r="F5" s="3483"/>
      <c r="G5" s="3484" t="s">
        <v>2304</v>
      </c>
      <c r="H5" s="3485"/>
      <c r="I5" s="3484" t="s">
        <v>2305</v>
      </c>
      <c r="J5" s="3485"/>
      <c r="K5" s="567"/>
      <c r="L5" s="2910"/>
      <c r="M5" s="2911"/>
      <c r="N5" s="2911"/>
      <c r="O5" s="2911"/>
      <c r="P5" s="3497"/>
      <c r="Q5" s="3498"/>
      <c r="R5" s="3480"/>
      <c r="S5" s="3481"/>
      <c r="T5" s="3480"/>
      <c r="U5" s="3481"/>
      <c r="V5" s="3503"/>
      <c r="W5" s="3503"/>
      <c r="X5" s="1509"/>
      <c r="Y5" s="3480"/>
      <c r="Z5" s="3481"/>
      <c r="AA5" s="3474"/>
      <c r="AB5" s="3474"/>
      <c r="AC5" s="3474"/>
    </row>
    <row r="6" spans="1:29" ht="15" thickBot="1">
      <c r="A6" s="366"/>
      <c r="B6" s="367"/>
      <c r="C6" s="3486" t="s">
        <v>2306</v>
      </c>
      <c r="D6" s="3487"/>
      <c r="E6" s="3488" t="s">
        <v>2306</v>
      </c>
      <c r="F6" s="3489"/>
      <c r="G6" s="3486" t="s">
        <v>2306</v>
      </c>
      <c r="H6" s="3487"/>
      <c r="I6" s="3486" t="s">
        <v>2306</v>
      </c>
      <c r="J6" s="3487"/>
      <c r="K6" s="567" t="s">
        <v>2307</v>
      </c>
      <c r="L6" s="2910"/>
      <c r="M6" s="2911"/>
      <c r="N6" s="2911"/>
      <c r="O6" s="2911"/>
      <c r="P6" s="3499"/>
      <c r="Q6" s="3500"/>
      <c r="R6" s="3480"/>
      <c r="S6" s="3481"/>
      <c r="T6" s="3501"/>
      <c r="U6" s="3502"/>
      <c r="V6" s="3503"/>
      <c r="W6" s="3503"/>
      <c r="X6" s="1509"/>
      <c r="Y6" s="3501"/>
      <c r="Z6" s="3502"/>
      <c r="AA6" s="3475"/>
      <c r="AB6" s="3475"/>
      <c r="AC6" s="3475"/>
    </row>
    <row r="7" spans="1:29" s="113" customFormat="1" ht="15" thickBot="1">
      <c r="A7" s="368" t="s">
        <v>2308</v>
      </c>
      <c r="B7" s="369"/>
      <c r="C7" s="370">
        <f>'数据-取费表'!B2</f>
        <v>44572</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76" t="s">
        <v>2309</v>
      </c>
      <c r="Q7" s="3504"/>
      <c r="R7" s="710" t="s">
        <v>17</v>
      </c>
      <c r="S7" s="711">
        <f t="shared" ref="S7:S14" si="0">F7</f>
        <v>0</v>
      </c>
      <c r="T7" s="710" t="s">
        <v>17</v>
      </c>
      <c r="U7" s="711">
        <f t="shared" ref="U7:U14" si="1">H7</f>
        <v>0</v>
      </c>
      <c r="V7" s="710" t="s">
        <v>17</v>
      </c>
      <c r="W7" s="711">
        <f t="shared" ref="W7:W14" si="2">J7</f>
        <v>0</v>
      </c>
      <c r="X7" s="712"/>
      <c r="Y7" s="3476" t="s">
        <v>2309</v>
      </c>
      <c r="Z7" s="3477"/>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76" t="s">
        <v>2312</v>
      </c>
      <c r="Q8" s="3477"/>
      <c r="R8" s="710" t="s">
        <v>17</v>
      </c>
      <c r="S8" s="711">
        <f t="shared" si="0"/>
        <v>0</v>
      </c>
      <c r="T8" s="710" t="s">
        <v>17</v>
      </c>
      <c r="U8" s="711">
        <f t="shared" si="1"/>
        <v>0</v>
      </c>
      <c r="V8" s="710" t="s">
        <v>17</v>
      </c>
      <c r="W8" s="711">
        <f t="shared" si="2"/>
        <v>0</v>
      </c>
      <c r="X8" s="712"/>
      <c r="Y8" s="3476" t="s">
        <v>2312</v>
      </c>
      <c r="Z8" s="3477"/>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508" t="s">
        <v>2315</v>
      </c>
      <c r="Q9" s="1497" t="str">
        <f t="shared" ref="Q9:Q14" si="6">B9</f>
        <v>用途</v>
      </c>
      <c r="R9" s="710" t="s">
        <v>17</v>
      </c>
      <c r="S9" s="711">
        <f t="shared" si="0"/>
        <v>100</v>
      </c>
      <c r="T9" s="710" t="s">
        <v>17</v>
      </c>
      <c r="U9" s="711">
        <f t="shared" si="1"/>
        <v>100</v>
      </c>
      <c r="V9" s="710" t="s">
        <v>17</v>
      </c>
      <c r="W9" s="711">
        <f t="shared" si="2"/>
        <v>100</v>
      </c>
      <c r="X9" s="712"/>
      <c r="Y9" s="3394"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508"/>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508"/>
      <c r="Q11" s="1497">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508"/>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508"/>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
      <c r="A14" s="361" t="s">
        <v>2319</v>
      </c>
      <c r="B14" s="585" t="s">
        <v>2469</v>
      </c>
      <c r="C14" s="2127"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510" t="s">
        <v>2320</v>
      </c>
      <c r="Q14" s="1506" t="str">
        <f t="shared" si="6"/>
        <v>交通便捷度</v>
      </c>
      <c r="R14" s="714" t="s">
        <v>17</v>
      </c>
      <c r="S14" s="715">
        <f t="shared" si="0"/>
        <v>100</v>
      </c>
      <c r="T14" s="714" t="s">
        <v>17</v>
      </c>
      <c r="U14" s="715">
        <f t="shared" si="1"/>
        <v>100</v>
      </c>
      <c r="V14" s="714" t="s">
        <v>17</v>
      </c>
      <c r="W14" s="715">
        <f t="shared" si="2"/>
        <v>100</v>
      </c>
      <c r="X14" s="1509"/>
      <c r="Y14" s="3510"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511"/>
      <c r="Q15" s="1506"/>
      <c r="R15" s="714"/>
      <c r="S15" s="715"/>
      <c r="T15" s="714"/>
      <c r="U15" s="715"/>
      <c r="V15" s="714"/>
      <c r="W15" s="715"/>
      <c r="X15" s="1509"/>
      <c r="Y15" s="3511"/>
      <c r="Z15" s="1510"/>
      <c r="AA15" s="1507">
        <v>1</v>
      </c>
      <c r="AB15" s="1507">
        <v>1</v>
      </c>
      <c r="AC15" s="1507">
        <v>1</v>
      </c>
    </row>
    <row r="16" spans="1:29" ht="15">
      <c r="A16" s="364"/>
      <c r="B16" s="587" t="s">
        <v>2448</v>
      </c>
      <c r="C16" s="2056"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511"/>
      <c r="Q16" s="1506" t="str">
        <f>B16</f>
        <v>公共配套设施</v>
      </c>
      <c r="R16" s="714" t="s">
        <v>17</v>
      </c>
      <c r="S16" s="715">
        <f>F16</f>
        <v>100</v>
      </c>
      <c r="T16" s="714" t="s">
        <v>17</v>
      </c>
      <c r="U16" s="715">
        <f>H16</f>
        <v>100</v>
      </c>
      <c r="V16" s="714" t="s">
        <v>17</v>
      </c>
      <c r="W16" s="715">
        <f>J16</f>
        <v>100</v>
      </c>
      <c r="X16" s="1509"/>
      <c r="Y16" s="351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511"/>
      <c r="Q17" s="1506"/>
      <c r="R17" s="714"/>
      <c r="S17" s="715"/>
      <c r="T17" s="714"/>
      <c r="U17" s="715"/>
      <c r="V17" s="714"/>
      <c r="W17" s="715"/>
      <c r="X17" s="1509"/>
      <c r="Y17" s="3511"/>
      <c r="Z17" s="1510"/>
      <c r="AA17" s="1507">
        <v>1</v>
      </c>
      <c r="AB17" s="1507">
        <v>1</v>
      </c>
      <c r="AC17" s="1507">
        <v>1</v>
      </c>
    </row>
    <row r="18" spans="1:29" ht="15">
      <c r="A18" s="364"/>
      <c r="B18" s="589" t="s">
        <v>2449</v>
      </c>
      <c r="C18" s="205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511"/>
      <c r="Q18" s="1506" t="str">
        <f>B18</f>
        <v>基础设施水平</v>
      </c>
      <c r="R18" s="714" t="s">
        <v>17</v>
      </c>
      <c r="S18" s="715">
        <f>F18</f>
        <v>100</v>
      </c>
      <c r="T18" s="714" t="s">
        <v>17</v>
      </c>
      <c r="U18" s="715">
        <f>H18</f>
        <v>100</v>
      </c>
      <c r="V18" s="714" t="s">
        <v>17</v>
      </c>
      <c r="W18" s="715">
        <f>J18</f>
        <v>100</v>
      </c>
      <c r="X18" s="1509"/>
      <c r="Y18" s="351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511"/>
      <c r="Q19" s="1506"/>
      <c r="R19" s="714"/>
      <c r="S19" s="715"/>
      <c r="T19" s="714"/>
      <c r="U19" s="715"/>
      <c r="V19" s="714"/>
      <c r="W19" s="715"/>
      <c r="X19" s="1509"/>
      <c r="Y19" s="3511"/>
      <c r="Z19" s="1510"/>
      <c r="AA19" s="1507">
        <v>1</v>
      </c>
      <c r="AB19" s="1507">
        <v>1</v>
      </c>
      <c r="AC19" s="1507">
        <v>1</v>
      </c>
    </row>
    <row r="20" spans="1:29" ht="15">
      <c r="A20" s="364"/>
      <c r="B20" s="587" t="s">
        <v>2470</v>
      </c>
      <c r="C20" s="2056"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511"/>
      <c r="Q20" s="1506" t="str">
        <f>B20</f>
        <v>自然及人文环境</v>
      </c>
      <c r="R20" s="714" t="s">
        <v>17</v>
      </c>
      <c r="S20" s="715">
        <f>F20</f>
        <v>100</v>
      </c>
      <c r="T20" s="714" t="s">
        <v>17</v>
      </c>
      <c r="U20" s="715">
        <f>H20</f>
        <v>100</v>
      </c>
      <c r="V20" s="714" t="s">
        <v>17</v>
      </c>
      <c r="W20" s="715">
        <f>J20</f>
        <v>100</v>
      </c>
      <c r="X20" s="1509"/>
      <c r="Y20" s="351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511"/>
      <c r="Q21" s="1506"/>
      <c r="R21" s="714"/>
      <c r="S21" s="715"/>
      <c r="T21" s="714"/>
      <c r="U21" s="715"/>
      <c r="V21" s="714"/>
      <c r="W21" s="715"/>
      <c r="X21" s="1509"/>
      <c r="Y21" s="3511"/>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511"/>
      <c r="Q22" s="1506" t="str">
        <f>B22</f>
        <v>楼层</v>
      </c>
      <c r="R22" s="714" t="s">
        <v>17</v>
      </c>
      <c r="S22" s="715">
        <f>F22</f>
        <v>100</v>
      </c>
      <c r="T22" s="714" t="s">
        <v>17</v>
      </c>
      <c r="U22" s="715">
        <f>H22</f>
        <v>100</v>
      </c>
      <c r="V22" s="714" t="s">
        <v>17</v>
      </c>
      <c r="W22" s="715">
        <f>J22</f>
        <v>100</v>
      </c>
      <c r="X22" s="1509"/>
      <c r="Y22" s="351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511"/>
      <c r="Q23" s="1506">
        <f>B23</f>
        <v>111</v>
      </c>
      <c r="R23" s="714" t="s">
        <v>17</v>
      </c>
      <c r="S23" s="715">
        <f>F23</f>
        <v>100</v>
      </c>
      <c r="T23" s="714" t="s">
        <v>17</v>
      </c>
      <c r="U23" s="715">
        <f>H23</f>
        <v>100</v>
      </c>
      <c r="V23" s="714" t="s">
        <v>17</v>
      </c>
      <c r="W23" s="715">
        <f>J23</f>
        <v>100</v>
      </c>
      <c r="X23" s="1509"/>
      <c r="Y23" s="351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511"/>
      <c r="Q24" s="1506">
        <f t="shared" ref="Q24:Q36" si="11">B24</f>
        <v>111</v>
      </c>
      <c r="R24" s="714" t="s">
        <v>17</v>
      </c>
      <c r="S24" s="715">
        <f>F24</f>
        <v>100</v>
      </c>
      <c r="T24" s="714" t="s">
        <v>17</v>
      </c>
      <c r="U24" s="715">
        <f>H24</f>
        <v>100</v>
      </c>
      <c r="V24" s="714" t="s">
        <v>17</v>
      </c>
      <c r="W24" s="715">
        <f>J24</f>
        <v>100</v>
      </c>
      <c r="X24" s="1509"/>
      <c r="Y24" s="3511"/>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511"/>
      <c r="Q25" s="1497">
        <f t="shared" si="11"/>
        <v>111</v>
      </c>
      <c r="R25" s="710" t="s">
        <v>17</v>
      </c>
      <c r="S25" s="711">
        <f>F25</f>
        <v>100</v>
      </c>
      <c r="T25" s="710" t="s">
        <v>17</v>
      </c>
      <c r="U25" s="711">
        <f>H25</f>
        <v>100</v>
      </c>
      <c r="V25" s="710" t="s">
        <v>17</v>
      </c>
      <c r="W25" s="711">
        <f>J25</f>
        <v>100</v>
      </c>
      <c r="X25" s="712"/>
      <c r="Y25" s="3511"/>
      <c r="Z25" s="55">
        <f>Q25</f>
        <v>111</v>
      </c>
      <c r="AA25" s="1507">
        <f>D25/F25</f>
        <v>1</v>
      </c>
      <c r="AB25" s="1507">
        <f>D25/H25</f>
        <v>1</v>
      </c>
      <c r="AC25" s="1507">
        <f>D25/J25</f>
        <v>1</v>
      </c>
    </row>
    <row r="26" spans="1:29" ht="30">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534"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15"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515"/>
      <c r="Q27" s="716" t="str">
        <f t="shared" si="11"/>
        <v>项目停车位配比</v>
      </c>
      <c r="R27" s="717" t="s">
        <v>17</v>
      </c>
      <c r="S27" s="718">
        <f t="shared" si="12"/>
        <v>100</v>
      </c>
      <c r="T27" s="717" t="s">
        <v>17</v>
      </c>
      <c r="U27" s="718">
        <f t="shared" si="13"/>
        <v>100</v>
      </c>
      <c r="V27" s="717" t="s">
        <v>17</v>
      </c>
      <c r="W27" s="718">
        <f t="shared" si="14"/>
        <v>100</v>
      </c>
      <c r="X27" s="719"/>
      <c r="Y27" s="3515"/>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515"/>
      <c r="Q28" s="1506" t="str">
        <f t="shared" si="11"/>
        <v>公共部分装修</v>
      </c>
      <c r="R28" s="714" t="s">
        <v>17</v>
      </c>
      <c r="S28" s="715">
        <f t="shared" si="12"/>
        <v>100</v>
      </c>
      <c r="T28" s="714" t="s">
        <v>17</v>
      </c>
      <c r="U28" s="715">
        <f t="shared" si="13"/>
        <v>100</v>
      </c>
      <c r="V28" s="714" t="s">
        <v>17</v>
      </c>
      <c r="W28" s="715">
        <f t="shared" si="14"/>
        <v>100</v>
      </c>
      <c r="X28" s="1509"/>
      <c r="Y28" s="3515"/>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515"/>
      <c r="Q29" s="1506" t="str">
        <f t="shared" si="11"/>
        <v>成新率</v>
      </c>
      <c r="R29" s="714" t="s">
        <v>17</v>
      </c>
      <c r="S29" s="715" t="e">
        <f t="shared" si="12"/>
        <v>#N/A</v>
      </c>
      <c r="T29" s="714" t="s">
        <v>17</v>
      </c>
      <c r="U29" s="715" t="e">
        <f t="shared" si="13"/>
        <v>#N/A</v>
      </c>
      <c r="V29" s="714" t="s">
        <v>17</v>
      </c>
      <c r="W29" s="715" t="e">
        <f t="shared" si="14"/>
        <v>#N/A</v>
      </c>
      <c r="X29" s="1509"/>
      <c r="Y29" s="3515"/>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515"/>
      <c r="Q30" s="1506" t="str">
        <f t="shared" si="11"/>
        <v>物业等级</v>
      </c>
      <c r="R30" s="714" t="s">
        <v>17</v>
      </c>
      <c r="S30" s="715">
        <f t="shared" si="12"/>
        <v>100</v>
      </c>
      <c r="T30" s="714" t="s">
        <v>17</v>
      </c>
      <c r="U30" s="715">
        <f t="shared" si="13"/>
        <v>100</v>
      </c>
      <c r="V30" s="714" t="s">
        <v>17</v>
      </c>
      <c r="W30" s="715">
        <f t="shared" si="14"/>
        <v>100</v>
      </c>
      <c r="X30" s="1509"/>
      <c r="Y30" s="3515"/>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515"/>
      <c r="Q31" s="1497" t="str">
        <f t="shared" si="11"/>
        <v>停车位面积</v>
      </c>
      <c r="R31" s="710" t="s">
        <v>17</v>
      </c>
      <c r="S31" s="711" t="e">
        <f t="shared" si="12"/>
        <v>#N/A</v>
      </c>
      <c r="T31" s="710" t="s">
        <v>17</v>
      </c>
      <c r="U31" s="711" t="e">
        <f t="shared" si="13"/>
        <v>#N/A</v>
      </c>
      <c r="V31" s="710" t="s">
        <v>17</v>
      </c>
      <c r="W31" s="711" t="e">
        <f t="shared" si="14"/>
        <v>#N/A</v>
      </c>
      <c r="X31" s="712"/>
      <c r="Y31" s="351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515" t="s">
        <v>2325</v>
      </c>
      <c r="Q32" s="1506" t="str">
        <f t="shared" si="11"/>
        <v>车位类型</v>
      </c>
      <c r="R32" s="714" t="s">
        <v>17</v>
      </c>
      <c r="S32" s="715">
        <f t="shared" si="12"/>
        <v>100</v>
      </c>
      <c r="T32" s="714" t="s">
        <v>17</v>
      </c>
      <c r="U32" s="715">
        <f t="shared" si="13"/>
        <v>100</v>
      </c>
      <c r="V32" s="714" t="s">
        <v>17</v>
      </c>
      <c r="W32" s="715">
        <f t="shared" si="14"/>
        <v>100</v>
      </c>
      <c r="X32" s="1509"/>
      <c r="Y32" s="3515"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515"/>
      <c r="Q33" s="1506" t="str">
        <f t="shared" si="11"/>
        <v>是否直接入户</v>
      </c>
      <c r="R33" s="714" t="s">
        <v>17</v>
      </c>
      <c r="S33" s="715">
        <f t="shared" si="12"/>
        <v>100</v>
      </c>
      <c r="T33" s="714" t="s">
        <v>17</v>
      </c>
      <c r="U33" s="715">
        <f t="shared" si="13"/>
        <v>100</v>
      </c>
      <c r="V33" s="714" t="s">
        <v>17</v>
      </c>
      <c r="W33" s="715">
        <f t="shared" si="14"/>
        <v>100</v>
      </c>
      <c r="X33" s="1509"/>
      <c r="Y33" s="351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515"/>
      <c r="Q34" s="1506">
        <f t="shared" si="11"/>
        <v>111</v>
      </c>
      <c r="R34" s="714" t="s">
        <v>17</v>
      </c>
      <c r="S34" s="715">
        <f t="shared" si="12"/>
        <v>100</v>
      </c>
      <c r="T34" s="714" t="s">
        <v>17</v>
      </c>
      <c r="U34" s="715">
        <f t="shared" si="13"/>
        <v>100</v>
      </c>
      <c r="V34" s="714" t="s">
        <v>17</v>
      </c>
      <c r="W34" s="715">
        <f t="shared" si="14"/>
        <v>100</v>
      </c>
      <c r="X34" s="1509"/>
      <c r="Y34" s="351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515"/>
      <c r="Q35" s="716">
        <f t="shared" si="11"/>
        <v>111</v>
      </c>
      <c r="R35" s="717" t="s">
        <v>17</v>
      </c>
      <c r="S35" s="718">
        <f t="shared" si="12"/>
        <v>100</v>
      </c>
      <c r="T35" s="717" t="s">
        <v>17</v>
      </c>
      <c r="U35" s="718">
        <f t="shared" si="13"/>
        <v>100</v>
      </c>
      <c r="V35" s="717" t="s">
        <v>17</v>
      </c>
      <c r="W35" s="718">
        <f t="shared" si="14"/>
        <v>100</v>
      </c>
      <c r="X35" s="719"/>
      <c r="Y35" s="3515"/>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515"/>
      <c r="Q36" s="1506">
        <f t="shared" si="11"/>
        <v>111</v>
      </c>
      <c r="R36" s="714" t="s">
        <v>17</v>
      </c>
      <c r="S36" s="715">
        <f t="shared" si="12"/>
        <v>100</v>
      </c>
      <c r="T36" s="714" t="s">
        <v>17</v>
      </c>
      <c r="U36" s="715">
        <f t="shared" si="13"/>
        <v>100</v>
      </c>
      <c r="V36" s="714" t="s">
        <v>17</v>
      </c>
      <c r="W36" s="715">
        <f t="shared" si="14"/>
        <v>100</v>
      </c>
      <c r="X36" s="1509"/>
      <c r="Y36" s="3515"/>
      <c r="Z36" s="1510">
        <f t="shared" si="15"/>
        <v>111</v>
      </c>
      <c r="AA36" s="1507">
        <f t="shared" si="3"/>
        <v>1</v>
      </c>
      <c r="AB36" s="1507">
        <f t="shared" si="4"/>
        <v>1</v>
      </c>
      <c r="AC36" s="1507">
        <f t="shared" si="5"/>
        <v>1</v>
      </c>
    </row>
    <row r="37" spans="1:29" ht="14.4">
      <c r="A37" s="438" t="s">
        <v>2480</v>
      </c>
      <c r="B37" s="2129" t="s">
        <v>2481</v>
      </c>
      <c r="C37" s="1288" t="s">
        <v>1</v>
      </c>
      <c r="D37" s="1289"/>
      <c r="E37" s="1290"/>
      <c r="F37" s="1291"/>
      <c r="G37" s="1292"/>
      <c r="H37" s="1293"/>
      <c r="I37" s="1290"/>
      <c r="J37" s="1293"/>
      <c r="K37" s="576"/>
      <c r="L37" s="2919"/>
      <c r="M37" s="2920"/>
      <c r="N37" s="2911"/>
      <c r="O37" s="2920"/>
      <c r="P37" s="3508" t="str">
        <f>A37</f>
        <v>成交单价</v>
      </c>
      <c r="Q37" s="3508"/>
      <c r="R37" s="3509">
        <f>E37</f>
        <v>0</v>
      </c>
      <c r="S37" s="3509"/>
      <c r="T37" s="3509">
        <f>G37</f>
        <v>0</v>
      </c>
      <c r="U37" s="3509"/>
      <c r="V37" s="3509">
        <f>I37</f>
        <v>0</v>
      </c>
      <c r="W37" s="3509"/>
      <c r="X37" s="699"/>
      <c r="Y37" s="721"/>
      <c r="Z37" s="699"/>
      <c r="AA37" s="699"/>
      <c r="AB37" s="699"/>
      <c r="AC37" s="699"/>
    </row>
    <row r="38" spans="1:29" ht="1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508" t="str">
        <f>A38</f>
        <v>比较价值（元/平方米）</v>
      </c>
      <c r="Q38" s="3508"/>
      <c r="R38" s="3509" t="e">
        <f>IF(F1="售价",ROUND(PRODUCT(R37,AA7:AA36),0),ROUND(PRODUCT(R37,AA7:AA36),1))</f>
        <v>#DIV/0!</v>
      </c>
      <c r="S38" s="3509"/>
      <c r="T38" s="3509" t="e">
        <f>IF(F1="售价",ROUND(PRODUCT(T37,AB7:AB36),0),ROUND(PRODUCT(T37,AB7:AB36),1))</f>
        <v>#DIV/0!</v>
      </c>
      <c r="U38" s="3509"/>
      <c r="V38" s="3509" t="e">
        <f>IF(F1="售价",ROUND(PRODUCT(V37,AC7:AC36),0),ROUND(PRODUCT(V37,AC7:AC36),1))</f>
        <v>#DIV/0!</v>
      </c>
      <c r="W38" s="3509"/>
      <c r="X38" s="699"/>
      <c r="Y38" s="699"/>
      <c r="Z38" s="699"/>
      <c r="AA38" s="699"/>
      <c r="AB38" s="699"/>
      <c r="AC38" s="699"/>
    </row>
    <row r="39" spans="1:29" ht="15" thickBot="1">
      <c r="A39" s="449" t="s">
        <v>2483</v>
      </c>
      <c r="B39" s="450"/>
      <c r="C39" s="1297" t="e">
        <f>R39</f>
        <v>#DIV/0!</v>
      </c>
      <c r="D39" s="1297"/>
      <c r="E39" s="1297"/>
      <c r="F39" s="1297"/>
      <c r="G39" s="1297"/>
      <c r="H39" s="1297"/>
      <c r="I39" s="1297"/>
      <c r="J39" s="1297"/>
      <c r="K39" s="577"/>
      <c r="L39" s="2919"/>
      <c r="M39" s="2920"/>
      <c r="N39" s="2920"/>
      <c r="O39" s="2920"/>
      <c r="P39" s="3505" t="str">
        <f>A39</f>
        <v>估价对象XX用房的比较价值（楼面单价，元/平方米）</v>
      </c>
      <c r="Q39" s="3506"/>
      <c r="R39" s="3535" t="e">
        <f>IF(F1="售价",ROUND(IF(D38="简单平均",AVERAGE(R38:W38),R38*F38+T38*H38+V38*J38),0),ROUND(IF(D38="简单平均",AVERAGE(R38:V38),R38*F38+T38*H38+V38*J38),1))</f>
        <v>#DIV/0!</v>
      </c>
      <c r="S39" s="3535"/>
      <c r="T39" s="3535"/>
      <c r="U39" s="3535"/>
      <c r="V39" s="3535"/>
      <c r="W39" s="3535"/>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2.2"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4.4">
      <c r="A48" s="462" t="s">
        <v>2488</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4"/>
      <c r="Q48" s="2936"/>
      <c r="R48" s="2936"/>
      <c r="S48" s="2936"/>
      <c r="T48" s="2936"/>
      <c r="U48" s="2936"/>
      <c r="V48" s="2936"/>
      <c r="W48" s="2936"/>
      <c r="X48" s="2936"/>
      <c r="Y48" s="2936"/>
      <c r="Z48" s="2936"/>
      <c r="AA48" s="2936"/>
      <c r="AB48" s="2936"/>
      <c r="AC48" s="2936"/>
    </row>
    <row r="49" spans="1:29" s="113" customFormat="1">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4.4">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4.4"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ht="14.4">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4.4"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4.4"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4.4"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4.4"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4.4"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4.4"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4.4"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4.4"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4.4"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4.4"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4.4"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4.4"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4.4"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9.4"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4.4"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4.4"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4.4"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4.4"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4.4"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4.4"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4.4"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4.4">
      <c r="A4" s="361" t="s">
        <v>2405</v>
      </c>
      <c r="B4" s="362"/>
      <c r="C4" s="3491" t="s">
        <v>2406</v>
      </c>
      <c r="D4" s="3492"/>
      <c r="E4" s="3493" t="s">
        <v>2407</v>
      </c>
      <c r="F4" s="3494"/>
      <c r="G4" s="3491" t="s">
        <v>2408</v>
      </c>
      <c r="H4" s="3492"/>
      <c r="I4" s="3491" t="s">
        <v>2409</v>
      </c>
      <c r="J4" s="3492"/>
      <c r="K4" s="567" t="s">
        <v>2410</v>
      </c>
      <c r="L4" s="2910"/>
      <c r="M4" s="2911"/>
      <c r="N4" s="2911"/>
      <c r="O4" s="2911"/>
      <c r="P4" s="3495" t="s">
        <v>2411</v>
      </c>
      <c r="Q4" s="3496"/>
      <c r="R4" s="3478" t="s">
        <v>2407</v>
      </c>
      <c r="S4" s="3479"/>
      <c r="T4" s="3478" t="s">
        <v>2408</v>
      </c>
      <c r="U4" s="3479"/>
      <c r="V4" s="3503" t="s">
        <v>2409</v>
      </c>
      <c r="W4" s="3503"/>
      <c r="X4" s="1509"/>
      <c r="Y4" s="3478" t="s">
        <v>2411</v>
      </c>
      <c r="Z4" s="3479"/>
      <c r="AA4" s="3473" t="s">
        <v>2407</v>
      </c>
      <c r="AB4" s="3474" t="s">
        <v>2408</v>
      </c>
      <c r="AC4" s="3473" t="s">
        <v>2409</v>
      </c>
    </row>
    <row r="5" spans="1:29">
      <c r="A5" s="364"/>
      <c r="B5" s="365"/>
      <c r="C5" s="3484" t="s">
        <v>2302</v>
      </c>
      <c r="D5" s="3485"/>
      <c r="E5" s="3482" t="s">
        <v>2303</v>
      </c>
      <c r="F5" s="3483"/>
      <c r="G5" s="3484" t="s">
        <v>2304</v>
      </c>
      <c r="H5" s="3485"/>
      <c r="I5" s="3484" t="s">
        <v>2305</v>
      </c>
      <c r="J5" s="3485"/>
      <c r="K5" s="567"/>
      <c r="L5" s="2910"/>
      <c r="M5" s="2911"/>
      <c r="N5" s="2911"/>
      <c r="O5" s="2911"/>
      <c r="P5" s="3497"/>
      <c r="Q5" s="3498"/>
      <c r="R5" s="3480"/>
      <c r="S5" s="3481"/>
      <c r="T5" s="3480"/>
      <c r="U5" s="3481"/>
      <c r="V5" s="3503"/>
      <c r="W5" s="3503"/>
      <c r="X5" s="1509"/>
      <c r="Y5" s="3480"/>
      <c r="Z5" s="3481"/>
      <c r="AA5" s="3474"/>
      <c r="AB5" s="3474"/>
      <c r="AC5" s="3474"/>
    </row>
    <row r="6" spans="1:29" ht="15" thickBot="1">
      <c r="A6" s="366"/>
      <c r="B6" s="367"/>
      <c r="C6" s="3486" t="s">
        <v>2306</v>
      </c>
      <c r="D6" s="3487"/>
      <c r="E6" s="3488" t="s">
        <v>2306</v>
      </c>
      <c r="F6" s="3489"/>
      <c r="G6" s="3486" t="s">
        <v>2306</v>
      </c>
      <c r="H6" s="3487"/>
      <c r="I6" s="3486" t="s">
        <v>2306</v>
      </c>
      <c r="J6" s="3487"/>
      <c r="K6" s="567" t="s">
        <v>2307</v>
      </c>
      <c r="L6" s="2910"/>
      <c r="M6" s="2911"/>
      <c r="N6" s="2911"/>
      <c r="O6" s="2911"/>
      <c r="P6" s="3499"/>
      <c r="Q6" s="3500"/>
      <c r="R6" s="3480"/>
      <c r="S6" s="3481"/>
      <c r="T6" s="3501"/>
      <c r="U6" s="3502"/>
      <c r="V6" s="3503"/>
      <c r="W6" s="3503"/>
      <c r="X6" s="1509"/>
      <c r="Y6" s="3501"/>
      <c r="Z6" s="3502"/>
      <c r="AA6" s="3475"/>
      <c r="AB6" s="3475"/>
      <c r="AC6" s="3475"/>
    </row>
    <row r="7" spans="1:29" s="113" customFormat="1" ht="15" thickBot="1">
      <c r="A7" s="368" t="s">
        <v>2308</v>
      </c>
      <c r="B7" s="369"/>
      <c r="C7" s="370">
        <f>'数据-取费表'!B2</f>
        <v>44572</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76" t="s">
        <v>2309</v>
      </c>
      <c r="Q7" s="3504"/>
      <c r="R7" s="710" t="s">
        <v>17</v>
      </c>
      <c r="S7" s="711">
        <f t="shared" ref="S7:S14" si="0">F7</f>
        <v>0</v>
      </c>
      <c r="T7" s="710" t="s">
        <v>17</v>
      </c>
      <c r="U7" s="711">
        <f t="shared" ref="U7:U14" si="1">H7</f>
        <v>0</v>
      </c>
      <c r="V7" s="710" t="s">
        <v>17</v>
      </c>
      <c r="W7" s="711">
        <f t="shared" ref="W7:W14" si="2">J7</f>
        <v>0</v>
      </c>
      <c r="X7" s="712"/>
      <c r="Y7" s="3476" t="s">
        <v>2309</v>
      </c>
      <c r="Z7" s="3477"/>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76" t="s">
        <v>2312</v>
      </c>
      <c r="Q8" s="3477"/>
      <c r="R8" s="710" t="s">
        <v>17</v>
      </c>
      <c r="S8" s="711">
        <f t="shared" si="0"/>
        <v>0</v>
      </c>
      <c r="T8" s="710" t="s">
        <v>17</v>
      </c>
      <c r="U8" s="711">
        <f t="shared" si="1"/>
        <v>0</v>
      </c>
      <c r="V8" s="710" t="s">
        <v>17</v>
      </c>
      <c r="W8" s="711">
        <f t="shared" si="2"/>
        <v>0</v>
      </c>
      <c r="X8" s="712"/>
      <c r="Y8" s="3476" t="s">
        <v>2312</v>
      </c>
      <c r="Z8" s="3477"/>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508" t="s">
        <v>2315</v>
      </c>
      <c r="Q9" s="1497" t="str">
        <f t="shared" ref="Q9:Q14" si="6">B9</f>
        <v>用途</v>
      </c>
      <c r="R9" s="710" t="s">
        <v>17</v>
      </c>
      <c r="S9" s="711">
        <f t="shared" si="0"/>
        <v>100</v>
      </c>
      <c r="T9" s="710" t="s">
        <v>17</v>
      </c>
      <c r="U9" s="711">
        <f t="shared" si="1"/>
        <v>100</v>
      </c>
      <c r="V9" s="710" t="s">
        <v>17</v>
      </c>
      <c r="W9" s="711">
        <f t="shared" si="2"/>
        <v>100</v>
      </c>
      <c r="X9" s="712"/>
      <c r="Y9" s="3394"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508"/>
      <c r="Q10" s="1497" t="str">
        <f t="shared" si="6"/>
        <v>土地使用年限（年）</v>
      </c>
      <c r="R10" s="710" t="s">
        <v>17</v>
      </c>
      <c r="S10" s="711">
        <f t="shared" si="0"/>
        <v>100</v>
      </c>
      <c r="T10" s="710" t="s">
        <v>17</v>
      </c>
      <c r="U10" s="711">
        <f t="shared" si="1"/>
        <v>100</v>
      </c>
      <c r="V10" s="710" t="s">
        <v>17</v>
      </c>
      <c r="W10" s="711">
        <f t="shared" si="2"/>
        <v>100</v>
      </c>
      <c r="X10" s="712"/>
      <c r="Y10" s="339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508"/>
      <c r="Q11" s="1497">
        <f t="shared" si="6"/>
        <v>111</v>
      </c>
      <c r="R11" s="710" t="s">
        <v>17</v>
      </c>
      <c r="S11" s="711">
        <f t="shared" si="0"/>
        <v>100</v>
      </c>
      <c r="T11" s="710" t="s">
        <v>17</v>
      </c>
      <c r="U11" s="711">
        <f t="shared" si="1"/>
        <v>100</v>
      </c>
      <c r="V11" s="710" t="s">
        <v>17</v>
      </c>
      <c r="W11" s="711">
        <f t="shared" si="2"/>
        <v>100</v>
      </c>
      <c r="X11" s="712"/>
      <c r="Y11" s="339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508"/>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508"/>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
      <c r="A14" s="399" t="s">
        <v>2319</v>
      </c>
      <c r="B14" s="65" t="s">
        <v>2469</v>
      </c>
      <c r="C14" s="2127"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510" t="s">
        <v>2320</v>
      </c>
      <c r="Q14" s="1506" t="str">
        <f t="shared" si="6"/>
        <v>交通便捷度</v>
      </c>
      <c r="R14" s="714" t="s">
        <v>17</v>
      </c>
      <c r="S14" s="715">
        <f t="shared" si="0"/>
        <v>100</v>
      </c>
      <c r="T14" s="714" t="s">
        <v>17</v>
      </c>
      <c r="U14" s="715">
        <f t="shared" si="1"/>
        <v>100</v>
      </c>
      <c r="V14" s="714" t="s">
        <v>17</v>
      </c>
      <c r="W14" s="715">
        <f t="shared" si="2"/>
        <v>100</v>
      </c>
      <c r="X14" s="1509"/>
      <c r="Y14" s="3510"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511"/>
      <c r="Q15" s="1506"/>
      <c r="R15" s="714"/>
      <c r="S15" s="715"/>
      <c r="T15" s="714"/>
      <c r="U15" s="715"/>
      <c r="V15" s="714"/>
      <c r="W15" s="715"/>
      <c r="X15" s="1509"/>
      <c r="Y15" s="3511"/>
      <c r="Z15" s="1510"/>
      <c r="AA15" s="1507">
        <v>1</v>
      </c>
      <c r="AB15" s="1507">
        <v>1</v>
      </c>
      <c r="AC15" s="1507">
        <v>1</v>
      </c>
    </row>
    <row r="16" spans="1:29" ht="15">
      <c r="A16" s="387"/>
      <c r="B16" s="410" t="s">
        <v>2448</v>
      </c>
      <c r="C16" s="2056"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511"/>
      <c r="Q16" s="1506" t="str">
        <f>B16</f>
        <v>公共配套设施</v>
      </c>
      <c r="R16" s="714" t="s">
        <v>17</v>
      </c>
      <c r="S16" s="715">
        <f>F16</f>
        <v>100</v>
      </c>
      <c r="T16" s="714" t="s">
        <v>17</v>
      </c>
      <c r="U16" s="715">
        <f>H16</f>
        <v>100</v>
      </c>
      <c r="V16" s="714" t="s">
        <v>17</v>
      </c>
      <c r="W16" s="715">
        <f>J16</f>
        <v>100</v>
      </c>
      <c r="X16" s="1509"/>
      <c r="Y16" s="351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511"/>
      <c r="Q17" s="1506"/>
      <c r="R17" s="714"/>
      <c r="S17" s="715"/>
      <c r="T17" s="714"/>
      <c r="U17" s="715"/>
      <c r="V17" s="714"/>
      <c r="W17" s="715"/>
      <c r="X17" s="1509"/>
      <c r="Y17" s="3511"/>
      <c r="Z17" s="1510"/>
      <c r="AA17" s="1507">
        <v>1</v>
      </c>
      <c r="AB17" s="1507">
        <v>1</v>
      </c>
      <c r="AC17" s="1507">
        <v>1</v>
      </c>
    </row>
    <row r="18" spans="1:29" ht="15">
      <c r="A18" s="387"/>
      <c r="B18" s="1265" t="s">
        <v>2449</v>
      </c>
      <c r="C18" s="205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511"/>
      <c r="Q18" s="1506" t="str">
        <f>B18</f>
        <v>基础设施水平</v>
      </c>
      <c r="R18" s="714" t="s">
        <v>17</v>
      </c>
      <c r="S18" s="715">
        <f>F18</f>
        <v>100</v>
      </c>
      <c r="T18" s="714" t="s">
        <v>17</v>
      </c>
      <c r="U18" s="715">
        <f>H18</f>
        <v>100</v>
      </c>
      <c r="V18" s="714" t="s">
        <v>17</v>
      </c>
      <c r="W18" s="715">
        <f>J18</f>
        <v>100</v>
      </c>
      <c r="X18" s="1509"/>
      <c r="Y18" s="351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511"/>
      <c r="Q19" s="1506"/>
      <c r="R19" s="714"/>
      <c r="S19" s="715"/>
      <c r="T19" s="714"/>
      <c r="U19" s="715"/>
      <c r="V19" s="714"/>
      <c r="W19" s="715"/>
      <c r="X19" s="1509"/>
      <c r="Y19" s="3511"/>
      <c r="Z19" s="1510"/>
      <c r="AA19" s="1507">
        <v>1</v>
      </c>
      <c r="AB19" s="1507">
        <v>1</v>
      </c>
      <c r="AC19" s="1507">
        <v>1</v>
      </c>
    </row>
    <row r="20" spans="1:29" ht="15">
      <c r="A20" s="387"/>
      <c r="B20" s="410" t="s">
        <v>2470</v>
      </c>
      <c r="C20" s="2056"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511"/>
      <c r="Q20" s="1506" t="str">
        <f>B20</f>
        <v>自然及人文环境</v>
      </c>
      <c r="R20" s="714" t="s">
        <v>17</v>
      </c>
      <c r="S20" s="715">
        <f>F20</f>
        <v>100</v>
      </c>
      <c r="T20" s="714" t="s">
        <v>17</v>
      </c>
      <c r="U20" s="715">
        <f>H20</f>
        <v>100</v>
      </c>
      <c r="V20" s="714" t="s">
        <v>17</v>
      </c>
      <c r="W20" s="715">
        <f>J20</f>
        <v>100</v>
      </c>
      <c r="X20" s="1509"/>
      <c r="Y20" s="351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511"/>
      <c r="Q21" s="1506"/>
      <c r="R21" s="714"/>
      <c r="S21" s="715"/>
      <c r="T21" s="714"/>
      <c r="U21" s="715"/>
      <c r="V21" s="714"/>
      <c r="W21" s="715"/>
      <c r="X21" s="1509"/>
      <c r="Y21" s="3511"/>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511"/>
      <c r="Q22" s="1506" t="str">
        <f>B22</f>
        <v>楼层</v>
      </c>
      <c r="R22" s="714" t="s">
        <v>17</v>
      </c>
      <c r="S22" s="715">
        <f>F22</f>
        <v>100</v>
      </c>
      <c r="T22" s="714" t="s">
        <v>17</v>
      </c>
      <c r="U22" s="715">
        <f>H22</f>
        <v>100</v>
      </c>
      <c r="V22" s="714" t="s">
        <v>17</v>
      </c>
      <c r="W22" s="715">
        <f>J22</f>
        <v>100</v>
      </c>
      <c r="X22" s="1509"/>
      <c r="Y22" s="351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511"/>
      <c r="Q23" s="1506">
        <f>B23</f>
        <v>111</v>
      </c>
      <c r="R23" s="714" t="s">
        <v>17</v>
      </c>
      <c r="S23" s="715">
        <f>F23</f>
        <v>100</v>
      </c>
      <c r="T23" s="714" t="s">
        <v>17</v>
      </c>
      <c r="U23" s="715">
        <f>H23</f>
        <v>100</v>
      </c>
      <c r="V23" s="714" t="s">
        <v>17</v>
      </c>
      <c r="W23" s="715">
        <f>J23</f>
        <v>100</v>
      </c>
      <c r="X23" s="1509"/>
      <c r="Y23" s="351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511"/>
      <c r="Q24" s="1506">
        <f t="shared" ref="Q24:Q34" si="11">B24</f>
        <v>111</v>
      </c>
      <c r="R24" s="714" t="s">
        <v>17</v>
      </c>
      <c r="S24" s="715">
        <f>F24</f>
        <v>100</v>
      </c>
      <c r="T24" s="714" t="s">
        <v>17</v>
      </c>
      <c r="U24" s="715">
        <f>H24</f>
        <v>100</v>
      </c>
      <c r="V24" s="714" t="s">
        <v>17</v>
      </c>
      <c r="W24" s="715">
        <f>J24</f>
        <v>100</v>
      </c>
      <c r="X24" s="1509"/>
      <c r="Y24" s="3511"/>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511"/>
      <c r="Q25" s="1497">
        <f t="shared" si="11"/>
        <v>111</v>
      </c>
      <c r="R25" s="710" t="s">
        <v>17</v>
      </c>
      <c r="S25" s="711">
        <f>F25</f>
        <v>100</v>
      </c>
      <c r="T25" s="710" t="s">
        <v>17</v>
      </c>
      <c r="U25" s="711">
        <f>H25</f>
        <v>100</v>
      </c>
      <c r="V25" s="710" t="s">
        <v>17</v>
      </c>
      <c r="W25" s="711">
        <f>J25</f>
        <v>100</v>
      </c>
      <c r="X25" s="712"/>
      <c r="Y25" s="3511"/>
      <c r="Z25" s="55">
        <f>Q25</f>
        <v>111</v>
      </c>
      <c r="AA25" s="1507">
        <f>D25/F25</f>
        <v>1</v>
      </c>
      <c r="AB25" s="1507">
        <f>D25/H25</f>
        <v>1</v>
      </c>
      <c r="AC25" s="1507">
        <f>D25/J25</f>
        <v>1</v>
      </c>
    </row>
    <row r="26" spans="1:29" ht="30">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534"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15"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515"/>
      <c r="Q27" s="716" t="str">
        <f t="shared" si="11"/>
        <v>成新率</v>
      </c>
      <c r="R27" s="717" t="s">
        <v>17</v>
      </c>
      <c r="S27" s="718" t="e">
        <f t="shared" si="12"/>
        <v>#N/A</v>
      </c>
      <c r="T27" s="717" t="s">
        <v>17</v>
      </c>
      <c r="U27" s="718" t="e">
        <f t="shared" si="13"/>
        <v>#N/A</v>
      </c>
      <c r="V27" s="717" t="s">
        <v>17</v>
      </c>
      <c r="W27" s="718" t="e">
        <f t="shared" si="14"/>
        <v>#N/A</v>
      </c>
      <c r="X27" s="719"/>
      <c r="Y27" s="3515"/>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515"/>
      <c r="Q28" s="1506" t="str">
        <f t="shared" si="11"/>
        <v>物业等级</v>
      </c>
      <c r="R28" s="714" t="s">
        <v>17</v>
      </c>
      <c r="S28" s="715">
        <f t="shared" si="12"/>
        <v>100</v>
      </c>
      <c r="T28" s="714" t="s">
        <v>17</v>
      </c>
      <c r="U28" s="715">
        <f t="shared" si="13"/>
        <v>100</v>
      </c>
      <c r="V28" s="714" t="s">
        <v>17</v>
      </c>
      <c r="W28" s="715">
        <f t="shared" si="14"/>
        <v>100</v>
      </c>
      <c r="X28" s="1509"/>
      <c r="Y28" s="3515"/>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515"/>
      <c r="Q29" s="1506" t="str">
        <f t="shared" si="11"/>
        <v>有无电梯</v>
      </c>
      <c r="R29" s="714" t="s">
        <v>17</v>
      </c>
      <c r="S29" s="715">
        <f t="shared" si="12"/>
        <v>100</v>
      </c>
      <c r="T29" s="714" t="s">
        <v>17</v>
      </c>
      <c r="U29" s="715">
        <f t="shared" si="13"/>
        <v>100</v>
      </c>
      <c r="V29" s="714" t="s">
        <v>17</v>
      </c>
      <c r="W29" s="715">
        <f t="shared" si="14"/>
        <v>100</v>
      </c>
      <c r="X29" s="1509"/>
      <c r="Y29" s="3515"/>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515"/>
      <c r="Q30" s="1506" t="str">
        <f t="shared" si="11"/>
        <v>建筑面积</v>
      </c>
      <c r="R30" s="714" t="s">
        <v>17</v>
      </c>
      <c r="S30" s="715" t="e">
        <f t="shared" si="12"/>
        <v>#N/A</v>
      </c>
      <c r="T30" s="714" t="s">
        <v>17</v>
      </c>
      <c r="U30" s="715" t="e">
        <f t="shared" si="13"/>
        <v>#N/A</v>
      </c>
      <c r="V30" s="714" t="s">
        <v>17</v>
      </c>
      <c r="W30" s="715" t="e">
        <f t="shared" si="14"/>
        <v>#N/A</v>
      </c>
      <c r="X30" s="1509"/>
      <c r="Y30" s="3515"/>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515"/>
      <c r="Q31" s="1497" t="str">
        <f t="shared" si="11"/>
        <v>是否封闭</v>
      </c>
      <c r="R31" s="710" t="s">
        <v>17</v>
      </c>
      <c r="S31" s="711">
        <f t="shared" si="12"/>
        <v>100</v>
      </c>
      <c r="T31" s="710" t="s">
        <v>17</v>
      </c>
      <c r="U31" s="711">
        <f t="shared" si="13"/>
        <v>100</v>
      </c>
      <c r="V31" s="710" t="s">
        <v>17</v>
      </c>
      <c r="W31" s="711">
        <f t="shared" si="14"/>
        <v>100</v>
      </c>
      <c r="X31" s="712"/>
      <c r="Y31" s="351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515" t="s">
        <v>2325</v>
      </c>
      <c r="Q32" s="1506">
        <f t="shared" si="11"/>
        <v>111</v>
      </c>
      <c r="R32" s="714" t="s">
        <v>17</v>
      </c>
      <c r="S32" s="715">
        <f t="shared" si="12"/>
        <v>100</v>
      </c>
      <c r="T32" s="714" t="s">
        <v>17</v>
      </c>
      <c r="U32" s="715">
        <f t="shared" si="13"/>
        <v>100</v>
      </c>
      <c r="V32" s="714" t="s">
        <v>17</v>
      </c>
      <c r="W32" s="715">
        <f t="shared" si="14"/>
        <v>100</v>
      </c>
      <c r="X32" s="1509"/>
      <c r="Y32" s="3515"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515"/>
      <c r="Q33" s="1506">
        <f t="shared" si="11"/>
        <v>111</v>
      </c>
      <c r="R33" s="714" t="s">
        <v>17</v>
      </c>
      <c r="S33" s="715">
        <f t="shared" si="12"/>
        <v>100</v>
      </c>
      <c r="T33" s="714" t="s">
        <v>17</v>
      </c>
      <c r="U33" s="715">
        <f t="shared" si="13"/>
        <v>100</v>
      </c>
      <c r="V33" s="714" t="s">
        <v>17</v>
      </c>
      <c r="W33" s="715">
        <f t="shared" si="14"/>
        <v>100</v>
      </c>
      <c r="X33" s="1509"/>
      <c r="Y33" s="3515"/>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515"/>
      <c r="Q34" s="1506">
        <f t="shared" si="11"/>
        <v>111</v>
      </c>
      <c r="R34" s="714" t="s">
        <v>17</v>
      </c>
      <c r="S34" s="715">
        <f t="shared" si="12"/>
        <v>100</v>
      </c>
      <c r="T34" s="714" t="s">
        <v>17</v>
      </c>
      <c r="U34" s="715">
        <f t="shared" si="13"/>
        <v>100</v>
      </c>
      <c r="V34" s="714" t="s">
        <v>17</v>
      </c>
      <c r="W34" s="715">
        <f t="shared" si="14"/>
        <v>100</v>
      </c>
      <c r="X34" s="1509"/>
      <c r="Y34" s="3515"/>
      <c r="Z34" s="1510">
        <f t="shared" si="15"/>
        <v>111</v>
      </c>
      <c r="AA34" s="1507">
        <f t="shared" si="3"/>
        <v>1</v>
      </c>
      <c r="AB34" s="1507">
        <f t="shared" si="4"/>
        <v>1</v>
      </c>
      <c r="AC34" s="1507">
        <f t="shared" si="5"/>
        <v>1</v>
      </c>
    </row>
    <row r="35" spans="1:30" ht="14.4">
      <c r="A35" s="438" t="s">
        <v>2337</v>
      </c>
      <c r="B35" s="439"/>
      <c r="C35" s="1288" t="s">
        <v>1</v>
      </c>
      <c r="D35" s="1289"/>
      <c r="E35" s="1290"/>
      <c r="F35" s="1291"/>
      <c r="G35" s="1292"/>
      <c r="H35" s="1293"/>
      <c r="I35" s="1290"/>
      <c r="J35" s="1293"/>
      <c r="K35" s="723"/>
      <c r="L35" s="2919"/>
      <c r="M35" s="2920"/>
      <c r="N35" s="2911"/>
      <c r="O35" s="2920"/>
      <c r="P35" s="3508" t="str">
        <f>A35</f>
        <v>成交单价（元/平方米）</v>
      </c>
      <c r="Q35" s="3508"/>
      <c r="R35" s="3509">
        <f>E35</f>
        <v>0</v>
      </c>
      <c r="S35" s="3509"/>
      <c r="T35" s="3509">
        <f>G35</f>
        <v>0</v>
      </c>
      <c r="U35" s="3509"/>
      <c r="V35" s="3509">
        <f>I35</f>
        <v>0</v>
      </c>
      <c r="W35" s="3509"/>
      <c r="X35" s="699"/>
      <c r="Y35" s="721"/>
      <c r="Z35" s="699"/>
      <c r="AA35" s="699"/>
      <c r="AB35" s="699"/>
      <c r="AC35" s="699"/>
    </row>
    <row r="36" spans="1:30" ht="1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508" t="str">
        <f>A36</f>
        <v>比较价值（元/平方米）</v>
      </c>
      <c r="Q36" s="3508"/>
      <c r="R36" s="3509" t="e">
        <f>IF(F1="售价",ROUND(PRODUCT(R35,AA7:AA34),0),ROUND(PRODUCT(R35,AA7:AA34),1))</f>
        <v>#DIV/0!</v>
      </c>
      <c r="S36" s="3509"/>
      <c r="T36" s="3509" t="e">
        <f>IF(F1="售价",ROUND(PRODUCT(T35,AB7:AB34),0),ROUND(PRODUCT(T35,AB7:AB34),1))</f>
        <v>#DIV/0!</v>
      </c>
      <c r="U36" s="3509"/>
      <c r="V36" s="3509" t="e">
        <f>IF(F1="售价",ROUND(PRODUCT(V35,AC7:AC34),0),ROUND(PRODUCT(V35,AC7:AC34),1))</f>
        <v>#DIV/0!</v>
      </c>
      <c r="W36" s="3509"/>
      <c r="X36" s="699"/>
      <c r="Y36" s="699"/>
      <c r="Z36" s="699"/>
      <c r="AA36" s="699"/>
      <c r="AB36" s="699"/>
      <c r="AC36" s="699"/>
    </row>
    <row r="37" spans="1:30" ht="15" thickBot="1">
      <c r="A37" s="449" t="s">
        <v>2430</v>
      </c>
      <c r="B37" s="450"/>
      <c r="C37" s="1297" t="e">
        <f>R37</f>
        <v>#DIV/0!</v>
      </c>
      <c r="D37" s="1297"/>
      <c r="E37" s="1297"/>
      <c r="F37" s="1297"/>
      <c r="G37" s="1297"/>
      <c r="H37" s="1297"/>
      <c r="I37" s="1297"/>
      <c r="J37" s="1297"/>
      <c r="K37" s="724"/>
      <c r="L37" s="2919"/>
      <c r="M37" s="2920"/>
      <c r="N37" s="2920"/>
      <c r="O37" s="2920"/>
      <c r="P37" s="3505" t="str">
        <f>A37</f>
        <v>估价对象XX用房的比较价值（楼面单价，元/平方米）</v>
      </c>
      <c r="Q37" s="3506"/>
      <c r="R37" s="3535" t="e">
        <f>IF(F1="售价",ROUND(IF(D36="简单平均",AVERAGE(R36:W36),R36*F36+T36*H36+V36*J36),0),ROUND(IF(D36="简单平均",AVERAGE(R36:V36),R36*F36+T36*H36+V36*J36),1))</f>
        <v>#DIV/0!</v>
      </c>
      <c r="S37" s="3535"/>
      <c r="T37" s="3535"/>
      <c r="U37" s="3535"/>
      <c r="V37" s="3535"/>
      <c r="W37" s="3535"/>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2.2"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4.4">
      <c r="A46" s="462" t="s">
        <v>2308</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1"/>
      <c r="Q46" s="2936"/>
      <c r="R46" s="2936"/>
      <c r="S46" s="2936"/>
      <c r="T46" s="2936"/>
      <c r="U46" s="2936"/>
      <c r="V46" s="2936"/>
      <c r="W46" s="2936"/>
      <c r="X46" s="2936"/>
      <c r="Y46" s="2936"/>
      <c r="Z46" s="2936"/>
      <c r="AA46" s="2936"/>
      <c r="AB46" s="2936"/>
      <c r="AC46" s="2936"/>
      <c r="AD46" s="2936"/>
    </row>
    <row r="47" spans="1:30" s="113" customFormat="1">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4.4">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4.4"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ht="14.4">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4.4"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4.4"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4.4"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4.4"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4.4"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4.4"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4.4"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9.4"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4.4"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4.4"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4.4"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4.4"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4.4"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4.4"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4.4"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4.4"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4.4"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4.4"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4.4"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4.4"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4.4"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4.4"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4.4"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4.4"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4.4">
      <c r="A4" s="361" t="s">
        <v>2405</v>
      </c>
      <c r="B4" s="362"/>
      <c r="C4" s="3491" t="s">
        <v>2406</v>
      </c>
      <c r="D4" s="3492"/>
      <c r="E4" s="3493" t="s">
        <v>2407</v>
      </c>
      <c r="F4" s="3494"/>
      <c r="G4" s="3491" t="s">
        <v>2408</v>
      </c>
      <c r="H4" s="3492"/>
      <c r="I4" s="3491" t="s">
        <v>2409</v>
      </c>
      <c r="J4" s="3492"/>
      <c r="K4" s="567" t="s">
        <v>2410</v>
      </c>
      <c r="L4" s="2910"/>
      <c r="M4" s="2911"/>
      <c r="N4" s="2911"/>
      <c r="O4" s="2911"/>
      <c r="P4" s="3495" t="s">
        <v>2411</v>
      </c>
      <c r="Q4" s="3496"/>
      <c r="R4" s="3478" t="s">
        <v>2407</v>
      </c>
      <c r="S4" s="3479"/>
      <c r="T4" s="3478" t="s">
        <v>2408</v>
      </c>
      <c r="U4" s="3479"/>
      <c r="V4" s="3503" t="s">
        <v>2409</v>
      </c>
      <c r="W4" s="3503"/>
      <c r="X4" s="1509"/>
      <c r="Y4" s="3478" t="s">
        <v>2411</v>
      </c>
      <c r="Z4" s="3479"/>
      <c r="AA4" s="3473" t="s">
        <v>2407</v>
      </c>
      <c r="AB4" s="3474" t="s">
        <v>2408</v>
      </c>
      <c r="AC4" s="3473" t="s">
        <v>2409</v>
      </c>
    </row>
    <row r="5" spans="1:30">
      <c r="A5" s="364"/>
      <c r="B5" s="365"/>
      <c r="C5" s="3484" t="s">
        <v>2302</v>
      </c>
      <c r="D5" s="3485"/>
      <c r="E5" s="3482" t="s">
        <v>2303</v>
      </c>
      <c r="F5" s="3483"/>
      <c r="G5" s="3484" t="s">
        <v>2304</v>
      </c>
      <c r="H5" s="3485"/>
      <c r="I5" s="3484" t="s">
        <v>2305</v>
      </c>
      <c r="J5" s="3485"/>
      <c r="K5" s="567"/>
      <c r="L5" s="2910"/>
      <c r="M5" s="2911"/>
      <c r="N5" s="2911"/>
      <c r="O5" s="2911"/>
      <c r="P5" s="3497"/>
      <c r="Q5" s="3498"/>
      <c r="R5" s="3480"/>
      <c r="S5" s="3481"/>
      <c r="T5" s="3480"/>
      <c r="U5" s="3481"/>
      <c r="V5" s="3503"/>
      <c r="W5" s="3503"/>
      <c r="X5" s="1509"/>
      <c r="Y5" s="3480"/>
      <c r="Z5" s="3481"/>
      <c r="AA5" s="3474"/>
      <c r="AB5" s="3474"/>
      <c r="AC5" s="3474"/>
    </row>
    <row r="6" spans="1:30" ht="15" thickBot="1">
      <c r="A6" s="366"/>
      <c r="B6" s="367"/>
      <c r="C6" s="3486" t="s">
        <v>2306</v>
      </c>
      <c r="D6" s="3487"/>
      <c r="E6" s="3488" t="s">
        <v>2306</v>
      </c>
      <c r="F6" s="3489"/>
      <c r="G6" s="3486" t="s">
        <v>2306</v>
      </c>
      <c r="H6" s="3487"/>
      <c r="I6" s="3486" t="s">
        <v>2306</v>
      </c>
      <c r="J6" s="3487"/>
      <c r="K6" s="567" t="s">
        <v>2307</v>
      </c>
      <c r="L6" s="2910"/>
      <c r="M6" s="2911"/>
      <c r="N6" s="2911"/>
      <c r="O6" s="2911"/>
      <c r="P6" s="3499"/>
      <c r="Q6" s="3500"/>
      <c r="R6" s="3480"/>
      <c r="S6" s="3481"/>
      <c r="T6" s="3501"/>
      <c r="U6" s="3502"/>
      <c r="V6" s="3503"/>
      <c r="W6" s="3503"/>
      <c r="X6" s="1509"/>
      <c r="Y6" s="3501"/>
      <c r="Z6" s="3502"/>
      <c r="AA6" s="3475"/>
      <c r="AB6" s="3475"/>
      <c r="AC6" s="3475"/>
    </row>
    <row r="7" spans="1:30" s="113" customFormat="1" ht="15" thickBot="1">
      <c r="A7" s="368" t="s">
        <v>2308</v>
      </c>
      <c r="B7" s="369"/>
      <c r="C7" s="370">
        <f>'数据-取费表'!B2</f>
        <v>44572</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76" t="s">
        <v>2309</v>
      </c>
      <c r="Q7" s="3504"/>
      <c r="R7" s="710" t="s">
        <v>17</v>
      </c>
      <c r="S7" s="711">
        <f t="shared" ref="S7:S15" si="0">F7</f>
        <v>0</v>
      </c>
      <c r="T7" s="710" t="s">
        <v>17</v>
      </c>
      <c r="U7" s="711">
        <f t="shared" ref="U7:U15" si="1">H7</f>
        <v>0</v>
      </c>
      <c r="V7" s="710" t="s">
        <v>17</v>
      </c>
      <c r="W7" s="711">
        <f t="shared" ref="W7:W15" si="2">J7</f>
        <v>0</v>
      </c>
      <c r="X7" s="712"/>
      <c r="Y7" s="3476" t="s">
        <v>2309</v>
      </c>
      <c r="Z7" s="3477"/>
      <c r="AA7" s="713" t="e">
        <f>D7/F7</f>
        <v>#DIV/0!</v>
      </c>
      <c r="AB7" s="713" t="e">
        <f>D7/H7</f>
        <v>#DIV/0!</v>
      </c>
      <c r="AC7" s="713" t="e">
        <f>D7/J7</f>
        <v>#DIV/0!</v>
      </c>
    </row>
    <row r="8" spans="1:30" s="113" customFormat="1" ht="1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76" t="s">
        <v>2312</v>
      </c>
      <c r="Q8" s="3477"/>
      <c r="R8" s="710" t="s">
        <v>17</v>
      </c>
      <c r="S8" s="711">
        <f t="shared" si="0"/>
        <v>0</v>
      </c>
      <c r="T8" s="710" t="s">
        <v>17</v>
      </c>
      <c r="U8" s="711">
        <f t="shared" si="1"/>
        <v>0</v>
      </c>
      <c r="V8" s="710" t="s">
        <v>17</v>
      </c>
      <c r="W8" s="711">
        <f t="shared" si="2"/>
        <v>0</v>
      </c>
      <c r="X8" s="712"/>
      <c r="Y8" s="3476" t="s">
        <v>2312</v>
      </c>
      <c r="Z8" s="3477"/>
      <c r="AA8" s="713" t="e">
        <f t="shared" ref="AA8:AA45" si="3">D8/F8</f>
        <v>#DIV/0!</v>
      </c>
      <c r="AB8" s="713" t="e">
        <f t="shared" ref="AB8:AB45" si="4">D8/H8</f>
        <v>#DIV/0!</v>
      </c>
      <c r="AC8" s="713" t="e">
        <f t="shared" ref="AC8:AC45" si="5">D8/J8</f>
        <v>#DIV/0!</v>
      </c>
    </row>
    <row r="9" spans="1:30" s="113" customFormat="1" ht="14.4">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508"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713">
        <f t="shared" si="5"/>
        <v>1</v>
      </c>
    </row>
    <row r="10" spans="1:30" s="386" customFormat="1" ht="28.8">
      <c r="A10" s="380"/>
      <c r="B10" s="381" t="s">
        <v>2317</v>
      </c>
      <c r="C10" s="391"/>
      <c r="D10" s="132">
        <v>100</v>
      </c>
      <c r="E10" s="424"/>
      <c r="F10" s="132">
        <f>ROUND(100/'数据-取费表'!G16,0)</f>
        <v>116</v>
      </c>
      <c r="G10" s="422"/>
      <c r="H10" s="132">
        <f>ROUND(100/'数据-取费表'!G16,0)</f>
        <v>116</v>
      </c>
      <c r="I10" s="422"/>
      <c r="J10" s="132">
        <f>ROUND(100/'数据-取费表'!G16,0)</f>
        <v>116</v>
      </c>
      <c r="K10" s="628"/>
      <c r="L10" s="2914"/>
      <c r="M10" s="2915"/>
      <c r="N10" s="2915"/>
      <c r="O10" s="2968"/>
      <c r="P10" s="3508"/>
      <c r="Q10" s="1497" t="str">
        <f t="shared" si="6"/>
        <v>土地使用年限（年）</v>
      </c>
      <c r="R10" s="710" t="s">
        <v>17</v>
      </c>
      <c r="S10" s="711">
        <f t="shared" si="0"/>
        <v>116</v>
      </c>
      <c r="T10" s="710" t="s">
        <v>17</v>
      </c>
      <c r="U10" s="711">
        <f t="shared" si="1"/>
        <v>116</v>
      </c>
      <c r="V10" s="710" t="s">
        <v>17</v>
      </c>
      <c r="W10" s="711">
        <f t="shared" si="2"/>
        <v>116</v>
      </c>
      <c r="X10" s="712"/>
      <c r="Y10" s="3394"/>
      <c r="Z10" s="55" t="str">
        <f t="shared" si="7"/>
        <v>土地使用年限（年）</v>
      </c>
      <c r="AA10" s="713">
        <f t="shared" si="3"/>
        <v>0.86206896551724133</v>
      </c>
      <c r="AB10" s="713">
        <f t="shared" si="4"/>
        <v>0.86206896551724133</v>
      </c>
      <c r="AC10" s="713">
        <f t="shared" si="5"/>
        <v>0.86206896551724133</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508"/>
      <c r="Q11" s="1497"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508"/>
      <c r="Q12" s="1497" t="str">
        <f t="shared" si="6"/>
        <v>配建</v>
      </c>
      <c r="R12" s="710" t="s">
        <v>17</v>
      </c>
      <c r="S12" s="711">
        <f t="shared" si="0"/>
        <v>100</v>
      </c>
      <c r="T12" s="710" t="s">
        <v>17</v>
      </c>
      <c r="U12" s="711">
        <f t="shared" si="1"/>
        <v>100</v>
      </c>
      <c r="V12" s="710" t="s">
        <v>17</v>
      </c>
      <c r="W12" s="711">
        <f t="shared" si="2"/>
        <v>100</v>
      </c>
      <c r="X12" s="712"/>
      <c r="Y12" s="339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508"/>
      <c r="Q13" s="1497">
        <f t="shared" si="6"/>
        <v>111</v>
      </c>
      <c r="R13" s="710" t="s">
        <v>17</v>
      </c>
      <c r="S13" s="711">
        <f t="shared" si="0"/>
        <v>100</v>
      </c>
      <c r="T13" s="710" t="s">
        <v>17</v>
      </c>
      <c r="U13" s="711">
        <f t="shared" si="1"/>
        <v>100</v>
      </c>
      <c r="V13" s="710" t="s">
        <v>17</v>
      </c>
      <c r="W13" s="711">
        <f t="shared" si="2"/>
        <v>100</v>
      </c>
      <c r="X13" s="712"/>
      <c r="Y13" s="3394"/>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508"/>
      <c r="Q14" s="1497">
        <f t="shared" si="6"/>
        <v>111</v>
      </c>
      <c r="R14" s="710" t="s">
        <v>17</v>
      </c>
      <c r="S14" s="711">
        <f t="shared" si="0"/>
        <v>100</v>
      </c>
      <c r="T14" s="710" t="s">
        <v>17</v>
      </c>
      <c r="U14" s="711">
        <f t="shared" si="1"/>
        <v>100</v>
      </c>
      <c r="V14" s="710" t="s">
        <v>17</v>
      </c>
      <c r="W14" s="711">
        <f t="shared" si="2"/>
        <v>100</v>
      </c>
      <c r="X14" s="712"/>
      <c r="Y14" s="3394"/>
      <c r="Z14" s="55">
        <f t="shared" si="7"/>
        <v>111</v>
      </c>
      <c r="AA14" s="713">
        <f>D14/F14</f>
        <v>1</v>
      </c>
      <c r="AB14" s="713">
        <f>D14/H14</f>
        <v>1</v>
      </c>
      <c r="AC14" s="713">
        <f>D14/J14</f>
        <v>1</v>
      </c>
    </row>
    <row r="15" spans="1:30" ht="15">
      <c r="A15" s="399" t="s">
        <v>2319</v>
      </c>
      <c r="B15" s="65" t="s">
        <v>1882</v>
      </c>
      <c r="C15" s="2052"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510" t="s">
        <v>2320</v>
      </c>
      <c r="Q15" s="1506" t="str">
        <f t="shared" si="6"/>
        <v>居住社区成熟度</v>
      </c>
      <c r="R15" s="714" t="s">
        <v>17</v>
      </c>
      <c r="S15" s="715">
        <f t="shared" si="0"/>
        <v>100</v>
      </c>
      <c r="T15" s="714" t="s">
        <v>17</v>
      </c>
      <c r="U15" s="715">
        <f t="shared" si="1"/>
        <v>100</v>
      </c>
      <c r="V15" s="714" t="s">
        <v>17</v>
      </c>
      <c r="W15" s="715">
        <f t="shared" si="2"/>
        <v>100</v>
      </c>
      <c r="X15" s="1509"/>
      <c r="Y15" s="3510"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511"/>
      <c r="Q16" s="1506"/>
      <c r="R16" s="714"/>
      <c r="S16" s="715"/>
      <c r="T16" s="714"/>
      <c r="U16" s="715"/>
      <c r="V16" s="714"/>
      <c r="W16" s="715"/>
      <c r="X16" s="1509"/>
      <c r="Y16" s="3511"/>
      <c r="Z16" s="1510"/>
      <c r="AA16" s="1507">
        <v>1</v>
      </c>
      <c r="AB16" s="1507">
        <v>1</v>
      </c>
      <c r="AC16" s="1507">
        <v>1</v>
      </c>
    </row>
    <row r="17" spans="1:29" ht="15">
      <c r="A17" s="387"/>
      <c r="B17" s="410" t="s">
        <v>2413</v>
      </c>
      <c r="C17" s="2111"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511"/>
      <c r="Q17" s="1506" t="str">
        <f>B17</f>
        <v>商业繁华度</v>
      </c>
      <c r="R17" s="714" t="s">
        <v>17</v>
      </c>
      <c r="S17" s="715">
        <f>F17</f>
        <v>100</v>
      </c>
      <c r="T17" s="714" t="s">
        <v>17</v>
      </c>
      <c r="U17" s="715">
        <f>H17</f>
        <v>100</v>
      </c>
      <c r="V17" s="714" t="s">
        <v>17</v>
      </c>
      <c r="W17" s="715">
        <f>J17</f>
        <v>100</v>
      </c>
      <c r="X17" s="1509"/>
      <c r="Y17" s="351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511"/>
      <c r="Q18" s="1506"/>
      <c r="R18" s="714"/>
      <c r="S18" s="715"/>
      <c r="T18" s="714"/>
      <c r="U18" s="715"/>
      <c r="V18" s="714"/>
      <c r="W18" s="715"/>
      <c r="X18" s="1509"/>
      <c r="Y18" s="3511"/>
      <c r="Z18" s="1510"/>
      <c r="AA18" s="1507">
        <v>1</v>
      </c>
      <c r="AB18" s="1507">
        <v>1</v>
      </c>
      <c r="AC18" s="1507">
        <v>1</v>
      </c>
    </row>
    <row r="19" spans="1:29" ht="15">
      <c r="A19" s="387"/>
      <c r="B19" s="410" t="s">
        <v>2447</v>
      </c>
      <c r="C19" s="2111"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511"/>
      <c r="Q19" s="1506" t="str">
        <f>B19</f>
        <v>办公集聚程度</v>
      </c>
      <c r="R19" s="714" t="s">
        <v>17</v>
      </c>
      <c r="S19" s="715">
        <f>F19</f>
        <v>100</v>
      </c>
      <c r="T19" s="714" t="s">
        <v>17</v>
      </c>
      <c r="U19" s="715">
        <f>H19</f>
        <v>100</v>
      </c>
      <c r="V19" s="714" t="s">
        <v>17</v>
      </c>
      <c r="W19" s="715">
        <f>J19</f>
        <v>100</v>
      </c>
      <c r="X19" s="1509"/>
      <c r="Y19" s="351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511"/>
      <c r="Q20" s="1506"/>
      <c r="R20" s="714"/>
      <c r="S20" s="715"/>
      <c r="T20" s="714"/>
      <c r="U20" s="715"/>
      <c r="V20" s="714"/>
      <c r="W20" s="715"/>
      <c r="X20" s="1509"/>
      <c r="Y20" s="3511"/>
      <c r="Z20" s="1510"/>
      <c r="AA20" s="1507">
        <v>1</v>
      </c>
      <c r="AB20" s="1507">
        <v>1</v>
      </c>
      <c r="AC20" s="1507">
        <v>1</v>
      </c>
    </row>
    <row r="21" spans="1:29" ht="15">
      <c r="A21" s="387"/>
      <c r="B21" s="410" t="s">
        <v>2469</v>
      </c>
      <c r="C21" s="2056"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511"/>
      <c r="Q21" s="1506" t="str">
        <f>B21</f>
        <v>交通便捷度</v>
      </c>
      <c r="R21" s="714" t="s">
        <v>17</v>
      </c>
      <c r="S21" s="715">
        <f>F21</f>
        <v>100</v>
      </c>
      <c r="T21" s="714" t="s">
        <v>17</v>
      </c>
      <c r="U21" s="715">
        <f>H21</f>
        <v>100</v>
      </c>
      <c r="V21" s="714" t="s">
        <v>17</v>
      </c>
      <c r="W21" s="715">
        <f>J21</f>
        <v>100</v>
      </c>
      <c r="X21" s="1509"/>
      <c r="Y21" s="351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511"/>
      <c r="Q22" s="1506"/>
      <c r="R22" s="714"/>
      <c r="S22" s="715"/>
      <c r="T22" s="714"/>
      <c r="U22" s="715"/>
      <c r="V22" s="714"/>
      <c r="W22" s="715"/>
      <c r="X22" s="1509"/>
      <c r="Y22" s="3511"/>
      <c r="Z22" s="1510"/>
      <c r="AA22" s="1507">
        <v>1</v>
      </c>
      <c r="AB22" s="1507">
        <v>1</v>
      </c>
      <c r="AC22" s="1507">
        <v>1</v>
      </c>
    </row>
    <row r="23" spans="1:29" ht="28.8">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511"/>
      <c r="Q23" s="1506" t="str">
        <f t="shared" ref="Q23:Q37" si="8">B23</f>
        <v>区域土地利用方向</v>
      </c>
      <c r="R23" s="714" t="s">
        <v>17</v>
      </c>
      <c r="S23" s="715">
        <f>F23</f>
        <v>100</v>
      </c>
      <c r="T23" s="714" t="s">
        <v>17</v>
      </c>
      <c r="U23" s="715">
        <f>H23</f>
        <v>100</v>
      </c>
      <c r="V23" s="714" t="s">
        <v>17</v>
      </c>
      <c r="W23" s="715">
        <f>J23</f>
        <v>100</v>
      </c>
      <c r="X23" s="1509"/>
      <c r="Y23" s="351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511"/>
      <c r="Q24" s="1506"/>
      <c r="R24" s="714"/>
      <c r="S24" s="715"/>
      <c r="T24" s="714"/>
      <c r="U24" s="715"/>
      <c r="V24" s="714"/>
      <c r="W24" s="715"/>
      <c r="X24" s="1509"/>
      <c r="Y24" s="3511"/>
      <c r="Z24" s="1510"/>
      <c r="AA24" s="1507"/>
      <c r="AB24" s="1507"/>
      <c r="AC24" s="1507"/>
    </row>
    <row r="25" spans="1:29" ht="28.8">
      <c r="A25" s="364"/>
      <c r="B25" s="1265" t="s">
        <v>2509</v>
      </c>
      <c r="C25" s="2111"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511"/>
      <c r="Q25" s="1506" t="str">
        <f t="shared" si="8"/>
        <v>自然及人文环境状况</v>
      </c>
      <c r="R25" s="714" t="s">
        <v>17</v>
      </c>
      <c r="S25" s="715">
        <f>F25</f>
        <v>100</v>
      </c>
      <c r="T25" s="714" t="s">
        <v>17</v>
      </c>
      <c r="U25" s="715">
        <f>H25</f>
        <v>100</v>
      </c>
      <c r="V25" s="714" t="s">
        <v>17</v>
      </c>
      <c r="W25" s="715">
        <f>J25</f>
        <v>100</v>
      </c>
      <c r="X25" s="1509"/>
      <c r="Y25" s="351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511"/>
      <c r="Q26" s="1506"/>
      <c r="R26" s="714"/>
      <c r="S26" s="715"/>
      <c r="T26" s="714"/>
      <c r="U26" s="715"/>
      <c r="V26" s="714"/>
      <c r="W26" s="715"/>
      <c r="X26" s="1509"/>
      <c r="Y26" s="3511"/>
      <c r="Z26" s="1510"/>
      <c r="AA26" s="1507">
        <v>1</v>
      </c>
      <c r="AB26" s="1507">
        <v>1</v>
      </c>
      <c r="AC26" s="1507">
        <v>1</v>
      </c>
    </row>
    <row r="27" spans="1:29" s="113" customFormat="1" ht="15">
      <c r="A27" s="605"/>
      <c r="B27" s="1265" t="s">
        <v>2414</v>
      </c>
      <c r="C27" s="2056"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511"/>
      <c r="Q27" s="1497" t="str">
        <f t="shared" si="8"/>
        <v>公共配套设施</v>
      </c>
      <c r="R27" s="710" t="s">
        <v>17</v>
      </c>
      <c r="S27" s="711">
        <f>F27</f>
        <v>100</v>
      </c>
      <c r="T27" s="710" t="s">
        <v>17</v>
      </c>
      <c r="U27" s="711">
        <f>H27</f>
        <v>100</v>
      </c>
      <c r="V27" s="710" t="s">
        <v>17</v>
      </c>
      <c r="W27" s="711">
        <f>J27</f>
        <v>100</v>
      </c>
      <c r="X27" s="712"/>
      <c r="Y27" s="351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511"/>
      <c r="Q28" s="1497"/>
      <c r="R28" s="710"/>
      <c r="S28" s="711"/>
      <c r="T28" s="710"/>
      <c r="U28" s="711"/>
      <c r="V28" s="710"/>
      <c r="W28" s="711"/>
      <c r="X28" s="712"/>
      <c r="Y28" s="3511"/>
      <c r="Z28" s="55"/>
      <c r="AA28" s="1507">
        <v>1</v>
      </c>
      <c r="AB28" s="1507">
        <v>1</v>
      </c>
      <c r="AC28" s="1507">
        <v>1</v>
      </c>
    </row>
    <row r="29" spans="1:29" s="113" customFormat="1" ht="15">
      <c r="A29" s="605"/>
      <c r="B29" s="1265" t="s">
        <v>2415</v>
      </c>
      <c r="C29" s="2056"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511"/>
      <c r="Q29" s="1497" t="str">
        <f t="shared" ref="Q29" si="9">B29</f>
        <v>基础设施水平</v>
      </c>
      <c r="R29" s="710" t="s">
        <v>17</v>
      </c>
      <c r="S29" s="711">
        <f>F29</f>
        <v>100</v>
      </c>
      <c r="T29" s="710" t="s">
        <v>17</v>
      </c>
      <c r="U29" s="711">
        <f>H29</f>
        <v>100</v>
      </c>
      <c r="V29" s="710" t="s">
        <v>17</v>
      </c>
      <c r="W29" s="711">
        <f>J29</f>
        <v>100</v>
      </c>
      <c r="X29" s="712"/>
      <c r="Y29" s="351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511"/>
      <c r="Q30" s="1497"/>
      <c r="R30" s="710"/>
      <c r="S30" s="711"/>
      <c r="T30" s="710"/>
      <c r="U30" s="711"/>
      <c r="V30" s="710"/>
      <c r="W30" s="711"/>
      <c r="X30" s="712"/>
      <c r="Y30" s="3511"/>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51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11"/>
      <c r="Z31" s="1510" t="str">
        <f t="shared" ref="Z31:Z45" si="13">Q31</f>
        <v>临街状况</v>
      </c>
      <c r="AA31" s="1507">
        <f t="shared" si="3"/>
        <v>1</v>
      </c>
      <c r="AB31" s="1507">
        <f t="shared" si="4"/>
        <v>1</v>
      </c>
      <c r="AC31" s="1507">
        <f t="shared" si="5"/>
        <v>1</v>
      </c>
    </row>
    <row r="32" spans="1:29" ht="28.8">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511"/>
      <c r="Q32" s="1506" t="str">
        <f t="shared" si="8"/>
        <v>毗邻道路的类型与等级</v>
      </c>
      <c r="R32" s="714" t="s">
        <v>17</v>
      </c>
      <c r="S32" s="715">
        <f t="shared" si="10"/>
        <v>100</v>
      </c>
      <c r="T32" s="714" t="s">
        <v>17</v>
      </c>
      <c r="U32" s="715">
        <f t="shared" si="11"/>
        <v>100</v>
      </c>
      <c r="V32" s="714" t="s">
        <v>17</v>
      </c>
      <c r="W32" s="715">
        <f t="shared" si="12"/>
        <v>100</v>
      </c>
      <c r="X32" s="1509"/>
      <c r="Y32" s="351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511"/>
      <c r="Q33" s="1506"/>
      <c r="R33" s="714"/>
      <c r="S33" s="715"/>
      <c r="T33" s="714"/>
      <c r="U33" s="715"/>
      <c r="V33" s="714"/>
      <c r="W33" s="715"/>
      <c r="X33" s="1509"/>
      <c r="Y33" s="3511"/>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511"/>
      <c r="Q34" s="1506" t="str">
        <f t="shared" si="8"/>
        <v>土地级别</v>
      </c>
      <c r="R34" s="714" t="s">
        <v>17</v>
      </c>
      <c r="S34" s="715">
        <f t="shared" si="10"/>
        <v>100</v>
      </c>
      <c r="T34" s="714" t="s">
        <v>17</v>
      </c>
      <c r="U34" s="715">
        <f t="shared" si="11"/>
        <v>100</v>
      </c>
      <c r="V34" s="714" t="s">
        <v>17</v>
      </c>
      <c r="W34" s="715">
        <f t="shared" si="12"/>
        <v>100</v>
      </c>
      <c r="X34" s="1509"/>
      <c r="Y34" s="351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511"/>
      <c r="Q35" s="1506">
        <f t="shared" si="8"/>
        <v>111</v>
      </c>
      <c r="R35" s="714" t="s">
        <v>17</v>
      </c>
      <c r="S35" s="715">
        <f t="shared" si="10"/>
        <v>100</v>
      </c>
      <c r="T35" s="714" t="s">
        <v>17</v>
      </c>
      <c r="U35" s="715">
        <f t="shared" si="11"/>
        <v>100</v>
      </c>
      <c r="V35" s="714" t="s">
        <v>17</v>
      </c>
      <c r="W35" s="715">
        <f t="shared" si="12"/>
        <v>100</v>
      </c>
      <c r="X35" s="1509"/>
      <c r="Y35" s="351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534" t="s">
        <v>2325</v>
      </c>
      <c r="Q36" s="1506">
        <f t="shared" si="8"/>
        <v>111</v>
      </c>
      <c r="R36" s="714" t="s">
        <v>17</v>
      </c>
      <c r="S36" s="715">
        <f t="shared" si="10"/>
        <v>100</v>
      </c>
      <c r="T36" s="714" t="s">
        <v>17</v>
      </c>
      <c r="U36" s="715">
        <f t="shared" si="11"/>
        <v>100</v>
      </c>
      <c r="V36" s="714" t="s">
        <v>17</v>
      </c>
      <c r="W36" s="715">
        <f t="shared" si="12"/>
        <v>100</v>
      </c>
      <c r="X36" s="1509"/>
      <c r="Y36" s="3515" t="s">
        <v>2325</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515"/>
      <c r="Q37" s="1506">
        <f t="shared" si="8"/>
        <v>111</v>
      </c>
      <c r="R37" s="717" t="s">
        <v>17</v>
      </c>
      <c r="S37" s="718">
        <f t="shared" si="10"/>
        <v>100</v>
      </c>
      <c r="T37" s="717" t="s">
        <v>17</v>
      </c>
      <c r="U37" s="718">
        <f t="shared" si="11"/>
        <v>100</v>
      </c>
      <c r="V37" s="717" t="s">
        <v>17</v>
      </c>
      <c r="W37" s="718">
        <f t="shared" si="12"/>
        <v>100</v>
      </c>
      <c r="X37" s="719"/>
      <c r="Y37" s="3515"/>
      <c r="Z37" s="720">
        <f t="shared" si="13"/>
        <v>111</v>
      </c>
      <c r="AA37" s="1507">
        <f t="shared" si="3"/>
        <v>1</v>
      </c>
      <c r="AB37" s="1507">
        <f t="shared" si="4"/>
        <v>1</v>
      </c>
      <c r="AC37" s="1507">
        <f t="shared" si="5"/>
        <v>1</v>
      </c>
    </row>
    <row r="38" spans="1:29" ht="15.6">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515"/>
      <c r="Q38" s="1506" t="str">
        <f>B38</f>
        <v>宗地面积</v>
      </c>
      <c r="R38" s="714" t="s">
        <v>17</v>
      </c>
      <c r="S38" s="715" t="e">
        <f t="shared" si="10"/>
        <v>#N/A</v>
      </c>
      <c r="T38" s="714" t="s">
        <v>17</v>
      </c>
      <c r="U38" s="715" t="e">
        <f t="shared" si="11"/>
        <v>#N/A</v>
      </c>
      <c r="V38" s="714" t="s">
        <v>17</v>
      </c>
      <c r="W38" s="715" t="e">
        <f t="shared" si="12"/>
        <v>#N/A</v>
      </c>
      <c r="X38" s="1509"/>
      <c r="Y38" s="3515"/>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515"/>
      <c r="Q39" s="1506" t="str">
        <f t="shared" ref="Q39:Q45" si="14">B39</f>
        <v>宗地形状</v>
      </c>
      <c r="R39" s="714" t="s">
        <v>17</v>
      </c>
      <c r="S39" s="715">
        <f t="shared" si="10"/>
        <v>100</v>
      </c>
      <c r="T39" s="714" t="s">
        <v>17</v>
      </c>
      <c r="U39" s="715">
        <f t="shared" si="11"/>
        <v>100</v>
      </c>
      <c r="V39" s="714" t="s">
        <v>17</v>
      </c>
      <c r="W39" s="715">
        <f t="shared" si="12"/>
        <v>100</v>
      </c>
      <c r="X39" s="1509"/>
      <c r="Y39" s="3515"/>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515"/>
      <c r="Q40" s="1506" t="str">
        <f t="shared" si="14"/>
        <v>临街宽度及深度</v>
      </c>
      <c r="R40" s="714" t="s">
        <v>17</v>
      </c>
      <c r="S40" s="715">
        <f t="shared" si="10"/>
        <v>100</v>
      </c>
      <c r="T40" s="714" t="s">
        <v>17</v>
      </c>
      <c r="U40" s="715">
        <f t="shared" si="11"/>
        <v>100</v>
      </c>
      <c r="V40" s="714" t="s">
        <v>17</v>
      </c>
      <c r="W40" s="715">
        <f t="shared" si="12"/>
        <v>100</v>
      </c>
      <c r="X40" s="1509"/>
      <c r="Y40" s="3515"/>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515"/>
      <c r="Q41" s="1506" t="str">
        <f t="shared" si="14"/>
        <v>宗地开发程度</v>
      </c>
      <c r="R41" s="710" t="s">
        <v>17</v>
      </c>
      <c r="S41" s="711">
        <f t="shared" si="10"/>
        <v>100</v>
      </c>
      <c r="T41" s="710" t="s">
        <v>17</v>
      </c>
      <c r="U41" s="711">
        <f t="shared" si="11"/>
        <v>100</v>
      </c>
      <c r="V41" s="710" t="s">
        <v>17</v>
      </c>
      <c r="W41" s="711">
        <f t="shared" si="12"/>
        <v>100</v>
      </c>
      <c r="X41" s="712"/>
      <c r="Y41" s="3515"/>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515" t="s">
        <v>2325</v>
      </c>
      <c r="Q42" s="1506" t="str">
        <f t="shared" si="14"/>
        <v>工程地质条件</v>
      </c>
      <c r="R42" s="714" t="s">
        <v>17</v>
      </c>
      <c r="S42" s="715">
        <f t="shared" si="10"/>
        <v>100</v>
      </c>
      <c r="T42" s="714" t="s">
        <v>17</v>
      </c>
      <c r="U42" s="715">
        <f t="shared" si="11"/>
        <v>100</v>
      </c>
      <c r="V42" s="714" t="s">
        <v>17</v>
      </c>
      <c r="W42" s="715">
        <f t="shared" si="12"/>
        <v>100</v>
      </c>
      <c r="X42" s="1509"/>
      <c r="Y42" s="3515"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515"/>
      <c r="Q43" s="1506">
        <f t="shared" si="14"/>
        <v>111</v>
      </c>
      <c r="R43" s="714" t="s">
        <v>17</v>
      </c>
      <c r="S43" s="715">
        <f t="shared" si="10"/>
        <v>100</v>
      </c>
      <c r="T43" s="714" t="s">
        <v>17</v>
      </c>
      <c r="U43" s="715">
        <f t="shared" si="11"/>
        <v>100</v>
      </c>
      <c r="V43" s="714" t="s">
        <v>17</v>
      </c>
      <c r="W43" s="715">
        <f t="shared" si="12"/>
        <v>100</v>
      </c>
      <c r="X43" s="1509"/>
      <c r="Y43" s="351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515"/>
      <c r="Q44" s="1506">
        <f t="shared" si="14"/>
        <v>111</v>
      </c>
      <c r="R44" s="714" t="s">
        <v>17</v>
      </c>
      <c r="S44" s="715">
        <f t="shared" si="10"/>
        <v>100</v>
      </c>
      <c r="T44" s="714" t="s">
        <v>17</v>
      </c>
      <c r="U44" s="715">
        <f t="shared" si="11"/>
        <v>100</v>
      </c>
      <c r="V44" s="714" t="s">
        <v>17</v>
      </c>
      <c r="W44" s="715">
        <f t="shared" si="12"/>
        <v>100</v>
      </c>
      <c r="X44" s="1509"/>
      <c r="Y44" s="3515"/>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515"/>
      <c r="Q45" s="1506">
        <f t="shared" si="14"/>
        <v>111</v>
      </c>
      <c r="R45" s="717" t="s">
        <v>17</v>
      </c>
      <c r="S45" s="718">
        <f t="shared" si="10"/>
        <v>100</v>
      </c>
      <c r="T45" s="717" t="s">
        <v>17</v>
      </c>
      <c r="U45" s="718">
        <f t="shared" si="11"/>
        <v>100</v>
      </c>
      <c r="V45" s="717" t="s">
        <v>17</v>
      </c>
      <c r="W45" s="718">
        <f t="shared" si="12"/>
        <v>100</v>
      </c>
      <c r="X45" s="719"/>
      <c r="Y45" s="3515"/>
      <c r="Z45" s="720">
        <f t="shared" si="13"/>
        <v>111</v>
      </c>
      <c r="AA45" s="1507">
        <f t="shared" si="3"/>
        <v>1</v>
      </c>
      <c r="AB45" s="1507">
        <f t="shared" si="4"/>
        <v>1</v>
      </c>
      <c r="AC45" s="1507">
        <f t="shared" si="5"/>
        <v>1</v>
      </c>
    </row>
    <row r="46" spans="1:29" ht="14.4">
      <c r="A46" s="438" t="s">
        <v>2480</v>
      </c>
      <c r="B46" s="2138" t="s">
        <v>2516</v>
      </c>
      <c r="C46" s="638" t="s">
        <v>1</v>
      </c>
      <c r="D46" s="440"/>
      <c r="E46" s="441"/>
      <c r="F46" s="442"/>
      <c r="G46" s="443"/>
      <c r="H46" s="444"/>
      <c r="I46" s="441"/>
      <c r="J46" s="444"/>
      <c r="K46" s="723"/>
      <c r="L46" s="2919"/>
      <c r="M46" s="2920"/>
      <c r="N46" s="2911"/>
      <c r="O46" s="2920"/>
      <c r="P46" s="3508" t="str">
        <f>A46</f>
        <v>成交单价</v>
      </c>
      <c r="Q46" s="3508"/>
      <c r="R46" s="3503">
        <f>E46</f>
        <v>0</v>
      </c>
      <c r="S46" s="3503"/>
      <c r="T46" s="3503">
        <f>G46</f>
        <v>0</v>
      </c>
      <c r="U46" s="3503"/>
      <c r="V46" s="3503">
        <f>I46</f>
        <v>0</v>
      </c>
      <c r="W46" s="3503"/>
      <c r="X46" s="699"/>
      <c r="Y46" s="721"/>
      <c r="Z46" s="699"/>
      <c r="AA46" s="699"/>
      <c r="AB46" s="699"/>
      <c r="AC46" s="699"/>
    </row>
    <row r="47" spans="1:29" ht="1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508" t="str">
        <f>A47</f>
        <v>比较价值（元/平方米）</v>
      </c>
      <c r="Q47" s="3508"/>
      <c r="R47" s="3536" t="e">
        <f>ROUND(PRODUCT(R46,AA7:AA45),0)</f>
        <v>#DIV/0!</v>
      </c>
      <c r="S47" s="3536"/>
      <c r="T47" s="3536" t="e">
        <f>ROUND(PRODUCT(T46,AB7:AB45),0)</f>
        <v>#DIV/0!</v>
      </c>
      <c r="U47" s="3536"/>
      <c r="V47" s="3536" t="e">
        <f>ROUND(PRODUCT(V46,AC7:AC45),0)</f>
        <v>#DIV/0!</v>
      </c>
      <c r="W47" s="3536"/>
      <c r="X47" s="699"/>
      <c r="Y47" s="699"/>
      <c r="Z47" s="699"/>
      <c r="AA47" s="699"/>
      <c r="AB47" s="699"/>
      <c r="AC47" s="699"/>
    </row>
    <row r="48" spans="1:29" ht="15" thickBot="1">
      <c r="A48" s="449" t="s">
        <v>2517</v>
      </c>
      <c r="B48" s="450"/>
      <c r="C48" s="451" t="e">
        <f>R48</f>
        <v>#DIV/0!</v>
      </c>
      <c r="D48" s="451"/>
      <c r="E48" s="451"/>
      <c r="F48" s="451"/>
      <c r="G48" s="451"/>
      <c r="H48" s="451"/>
      <c r="I48" s="451"/>
      <c r="J48" s="451"/>
      <c r="K48" s="724"/>
      <c r="L48" s="2919"/>
      <c r="M48" s="2920"/>
      <c r="N48" s="2920"/>
      <c r="O48" s="2920"/>
      <c r="P48" s="3505" t="str">
        <f>A48</f>
        <v>估价对象XX用房的比较价值（楼面单价，元/平方米）</v>
      </c>
      <c r="Q48" s="3506"/>
      <c r="R48" s="3537" t="e">
        <f>ROUND(IF(D47="简单平均",AVERAGE(R47:W47),R47*F47+T47*H47+V47*J47),0)</f>
        <v>#DIV/0!</v>
      </c>
      <c r="S48" s="3537"/>
      <c r="T48" s="3537"/>
      <c r="U48" s="3537"/>
      <c r="V48" s="3537"/>
      <c r="W48" s="353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4.4"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91" t="s">
        <v>2524</v>
      </c>
      <c r="H55" s="3538"/>
      <c r="I55" s="140" t="s">
        <v>2525</v>
      </c>
      <c r="J55" s="2141" t="str">
        <f>项目基本情况!F35</f>
        <v>朝阳区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6924.4</v>
      </c>
      <c r="F56" s="1017" t="e">
        <f t="shared" ref="F56:F65" si="15">ROUND(B56*E56/10000,0)</f>
        <v>#DIV/0!</v>
      </c>
      <c r="G56" s="3490"/>
      <c r="H56" s="3508"/>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0.7</v>
      </c>
      <c r="D57" s="1076">
        <v>0.25</v>
      </c>
      <c r="E57" s="650"/>
      <c r="F57" s="1017" t="e">
        <f t="shared" si="15"/>
        <v>#DIV/0!</v>
      </c>
      <c r="G57" s="3539" t="s">
        <v>2529</v>
      </c>
      <c r="H57" s="1018" t="str">
        <f>项目基本情况!B37</f>
        <v>四级</v>
      </c>
      <c r="I57" s="1022">
        <f>SUMIF(修正!A45:A56,H57,修正!B45:B56)</f>
        <v>0.7</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0.4</v>
      </c>
      <c r="D58" s="1076">
        <v>0.25</v>
      </c>
      <c r="E58" s="650"/>
      <c r="F58" s="1017" t="e">
        <f t="shared" si="15"/>
        <v>#DIV/0!</v>
      </c>
      <c r="G58" s="3539"/>
      <c r="H58" s="1018" t="str">
        <f>项目基本情况!B37</f>
        <v>四级</v>
      </c>
      <c r="I58" s="1022">
        <f>SUMIF(修正!A45:A56,H58,修正!C45:C56)</f>
        <v>0.4</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0.28000000000000003</v>
      </c>
      <c r="D59" s="1076">
        <v>0.25</v>
      </c>
      <c r="E59" s="650"/>
      <c r="F59" s="1017" t="e">
        <f t="shared" si="15"/>
        <v>#DIV/0!</v>
      </c>
      <c r="G59" s="3539"/>
      <c r="H59" s="1018" t="str">
        <f>项目基本情况!B37</f>
        <v>四级</v>
      </c>
      <c r="I59" s="1022">
        <f>SUMIF(修正!A45:A56,H59,修正!D45:D56)</f>
        <v>0.28000000000000003</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0.25</v>
      </c>
      <c r="D60" s="1076">
        <v>0.25</v>
      </c>
      <c r="E60" s="650"/>
      <c r="F60" s="1017" t="e">
        <f t="shared" si="15"/>
        <v>#DIV/0!</v>
      </c>
      <c r="G60" s="3539"/>
      <c r="H60" s="1018" t="str">
        <f>项目基本情况!B37</f>
        <v>四级</v>
      </c>
      <c r="I60" s="1022">
        <f>SUMIF(修正!A45:A56,H60,修正!E45:E56)</f>
        <v>0.25</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1785.1599999999999</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0.2</v>
      </c>
      <c r="D64" s="1076">
        <v>0.25</v>
      </c>
      <c r="E64" s="223">
        <f>'数据-汇总表'!E14</f>
        <v>0</v>
      </c>
      <c r="F64" s="1017" t="e">
        <f t="shared" si="15"/>
        <v>#DIV/0!</v>
      </c>
      <c r="G64" s="2143" t="s">
        <v>2529</v>
      </c>
      <c r="H64" s="1018" t="str">
        <f>项目基本情况!B37</f>
        <v>四级</v>
      </c>
      <c r="I64" s="1022">
        <f>SUMIF(修正!A45:A56,H64,修正!H45:H56)</f>
        <v>0.2</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4.4"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thickBot="1">
      <c r="A66" s="651" t="s">
        <v>2541</v>
      </c>
      <c r="B66" s="652" t="s">
        <v>28</v>
      </c>
      <c r="C66" s="652" t="s">
        <v>29</v>
      </c>
      <c r="D66" s="652" t="s">
        <v>997</v>
      </c>
      <c r="E66" s="652">
        <f>IF(B46="楼面地价",SUM(E56:E65),'数据-汇总表'!D3)</f>
        <v>8709.56</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0"/>
      <c r="Q68" s="2920"/>
      <c r="R68" s="2920"/>
      <c r="S68" s="2920"/>
      <c r="T68" s="2920"/>
      <c r="U68" s="2920"/>
      <c r="V68" s="2920"/>
      <c r="W68" s="2920"/>
      <c r="X68" s="2920"/>
      <c r="Y68" s="2920"/>
      <c r="Z68" s="2920"/>
      <c r="AA68" s="2920"/>
      <c r="AB68" s="2920"/>
      <c r="AC68" s="2920"/>
    </row>
    <row r="69" spans="1:29" ht="22.2"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4.4">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4"/>
      <c r="Q71" s="2854"/>
      <c r="R71" s="2854"/>
      <c r="S71" s="2854"/>
      <c r="T71" s="2854"/>
      <c r="U71" s="2854"/>
      <c r="V71" s="2854"/>
      <c r="W71" s="2854"/>
      <c r="X71" s="2854"/>
      <c r="Y71" s="2854"/>
      <c r="Z71" s="2854"/>
      <c r="AA71" s="2854"/>
      <c r="AB71" s="2854"/>
      <c r="AC71" s="2854"/>
    </row>
    <row r="72" spans="1:29" s="113" customFormat="1" ht="15" thickBot="1">
      <c r="A72" s="472" t="s">
        <v>2345</v>
      </c>
      <c r="B72" s="473"/>
      <c r="C72" s="474"/>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4.4">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4.4"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ht="14.4">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4.4"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9.4"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4.4"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4.4"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4.4"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4.4"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4.4"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4.4"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4.4"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ht="14.4">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29.4"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9.4"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9.4"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4.4"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4.4"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4.4"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4.4"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4.4"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4.4"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14.4">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4.4"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4.4"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4.4"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4.4"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4.4"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4.4"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4.4"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4.4">
      <c r="A4" s="361" t="s">
        <v>2405</v>
      </c>
      <c r="B4" s="362"/>
      <c r="C4" s="3491" t="s">
        <v>2406</v>
      </c>
      <c r="D4" s="3492"/>
      <c r="E4" s="3493" t="s">
        <v>2407</v>
      </c>
      <c r="F4" s="3494"/>
      <c r="G4" s="3491" t="s">
        <v>2408</v>
      </c>
      <c r="H4" s="3492"/>
      <c r="I4" s="3491" t="s">
        <v>2409</v>
      </c>
      <c r="J4" s="3492"/>
      <c r="K4" s="567" t="s">
        <v>2410</v>
      </c>
      <c r="L4" s="2910"/>
      <c r="M4" s="2911"/>
      <c r="N4" s="2911"/>
      <c r="O4" s="2911"/>
      <c r="P4" s="3495" t="s">
        <v>2411</v>
      </c>
      <c r="Q4" s="3496"/>
      <c r="R4" s="3478" t="s">
        <v>2407</v>
      </c>
      <c r="S4" s="3479"/>
      <c r="T4" s="3478" t="s">
        <v>2408</v>
      </c>
      <c r="U4" s="3479"/>
      <c r="V4" s="3503" t="s">
        <v>2409</v>
      </c>
      <c r="W4" s="3503"/>
      <c r="X4" s="1509"/>
      <c r="Y4" s="3478" t="s">
        <v>2411</v>
      </c>
      <c r="Z4" s="3479"/>
      <c r="AA4" s="3473" t="s">
        <v>2407</v>
      </c>
      <c r="AB4" s="3474" t="s">
        <v>2408</v>
      </c>
      <c r="AC4" s="3473" t="s">
        <v>2409</v>
      </c>
    </row>
    <row r="5" spans="1:29">
      <c r="A5" s="364"/>
      <c r="B5" s="365"/>
      <c r="C5" s="3484" t="s">
        <v>2302</v>
      </c>
      <c r="D5" s="3485"/>
      <c r="E5" s="3482" t="s">
        <v>2303</v>
      </c>
      <c r="F5" s="3483"/>
      <c r="G5" s="3484" t="s">
        <v>2304</v>
      </c>
      <c r="H5" s="3485"/>
      <c r="I5" s="3484" t="s">
        <v>2305</v>
      </c>
      <c r="J5" s="3485"/>
      <c r="K5" s="567"/>
      <c r="L5" s="2910"/>
      <c r="M5" s="2911"/>
      <c r="N5" s="2911"/>
      <c r="O5" s="2911"/>
      <c r="P5" s="3497"/>
      <c r="Q5" s="3498"/>
      <c r="R5" s="3480"/>
      <c r="S5" s="3481"/>
      <c r="T5" s="3480"/>
      <c r="U5" s="3481"/>
      <c r="V5" s="3503"/>
      <c r="W5" s="3503"/>
      <c r="X5" s="1509"/>
      <c r="Y5" s="3480"/>
      <c r="Z5" s="3481"/>
      <c r="AA5" s="3474"/>
      <c r="AB5" s="3474"/>
      <c r="AC5" s="3474"/>
    </row>
    <row r="6" spans="1:29" ht="15" thickBot="1">
      <c r="A6" s="366"/>
      <c r="B6" s="367"/>
      <c r="C6" s="3540" t="s">
        <v>2557</v>
      </c>
      <c r="D6" s="3541"/>
      <c r="E6" s="3542" t="s">
        <v>2557</v>
      </c>
      <c r="F6" s="3543"/>
      <c r="G6" s="3540" t="s">
        <v>2557</v>
      </c>
      <c r="H6" s="3541"/>
      <c r="I6" s="3540" t="s">
        <v>2557</v>
      </c>
      <c r="J6" s="3541"/>
      <c r="K6" s="567" t="s">
        <v>2307</v>
      </c>
      <c r="L6" s="2910"/>
      <c r="M6" s="2911"/>
      <c r="N6" s="2911"/>
      <c r="O6" s="2911"/>
      <c r="P6" s="3499"/>
      <c r="Q6" s="3500"/>
      <c r="R6" s="3480"/>
      <c r="S6" s="3481"/>
      <c r="T6" s="3501"/>
      <c r="U6" s="3502"/>
      <c r="V6" s="3503"/>
      <c r="W6" s="3503"/>
      <c r="X6" s="1509"/>
      <c r="Y6" s="3501"/>
      <c r="Z6" s="3502"/>
      <c r="AA6" s="3475"/>
      <c r="AB6" s="3475"/>
      <c r="AC6" s="3475"/>
    </row>
    <row r="7" spans="1:29" s="113" customFormat="1" ht="15" thickBot="1">
      <c r="A7" s="368" t="s">
        <v>2308</v>
      </c>
      <c r="B7" s="369"/>
      <c r="C7" s="370">
        <f>'数据-取费表'!B2</f>
        <v>44572</v>
      </c>
      <c r="D7" s="371">
        <v>100</v>
      </c>
      <c r="E7" s="372"/>
      <c r="F7" s="373">
        <f>SUMIF(65:65,YEAR(E7)&amp;"-"&amp;INT((MONTH(E7)+2)/3),66:66)</f>
        <v>0</v>
      </c>
      <c r="G7" s="2130"/>
      <c r="H7" s="371">
        <f>SUMIF(65:65,YEAR(G7)&amp;"-"&amp;INT((MONTH(G7)+2)/3),66:66)</f>
        <v>0</v>
      </c>
      <c r="I7" s="2130"/>
      <c r="J7" s="371">
        <f>SUMIF(65:65,YEAR(I7)&amp;"-"&amp;INT((MONTH(I7)+2)/3),66:66)</f>
        <v>0</v>
      </c>
      <c r="K7" s="568"/>
      <c r="L7" s="2912"/>
      <c r="M7" s="2913"/>
      <c r="N7" s="2913"/>
      <c r="O7" s="2913"/>
      <c r="P7" s="3476" t="s">
        <v>2309</v>
      </c>
      <c r="Q7" s="3504"/>
      <c r="R7" s="710" t="s">
        <v>17</v>
      </c>
      <c r="S7" s="711">
        <f t="shared" ref="S7:S15" si="0">F7</f>
        <v>0</v>
      </c>
      <c r="T7" s="710" t="s">
        <v>17</v>
      </c>
      <c r="U7" s="711">
        <f t="shared" ref="U7:U15" si="1">H7</f>
        <v>0</v>
      </c>
      <c r="V7" s="710" t="s">
        <v>17</v>
      </c>
      <c r="W7" s="711">
        <f t="shared" ref="W7:W15" si="2">J7</f>
        <v>0</v>
      </c>
      <c r="X7" s="712"/>
      <c r="Y7" s="3476" t="s">
        <v>2309</v>
      </c>
      <c r="Z7" s="3477"/>
      <c r="AA7" s="713" t="e">
        <f>D7/F7</f>
        <v>#DIV/0!</v>
      </c>
      <c r="AB7" s="713" t="e">
        <f>D7/H7</f>
        <v>#DIV/0!</v>
      </c>
      <c r="AC7" s="713" t="e">
        <f>D7/J7</f>
        <v>#DIV/0!</v>
      </c>
    </row>
    <row r="8" spans="1:29" s="113" customFormat="1" ht="1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76" t="s">
        <v>2312</v>
      </c>
      <c r="Q8" s="3477"/>
      <c r="R8" s="710" t="s">
        <v>17</v>
      </c>
      <c r="S8" s="711">
        <f t="shared" si="0"/>
        <v>0</v>
      </c>
      <c r="T8" s="710" t="s">
        <v>17</v>
      </c>
      <c r="U8" s="711">
        <f t="shared" si="1"/>
        <v>0</v>
      </c>
      <c r="V8" s="710" t="s">
        <v>17</v>
      </c>
      <c r="W8" s="711">
        <f t="shared" si="2"/>
        <v>0</v>
      </c>
      <c r="X8" s="712"/>
      <c r="Y8" s="3476" t="s">
        <v>2312</v>
      </c>
      <c r="Z8" s="3477"/>
      <c r="AA8" s="713" t="e">
        <f t="shared" ref="AA8:AA40" si="3">D8/F8</f>
        <v>#DIV/0!</v>
      </c>
      <c r="AB8" s="713" t="e">
        <f t="shared" ref="AB8:AB40" si="4">D8/H8</f>
        <v>#DIV/0!</v>
      </c>
      <c r="AC8" s="713" t="e">
        <f t="shared" ref="AC8:AC40" si="5">D8/J8</f>
        <v>#DIV/0!</v>
      </c>
    </row>
    <row r="9" spans="1:29" s="113" customFormat="1" ht="14.4">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2"/>
      <c r="M9" s="2913"/>
      <c r="N9" s="2913"/>
      <c r="O9" s="2967"/>
      <c r="P9" s="3508" t="s">
        <v>2315</v>
      </c>
      <c r="Q9" s="1497" t="str">
        <f t="shared" ref="Q9:Q15" si="6">B9</f>
        <v>用途</v>
      </c>
      <c r="R9" s="710" t="s">
        <v>17</v>
      </c>
      <c r="S9" s="711">
        <f t="shared" si="0"/>
        <v>100</v>
      </c>
      <c r="T9" s="710" t="s">
        <v>17</v>
      </c>
      <c r="U9" s="711">
        <f t="shared" si="1"/>
        <v>100</v>
      </c>
      <c r="V9" s="710" t="s">
        <v>17</v>
      </c>
      <c r="W9" s="711">
        <f t="shared" si="2"/>
        <v>100</v>
      </c>
      <c r="X9" s="712"/>
      <c r="Y9" s="3394"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116</v>
      </c>
      <c r="G10" s="391"/>
      <c r="H10" s="132">
        <f>ROUND(100/'数据-取费表'!G16,0)</f>
        <v>116</v>
      </c>
      <c r="I10" s="391"/>
      <c r="J10" s="132">
        <f>ROUND(100/'数据-取费表'!G16,0)</f>
        <v>116</v>
      </c>
      <c r="K10" s="628"/>
      <c r="L10" s="2914"/>
      <c r="M10" s="2915"/>
      <c r="N10" s="2915"/>
      <c r="O10" s="2968"/>
      <c r="P10" s="3508"/>
      <c r="Q10" s="1497" t="str">
        <f t="shared" si="6"/>
        <v>土地使用年限（年）</v>
      </c>
      <c r="R10" s="710" t="s">
        <v>17</v>
      </c>
      <c r="S10" s="711">
        <f t="shared" si="0"/>
        <v>116</v>
      </c>
      <c r="T10" s="710" t="s">
        <v>17</v>
      </c>
      <c r="U10" s="711">
        <f t="shared" si="1"/>
        <v>116</v>
      </c>
      <c r="V10" s="710" t="s">
        <v>17</v>
      </c>
      <c r="W10" s="711">
        <f t="shared" si="2"/>
        <v>116</v>
      </c>
      <c r="X10" s="712"/>
      <c r="Y10" s="3394"/>
      <c r="Z10" s="55" t="str">
        <f t="shared" si="7"/>
        <v>土地使用年限（年）</v>
      </c>
      <c r="AA10" s="713">
        <f t="shared" si="3"/>
        <v>0.86206896551724133</v>
      </c>
      <c r="AB10" s="713">
        <f t="shared" si="4"/>
        <v>0.86206896551724133</v>
      </c>
      <c r="AC10" s="713">
        <f t="shared" si="5"/>
        <v>0.86206896551724133</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508"/>
      <c r="Q11" s="1497" t="str">
        <f t="shared" si="6"/>
        <v>容积率</v>
      </c>
      <c r="R11" s="710" t="s">
        <v>17</v>
      </c>
      <c r="S11" s="711" t="e">
        <f t="shared" si="0"/>
        <v>#N/A</v>
      </c>
      <c r="T11" s="710" t="s">
        <v>17</v>
      </c>
      <c r="U11" s="711" t="e">
        <f t="shared" si="1"/>
        <v>#N/A</v>
      </c>
      <c r="V11" s="710" t="s">
        <v>17</v>
      </c>
      <c r="W11" s="711" t="e">
        <f t="shared" si="2"/>
        <v>#N/A</v>
      </c>
      <c r="X11" s="712"/>
      <c r="Y11" s="339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508"/>
      <c r="Q12" s="1497">
        <f t="shared" si="6"/>
        <v>111</v>
      </c>
      <c r="R12" s="710" t="s">
        <v>17</v>
      </c>
      <c r="S12" s="711">
        <f t="shared" si="0"/>
        <v>100</v>
      </c>
      <c r="T12" s="710" t="s">
        <v>17</v>
      </c>
      <c r="U12" s="711">
        <f t="shared" si="1"/>
        <v>100</v>
      </c>
      <c r="V12" s="710" t="s">
        <v>17</v>
      </c>
      <c r="W12" s="711">
        <f t="shared" si="2"/>
        <v>100</v>
      </c>
      <c r="X12" s="712"/>
      <c r="Y12" s="339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508"/>
      <c r="Q13" s="1497">
        <f t="shared" si="6"/>
        <v>111</v>
      </c>
      <c r="R13" s="710" t="s">
        <v>17</v>
      </c>
      <c r="S13" s="711">
        <f t="shared" si="0"/>
        <v>100</v>
      </c>
      <c r="T13" s="710" t="s">
        <v>17</v>
      </c>
      <c r="U13" s="711">
        <f t="shared" si="1"/>
        <v>100</v>
      </c>
      <c r="V13" s="710" t="s">
        <v>17</v>
      </c>
      <c r="W13" s="711">
        <f t="shared" si="2"/>
        <v>100</v>
      </c>
      <c r="X13" s="712"/>
      <c r="Y13" s="3394"/>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508"/>
      <c r="Q14" s="1497">
        <f t="shared" si="6"/>
        <v>111</v>
      </c>
      <c r="R14" s="710" t="s">
        <v>17</v>
      </c>
      <c r="S14" s="711">
        <f t="shared" si="0"/>
        <v>100</v>
      </c>
      <c r="T14" s="710" t="s">
        <v>17</v>
      </c>
      <c r="U14" s="711">
        <f t="shared" si="1"/>
        <v>100</v>
      </c>
      <c r="V14" s="710" t="s">
        <v>17</v>
      </c>
      <c r="W14" s="711">
        <f t="shared" si="2"/>
        <v>100</v>
      </c>
      <c r="X14" s="712"/>
      <c r="Y14" s="3394"/>
      <c r="Z14" s="55">
        <f t="shared" si="7"/>
        <v>111</v>
      </c>
      <c r="AA14" s="713">
        <f t="shared" si="3"/>
        <v>1</v>
      </c>
      <c r="AB14" s="713">
        <f t="shared" si="4"/>
        <v>1</v>
      </c>
      <c r="AC14" s="713">
        <f t="shared" si="5"/>
        <v>1</v>
      </c>
    </row>
    <row r="15" spans="1:29" ht="69">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510" t="s">
        <v>2320</v>
      </c>
      <c r="Q15" s="1506" t="str">
        <f t="shared" si="6"/>
        <v>产业集聚程度</v>
      </c>
      <c r="R15" s="714" t="s">
        <v>17</v>
      </c>
      <c r="S15" s="715">
        <f t="shared" si="0"/>
        <v>100</v>
      </c>
      <c r="T15" s="714" t="s">
        <v>17</v>
      </c>
      <c r="U15" s="715">
        <f t="shared" si="1"/>
        <v>100</v>
      </c>
      <c r="V15" s="714" t="s">
        <v>17</v>
      </c>
      <c r="W15" s="715">
        <f t="shared" si="2"/>
        <v>100</v>
      </c>
      <c r="X15" s="1509"/>
      <c r="Y15" s="3510"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7"/>
      <c r="M16" s="2911"/>
      <c r="N16" s="2911"/>
      <c r="O16" s="2969"/>
      <c r="P16" s="3511"/>
      <c r="Q16" s="1506"/>
      <c r="R16" s="714"/>
      <c r="S16" s="715"/>
      <c r="T16" s="714"/>
      <c r="U16" s="715"/>
      <c r="V16" s="714"/>
      <c r="W16" s="715"/>
      <c r="X16" s="1509"/>
      <c r="Y16" s="3511"/>
      <c r="Z16" s="1510"/>
      <c r="AA16" s="1507">
        <v>1</v>
      </c>
      <c r="AB16" s="1507">
        <v>1</v>
      </c>
      <c r="AC16" s="1507">
        <v>1</v>
      </c>
    </row>
    <row r="17" spans="1:29" ht="96.6">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511"/>
      <c r="Q17" s="1506" t="str">
        <f>B17</f>
        <v>交通便捷度</v>
      </c>
      <c r="R17" s="714" t="s">
        <v>17</v>
      </c>
      <c r="S17" s="715">
        <f>F17</f>
        <v>100</v>
      </c>
      <c r="T17" s="714" t="s">
        <v>17</v>
      </c>
      <c r="U17" s="715">
        <f>H17</f>
        <v>100</v>
      </c>
      <c r="V17" s="714" t="s">
        <v>17</v>
      </c>
      <c r="W17" s="715">
        <f>J17</f>
        <v>100</v>
      </c>
      <c r="X17" s="1509"/>
      <c r="Y17" s="351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7"/>
      <c r="M18" s="2911"/>
      <c r="N18" s="2911"/>
      <c r="O18" s="2969"/>
      <c r="P18" s="3511"/>
      <c r="Q18" s="1506"/>
      <c r="R18" s="714"/>
      <c r="S18" s="715"/>
      <c r="T18" s="714"/>
      <c r="U18" s="715"/>
      <c r="V18" s="714"/>
      <c r="W18" s="715"/>
      <c r="X18" s="1509"/>
      <c r="Y18" s="3511"/>
      <c r="Z18" s="1510"/>
      <c r="AA18" s="1507">
        <v>1</v>
      </c>
      <c r="AB18" s="1507">
        <v>1</v>
      </c>
      <c r="AC18" s="1507">
        <v>1</v>
      </c>
    </row>
    <row r="19" spans="1:29" ht="28.8">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511"/>
      <c r="Q19" s="1506" t="str">
        <f t="shared" ref="Q19:Q33" si="8">B19</f>
        <v>区域土地利用方向</v>
      </c>
      <c r="R19" s="714" t="s">
        <v>17</v>
      </c>
      <c r="S19" s="715">
        <f>F19</f>
        <v>100</v>
      </c>
      <c r="T19" s="714" t="s">
        <v>17</v>
      </c>
      <c r="U19" s="715">
        <f>H19</f>
        <v>100</v>
      </c>
      <c r="V19" s="714" t="s">
        <v>17</v>
      </c>
      <c r="W19" s="715">
        <f>J19</f>
        <v>100</v>
      </c>
      <c r="X19" s="1509"/>
      <c r="Y19" s="351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7"/>
      <c r="M20" s="2911"/>
      <c r="N20" s="2911"/>
      <c r="O20" s="2969"/>
      <c r="P20" s="3511"/>
      <c r="Q20" s="1506"/>
      <c r="R20" s="714"/>
      <c r="S20" s="715"/>
      <c r="T20" s="714"/>
      <c r="U20" s="715"/>
      <c r="V20" s="714"/>
      <c r="W20" s="715"/>
      <c r="X20" s="1509"/>
      <c r="Y20" s="3511"/>
      <c r="Z20" s="1510"/>
      <c r="AA20" s="1507"/>
      <c r="AB20" s="1507"/>
      <c r="AC20" s="1507"/>
    </row>
    <row r="21" spans="1:29" ht="82.8">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511"/>
      <c r="Q21" s="1506" t="str">
        <f t="shared" si="8"/>
        <v>环境状况</v>
      </c>
      <c r="R21" s="714" t="s">
        <v>17</v>
      </c>
      <c r="S21" s="715">
        <f>F21</f>
        <v>100</v>
      </c>
      <c r="T21" s="714" t="s">
        <v>17</v>
      </c>
      <c r="U21" s="715">
        <f>H21</f>
        <v>100</v>
      </c>
      <c r="V21" s="714" t="s">
        <v>17</v>
      </c>
      <c r="W21" s="715">
        <f>J21</f>
        <v>100</v>
      </c>
      <c r="X21" s="1509"/>
      <c r="Y21" s="351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7"/>
      <c r="M22" s="2911"/>
      <c r="N22" s="2911"/>
      <c r="O22" s="2969"/>
      <c r="P22" s="3511"/>
      <c r="Q22" s="1506"/>
      <c r="R22" s="714"/>
      <c r="S22" s="715"/>
      <c r="T22" s="714"/>
      <c r="U22" s="715"/>
      <c r="V22" s="714"/>
      <c r="W22" s="715"/>
      <c r="X22" s="1509"/>
      <c r="Y22" s="3511"/>
      <c r="Z22" s="1510"/>
      <c r="AA22" s="1507">
        <v>1</v>
      </c>
      <c r="AB22" s="1507">
        <v>1</v>
      </c>
      <c r="AC22" s="1507">
        <v>1</v>
      </c>
    </row>
    <row r="23" spans="1:29" s="113" customFormat="1" ht="41.4">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511"/>
      <c r="Q23" s="1497" t="str">
        <f t="shared" si="8"/>
        <v>公共配套设施</v>
      </c>
      <c r="R23" s="710" t="s">
        <v>17</v>
      </c>
      <c r="S23" s="711">
        <f>F23</f>
        <v>100</v>
      </c>
      <c r="T23" s="710" t="s">
        <v>17</v>
      </c>
      <c r="U23" s="711">
        <f>H23</f>
        <v>100</v>
      </c>
      <c r="V23" s="710" t="s">
        <v>17</v>
      </c>
      <c r="W23" s="711">
        <f>J23</f>
        <v>100</v>
      </c>
      <c r="X23" s="712"/>
      <c r="Y23" s="351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2"/>
      <c r="M24" s="2913"/>
      <c r="N24" s="2913"/>
      <c r="O24" s="2967"/>
      <c r="P24" s="3511"/>
      <c r="Q24" s="1497"/>
      <c r="R24" s="710"/>
      <c r="S24" s="711"/>
      <c r="T24" s="710"/>
      <c r="U24" s="711"/>
      <c r="V24" s="710"/>
      <c r="W24" s="711"/>
      <c r="X24" s="712"/>
      <c r="Y24" s="3511"/>
      <c r="Z24" s="55"/>
      <c r="AA24" s="713">
        <v>1</v>
      </c>
      <c r="AB24" s="713">
        <v>1</v>
      </c>
      <c r="AC24" s="713">
        <v>1</v>
      </c>
    </row>
    <row r="25" spans="1:29" s="113" customFormat="1" ht="41.4">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511"/>
      <c r="Q25" s="1497" t="str">
        <f t="shared" ref="Q25" si="9">B25</f>
        <v>基础设施水平</v>
      </c>
      <c r="R25" s="710" t="s">
        <v>17</v>
      </c>
      <c r="S25" s="711">
        <f>F25</f>
        <v>100</v>
      </c>
      <c r="T25" s="710" t="s">
        <v>17</v>
      </c>
      <c r="U25" s="711">
        <f>H25</f>
        <v>100</v>
      </c>
      <c r="V25" s="710" t="s">
        <v>17</v>
      </c>
      <c r="W25" s="711">
        <f>J25</f>
        <v>100</v>
      </c>
      <c r="X25" s="712"/>
      <c r="Y25" s="351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2"/>
      <c r="M26" s="2913"/>
      <c r="N26" s="2913"/>
      <c r="O26" s="2967"/>
      <c r="P26" s="3511"/>
      <c r="Q26" s="1497"/>
      <c r="R26" s="710"/>
      <c r="S26" s="711"/>
      <c r="T26" s="710"/>
      <c r="U26" s="711"/>
      <c r="V26" s="710"/>
      <c r="W26" s="711"/>
      <c r="X26" s="712"/>
      <c r="Y26" s="3511"/>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51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11"/>
      <c r="Z27" s="1510" t="str">
        <f t="shared" ref="Z27:Z40" si="13">Q27</f>
        <v>临街状况</v>
      </c>
      <c r="AA27" s="1507">
        <f t="shared" si="3"/>
        <v>1</v>
      </c>
      <c r="AB27" s="1507">
        <f t="shared" si="4"/>
        <v>1</v>
      </c>
      <c r="AC27" s="1507">
        <f t="shared" si="5"/>
        <v>1</v>
      </c>
    </row>
    <row r="28" spans="1:29" ht="28.8">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511"/>
      <c r="Q28" s="1506" t="str">
        <f t="shared" si="8"/>
        <v>毗邻道路的类型与等级</v>
      </c>
      <c r="R28" s="714" t="s">
        <v>17</v>
      </c>
      <c r="S28" s="715">
        <f t="shared" si="10"/>
        <v>100</v>
      </c>
      <c r="T28" s="714" t="s">
        <v>17</v>
      </c>
      <c r="U28" s="715">
        <f t="shared" si="11"/>
        <v>100</v>
      </c>
      <c r="V28" s="714" t="s">
        <v>17</v>
      </c>
      <c r="W28" s="715">
        <f t="shared" si="12"/>
        <v>100</v>
      </c>
      <c r="X28" s="1509"/>
      <c r="Y28" s="351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511"/>
      <c r="Q29" s="1506"/>
      <c r="R29" s="714"/>
      <c r="S29" s="715"/>
      <c r="T29" s="714"/>
      <c r="U29" s="715"/>
      <c r="V29" s="714"/>
      <c r="W29" s="715"/>
      <c r="X29" s="1509"/>
      <c r="Y29" s="3511"/>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511"/>
      <c r="Q30" s="1506" t="str">
        <f t="shared" si="8"/>
        <v>土地级别</v>
      </c>
      <c r="R30" s="714" t="s">
        <v>17</v>
      </c>
      <c r="S30" s="715">
        <f t="shared" si="10"/>
        <v>100</v>
      </c>
      <c r="T30" s="714" t="s">
        <v>17</v>
      </c>
      <c r="U30" s="715">
        <f t="shared" si="11"/>
        <v>100</v>
      </c>
      <c r="V30" s="714" t="s">
        <v>17</v>
      </c>
      <c r="W30" s="715">
        <f t="shared" si="12"/>
        <v>100</v>
      </c>
      <c r="X30" s="1509"/>
      <c r="Y30" s="351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511"/>
      <c r="Q31" s="1506">
        <f t="shared" si="8"/>
        <v>111</v>
      </c>
      <c r="R31" s="714" t="s">
        <v>17</v>
      </c>
      <c r="S31" s="715">
        <f t="shared" si="10"/>
        <v>100</v>
      </c>
      <c r="T31" s="714" t="s">
        <v>17</v>
      </c>
      <c r="U31" s="715">
        <f t="shared" si="11"/>
        <v>100</v>
      </c>
      <c r="V31" s="714" t="s">
        <v>17</v>
      </c>
      <c r="W31" s="715">
        <f t="shared" si="12"/>
        <v>100</v>
      </c>
      <c r="X31" s="1509"/>
      <c r="Y31" s="351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534" t="s">
        <v>2325</v>
      </c>
      <c r="Q32" s="1506">
        <f t="shared" si="8"/>
        <v>111</v>
      </c>
      <c r="R32" s="714" t="s">
        <v>17</v>
      </c>
      <c r="S32" s="715">
        <f t="shared" si="10"/>
        <v>100</v>
      </c>
      <c r="T32" s="714" t="s">
        <v>17</v>
      </c>
      <c r="U32" s="715">
        <f t="shared" si="11"/>
        <v>100</v>
      </c>
      <c r="V32" s="714" t="s">
        <v>17</v>
      </c>
      <c r="W32" s="715">
        <f t="shared" si="12"/>
        <v>100</v>
      </c>
      <c r="X32" s="1509"/>
      <c r="Y32" s="3515" t="s">
        <v>2325</v>
      </c>
      <c r="Z32" s="1510">
        <f t="shared" si="13"/>
        <v>111</v>
      </c>
      <c r="AA32" s="1507">
        <f t="shared" si="3"/>
        <v>1</v>
      </c>
      <c r="AB32" s="1507">
        <f t="shared" si="4"/>
        <v>1</v>
      </c>
      <c r="AC32" s="1507">
        <f t="shared" si="5"/>
        <v>1</v>
      </c>
    </row>
    <row r="33" spans="1:31" s="430" customFormat="1" ht="15.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515"/>
      <c r="Q33" s="1506">
        <f t="shared" si="8"/>
        <v>111</v>
      </c>
      <c r="R33" s="717" t="s">
        <v>17</v>
      </c>
      <c r="S33" s="718">
        <f t="shared" si="10"/>
        <v>100</v>
      </c>
      <c r="T33" s="717" t="s">
        <v>17</v>
      </c>
      <c r="U33" s="718">
        <f t="shared" si="11"/>
        <v>100</v>
      </c>
      <c r="V33" s="717" t="s">
        <v>17</v>
      </c>
      <c r="W33" s="718">
        <f t="shared" si="12"/>
        <v>100</v>
      </c>
      <c r="X33" s="719"/>
      <c r="Y33" s="3515"/>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515"/>
      <c r="Q34" s="1506" t="str">
        <f>B34</f>
        <v>宗地面积</v>
      </c>
      <c r="R34" s="714" t="s">
        <v>17</v>
      </c>
      <c r="S34" s="715" t="e">
        <f t="shared" si="10"/>
        <v>#N/A</v>
      </c>
      <c r="T34" s="714" t="s">
        <v>17</v>
      </c>
      <c r="U34" s="715" t="e">
        <f t="shared" si="11"/>
        <v>#N/A</v>
      </c>
      <c r="V34" s="714" t="s">
        <v>17</v>
      </c>
      <c r="W34" s="715" t="e">
        <f t="shared" si="12"/>
        <v>#N/A</v>
      </c>
      <c r="X34" s="1509"/>
      <c r="Y34" s="3515"/>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515"/>
      <c r="Q35" s="1506" t="str">
        <f t="shared" ref="Q35:Q40" si="14">B35</f>
        <v>宗地形状</v>
      </c>
      <c r="R35" s="714" t="s">
        <v>17</v>
      </c>
      <c r="S35" s="715">
        <f t="shared" si="10"/>
        <v>100</v>
      </c>
      <c r="T35" s="714" t="s">
        <v>17</v>
      </c>
      <c r="U35" s="715">
        <f t="shared" si="11"/>
        <v>100</v>
      </c>
      <c r="V35" s="714" t="s">
        <v>17</v>
      </c>
      <c r="W35" s="715">
        <f t="shared" si="12"/>
        <v>100</v>
      </c>
      <c r="X35" s="1509"/>
      <c r="Y35" s="3515"/>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2"/>
      <c r="M36" s="2913"/>
      <c r="N36" s="2913"/>
      <c r="O36" s="2967"/>
      <c r="P36" s="3515"/>
      <c r="Q36" s="1506" t="str">
        <f t="shared" si="14"/>
        <v>宗地开发程度</v>
      </c>
      <c r="R36" s="710" t="s">
        <v>17</v>
      </c>
      <c r="S36" s="711">
        <f t="shared" si="10"/>
        <v>100</v>
      </c>
      <c r="T36" s="710" t="s">
        <v>17</v>
      </c>
      <c r="U36" s="711">
        <f t="shared" si="11"/>
        <v>100</v>
      </c>
      <c r="V36" s="710" t="s">
        <v>17</v>
      </c>
      <c r="W36" s="711">
        <f t="shared" si="12"/>
        <v>100</v>
      </c>
      <c r="X36" s="712"/>
      <c r="Y36" s="3515"/>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515" t="s">
        <v>2325</v>
      </c>
      <c r="Q37" s="1506" t="str">
        <f t="shared" si="14"/>
        <v>工程地质条件</v>
      </c>
      <c r="R37" s="714" t="s">
        <v>17</v>
      </c>
      <c r="S37" s="715">
        <f t="shared" si="10"/>
        <v>100</v>
      </c>
      <c r="T37" s="714" t="s">
        <v>17</v>
      </c>
      <c r="U37" s="715">
        <f t="shared" si="11"/>
        <v>100</v>
      </c>
      <c r="V37" s="714" t="s">
        <v>17</v>
      </c>
      <c r="W37" s="715">
        <f t="shared" si="12"/>
        <v>100</v>
      </c>
      <c r="X37" s="1509"/>
      <c r="Y37" s="3515"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515"/>
      <c r="Q38" s="1506">
        <f t="shared" si="14"/>
        <v>111</v>
      </c>
      <c r="R38" s="714" t="s">
        <v>17</v>
      </c>
      <c r="S38" s="715">
        <f t="shared" si="10"/>
        <v>100</v>
      </c>
      <c r="T38" s="714" t="s">
        <v>17</v>
      </c>
      <c r="U38" s="715">
        <f t="shared" si="11"/>
        <v>100</v>
      </c>
      <c r="V38" s="714" t="s">
        <v>17</v>
      </c>
      <c r="W38" s="715">
        <f t="shared" si="12"/>
        <v>100</v>
      </c>
      <c r="X38" s="1509"/>
      <c r="Y38" s="351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515"/>
      <c r="Q39" s="1506">
        <f t="shared" si="14"/>
        <v>111</v>
      </c>
      <c r="R39" s="714" t="s">
        <v>17</v>
      </c>
      <c r="S39" s="715">
        <f t="shared" si="10"/>
        <v>100</v>
      </c>
      <c r="T39" s="714" t="s">
        <v>17</v>
      </c>
      <c r="U39" s="715">
        <f t="shared" si="11"/>
        <v>100</v>
      </c>
      <c r="V39" s="714" t="s">
        <v>17</v>
      </c>
      <c r="W39" s="715">
        <f t="shared" si="12"/>
        <v>100</v>
      </c>
      <c r="X39" s="1509"/>
      <c r="Y39" s="3515"/>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515"/>
      <c r="Q40" s="1506">
        <f t="shared" si="14"/>
        <v>111</v>
      </c>
      <c r="R40" s="717" t="s">
        <v>17</v>
      </c>
      <c r="S40" s="718">
        <f t="shared" si="10"/>
        <v>100</v>
      </c>
      <c r="T40" s="717" t="s">
        <v>17</v>
      </c>
      <c r="U40" s="718">
        <f t="shared" si="11"/>
        <v>100</v>
      </c>
      <c r="V40" s="717" t="s">
        <v>17</v>
      </c>
      <c r="W40" s="718">
        <f t="shared" si="12"/>
        <v>100</v>
      </c>
      <c r="X40" s="719"/>
      <c r="Y40" s="3515"/>
      <c r="Z40" s="720">
        <f t="shared" si="13"/>
        <v>111</v>
      </c>
      <c r="AA40" s="1507">
        <f t="shared" si="3"/>
        <v>1</v>
      </c>
      <c r="AB40" s="1507">
        <f t="shared" si="4"/>
        <v>1</v>
      </c>
      <c r="AC40" s="1507">
        <f t="shared" si="5"/>
        <v>1</v>
      </c>
    </row>
    <row r="41" spans="1:31" ht="14.4">
      <c r="A41" s="438" t="s">
        <v>2480</v>
      </c>
      <c r="B41" s="2138" t="s">
        <v>2560</v>
      </c>
      <c r="C41" s="638" t="s">
        <v>1</v>
      </c>
      <c r="D41" s="440"/>
      <c r="E41" s="441"/>
      <c r="F41" s="442"/>
      <c r="G41" s="443"/>
      <c r="H41" s="444"/>
      <c r="I41" s="441"/>
      <c r="J41" s="444"/>
      <c r="K41" s="723"/>
      <c r="L41" s="2919"/>
      <c r="M41" s="2911"/>
      <c r="N41" s="2911"/>
      <c r="O41" s="2920"/>
      <c r="P41" s="3508" t="str">
        <f>A41</f>
        <v>成交单价</v>
      </c>
      <c r="Q41" s="3508"/>
      <c r="R41" s="3503">
        <f>E41</f>
        <v>0</v>
      </c>
      <c r="S41" s="3503"/>
      <c r="T41" s="3503">
        <f>G41</f>
        <v>0</v>
      </c>
      <c r="U41" s="3503"/>
      <c r="V41" s="3503">
        <f>I41</f>
        <v>0</v>
      </c>
      <c r="W41" s="3503"/>
      <c r="X41" s="699"/>
      <c r="Y41" s="721"/>
      <c r="Z41" s="699"/>
      <c r="AA41" s="699"/>
      <c r="AB41" s="699"/>
      <c r="AC41" s="699"/>
    </row>
    <row r="42" spans="1:31" ht="15" thickBot="1">
      <c r="A42" s="445" t="s">
        <v>2429</v>
      </c>
      <c r="B42" s="639"/>
      <c r="C42" s="448" t="e">
        <f>R43</f>
        <v>#DIV/0!</v>
      </c>
      <c r="D42" s="2508" t="s">
        <v>2817</v>
      </c>
      <c r="E42" s="448" t="e">
        <f>R42</f>
        <v>#DIV/0!</v>
      </c>
      <c r="F42" s="2509"/>
      <c r="G42" s="447" t="e">
        <f>T42</f>
        <v>#DIV/0!</v>
      </c>
      <c r="H42" s="2509"/>
      <c r="I42" s="448" t="e">
        <f>V42</f>
        <v>#DIV/0!</v>
      </c>
      <c r="J42" s="2509"/>
      <c r="K42" s="2511">
        <f>F42+H42+J42</f>
        <v>0</v>
      </c>
      <c r="L42" s="2919"/>
      <c r="M42" s="2911"/>
      <c r="N42" s="2911"/>
      <c r="O42" s="2920"/>
      <c r="P42" s="3508" t="str">
        <f>A42</f>
        <v>比较价值（元/平方米）</v>
      </c>
      <c r="Q42" s="3508"/>
      <c r="R42" s="3536" t="e">
        <f>ROUND(PRODUCT(R41,AA7:AA40),0)</f>
        <v>#DIV/0!</v>
      </c>
      <c r="S42" s="3536"/>
      <c r="T42" s="3536" t="e">
        <f>ROUND(PRODUCT(T41,AB7:AB40),0)</f>
        <v>#DIV/0!</v>
      </c>
      <c r="U42" s="3536"/>
      <c r="V42" s="3536" t="e">
        <f>ROUND(PRODUCT(V41,AC7:AC40),0)</f>
        <v>#DIV/0!</v>
      </c>
      <c r="W42" s="3536"/>
      <c r="X42" s="699"/>
      <c r="Y42" s="699"/>
      <c r="Z42" s="699"/>
      <c r="AA42" s="699"/>
      <c r="AB42" s="699"/>
      <c r="AC42" s="699"/>
    </row>
    <row r="43" spans="1:31" ht="15" thickBot="1">
      <c r="A43" s="449" t="s">
        <v>2430</v>
      </c>
      <c r="B43" s="450"/>
      <c r="C43" s="451" t="e">
        <f>R43</f>
        <v>#DIV/0!</v>
      </c>
      <c r="D43" s="451"/>
      <c r="E43" s="451"/>
      <c r="F43" s="451"/>
      <c r="G43" s="451"/>
      <c r="H43" s="451"/>
      <c r="I43" s="451"/>
      <c r="J43" s="451"/>
      <c r="K43" s="724"/>
      <c r="L43" s="2919"/>
      <c r="M43" s="2911"/>
      <c r="N43" s="2911"/>
      <c r="O43" s="2920"/>
      <c r="P43" s="3505" t="str">
        <f>A43</f>
        <v>估价对象XX用房的比较价值（楼面单价，元/平方米）</v>
      </c>
      <c r="Q43" s="3506"/>
      <c r="R43" s="3537" t="e">
        <f>ROUND(IF(D42="简单平均",AVERAGE(R42:W42),R42*F42+T42*H42+V42*J42),0)</f>
        <v>#DIV/0!</v>
      </c>
      <c r="S43" s="3537"/>
      <c r="T43" s="3537"/>
      <c r="U43" s="3537"/>
      <c r="V43" s="3537"/>
      <c r="W43" s="353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4.4"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8.8">
      <c r="A50" s="640" t="s">
        <v>2518</v>
      </c>
      <c r="B50" s="641" t="s">
        <v>2519</v>
      </c>
      <c r="C50" s="2139" t="s">
        <v>2520</v>
      </c>
      <c r="D50" s="2140" t="s">
        <v>2521</v>
      </c>
      <c r="E50" s="642" t="s">
        <v>2522</v>
      </c>
      <c r="F50" s="643" t="s">
        <v>2523</v>
      </c>
      <c r="G50" s="3491" t="s">
        <v>2524</v>
      </c>
      <c r="H50" s="3538"/>
      <c r="I50" s="1510" t="s">
        <v>2561</v>
      </c>
      <c r="J50" s="1510" t="str">
        <f>项目基本情况!F35</f>
        <v>朝阳区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5">
        <v>1</v>
      </c>
      <c r="E51" s="646">
        <f>'数据-汇总表'!E8+'数据-汇总表'!E9</f>
        <v>6924.4</v>
      </c>
      <c r="F51" s="647" t="e">
        <f t="shared" ref="F51:F60" si="15">ROUND(B51*E51/10000,0)</f>
        <v>#DIV/0!</v>
      </c>
      <c r="G51" s="3490"/>
      <c r="H51" s="3508"/>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0.7</v>
      </c>
      <c r="D52" s="1076">
        <v>0.25</v>
      </c>
      <c r="E52" s="650"/>
      <c r="F52" s="647" t="e">
        <f t="shared" si="15"/>
        <v>#DIV/0!</v>
      </c>
      <c r="G52" s="3539" t="s">
        <v>2529</v>
      </c>
      <c r="H52" s="1018" t="str">
        <f>项目基本情况!B37</f>
        <v>四级</v>
      </c>
      <c r="I52" s="879">
        <f>SUMIF(修正!A45:A56,H52,修正!B45:B56)</f>
        <v>0.7</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0.4</v>
      </c>
      <c r="D53" s="1076">
        <v>0.25</v>
      </c>
      <c r="E53" s="650"/>
      <c r="F53" s="647" t="e">
        <f t="shared" si="15"/>
        <v>#DIV/0!</v>
      </c>
      <c r="G53" s="3539"/>
      <c r="H53" s="1018" t="str">
        <f>项目基本情况!B37</f>
        <v>四级</v>
      </c>
      <c r="I53" s="879">
        <f>SUMIF(修正!A45:A56,H53,修正!C45:C56)</f>
        <v>0.4</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0.28000000000000003</v>
      </c>
      <c r="D54" s="1076">
        <v>0.25</v>
      </c>
      <c r="E54" s="650"/>
      <c r="F54" s="647" t="e">
        <f t="shared" si="15"/>
        <v>#DIV/0!</v>
      </c>
      <c r="G54" s="3539"/>
      <c r="H54" s="1018" t="str">
        <f>项目基本情况!B37</f>
        <v>四级</v>
      </c>
      <c r="I54" s="879">
        <f>SUMIF(修正!A45:A56,H54,修正!D45:D56)</f>
        <v>0.28000000000000003</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0.25</v>
      </c>
      <c r="D55" s="1076">
        <v>0.25</v>
      </c>
      <c r="E55" s="650"/>
      <c r="F55" s="647" t="e">
        <f t="shared" si="15"/>
        <v>#DIV/0!</v>
      </c>
      <c r="G55" s="3539"/>
      <c r="H55" s="1018" t="str">
        <f>项目基本情况!B37</f>
        <v>四级</v>
      </c>
      <c r="I55" s="879">
        <f>SUMIF(修正!A45:A56,H55,修正!E45:E56)</f>
        <v>0.25</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6">
        <v>0.25</v>
      </c>
      <c r="E58" s="223">
        <f>'数据-汇总表'!E13</f>
        <v>1785.1599999999999</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0.2</v>
      </c>
      <c r="D59" s="1076">
        <v>0.25</v>
      </c>
      <c r="E59" s="223">
        <f>'数据-汇总表'!E14</f>
        <v>0</v>
      </c>
      <c r="F59" s="647" t="e">
        <f t="shared" si="15"/>
        <v>#DIV/0!</v>
      </c>
      <c r="G59" s="2143" t="s">
        <v>2529</v>
      </c>
      <c r="H59" s="1018" t="str">
        <f>项目基本情况!B37</f>
        <v>四级</v>
      </c>
      <c r="I59" s="879">
        <f>SUMIF(修正!A45:A56,H59,修正!H45:H56)</f>
        <v>0.2</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4.4"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4.4" thickBot="1">
      <c r="A61" s="651" t="s">
        <v>2541</v>
      </c>
      <c r="B61" s="652" t="s">
        <v>28</v>
      </c>
      <c r="C61" s="652" t="s">
        <v>29</v>
      </c>
      <c r="D61" s="652" t="s">
        <v>997</v>
      </c>
      <c r="E61" s="652">
        <f>IF(B41="楼面地价",SUM(E51:E60),'数据-汇总表'!D3)</f>
        <v>732.75</v>
      </c>
      <c r="F61" s="653" t="e">
        <f>IF(B41="楼面地价",SUM(F51:F60),ROUND(C43*E61/10000,0))</f>
        <v>#DIV/0!</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0"/>
      <c r="Q63" s="2920"/>
      <c r="R63" s="2920"/>
      <c r="S63" s="2920"/>
      <c r="T63" s="2920"/>
      <c r="U63" s="2920"/>
      <c r="V63" s="2920"/>
      <c r="W63" s="2920"/>
      <c r="X63" s="2920"/>
      <c r="Y63" s="2920"/>
      <c r="Z63" s="2920"/>
      <c r="AA63" s="2920"/>
      <c r="AB63" s="2920"/>
      <c r="AC63" s="2920"/>
      <c r="AD63" s="2920"/>
      <c r="AE63" s="2920"/>
    </row>
    <row r="64" spans="1:31" ht="22.2"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4.4">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4.4">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4.4"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ht="14.4">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4.4"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9.4"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4.4"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4.4"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4.4"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4.4"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4.4"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4.4"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4.4"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ht="14.4">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29.4"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9.4"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 thickTop="1">
      <c r="A93" s="510"/>
      <c r="B93" s="503" t="s">
        <v>2563</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9.4"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4.4"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4.4"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4.4"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4.4"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4.4"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4.4"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14.4">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4.4"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4.4"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4.4"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4.4"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4.4"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4.4"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4.4"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4" t="s">
        <v>183</v>
      </c>
      <c r="B18" s="821" t="s">
        <v>560</v>
      </c>
      <c r="C18" s="822" t="s">
        <v>561</v>
      </c>
      <c r="D18" s="823"/>
      <c r="E18" s="821">
        <v>1</v>
      </c>
      <c r="F18" s="824" t="s">
        <v>562</v>
      </c>
      <c r="G18" s="825"/>
      <c r="H18" s="817"/>
      <c r="I18" s="817"/>
    </row>
    <row r="19" spans="1:9" s="826" customFormat="1" ht="19.5" customHeight="1">
      <c r="A19" s="3544"/>
      <c r="B19" s="3544" t="s">
        <v>563</v>
      </c>
      <c r="C19" s="822" t="s">
        <v>564</v>
      </c>
      <c r="D19" s="823"/>
      <c r="E19" s="821">
        <v>0.9</v>
      </c>
      <c r="F19" s="824" t="s">
        <v>565</v>
      </c>
      <c r="G19" s="825"/>
      <c r="H19" s="817"/>
      <c r="I19" s="817"/>
    </row>
    <row r="20" spans="1:9" s="826" customFormat="1" ht="19.5" customHeight="1">
      <c r="A20" s="3544"/>
      <c r="B20" s="3544"/>
      <c r="C20" s="822" t="s">
        <v>566</v>
      </c>
      <c r="D20" s="823"/>
      <c r="E20" s="821">
        <v>1.1000000000000001</v>
      </c>
      <c r="F20" s="824" t="s">
        <v>567</v>
      </c>
      <c r="G20" s="825"/>
      <c r="H20" s="817"/>
      <c r="I20" s="817"/>
    </row>
    <row r="21" spans="1:9" s="826" customFormat="1" ht="19.5" customHeight="1">
      <c r="A21" s="3544"/>
      <c r="B21" s="3544"/>
      <c r="C21" s="822" t="s">
        <v>568</v>
      </c>
      <c r="D21" s="823"/>
      <c r="E21" s="821">
        <v>0.8</v>
      </c>
      <c r="F21" s="824" t="s">
        <v>569</v>
      </c>
      <c r="G21" s="825"/>
      <c r="H21" s="817"/>
      <c r="I21" s="817"/>
    </row>
    <row r="22" spans="1:9" s="826" customFormat="1" ht="19.5" customHeight="1">
      <c r="A22" s="3544"/>
      <c r="B22" s="3544"/>
      <c r="C22" s="822" t="s">
        <v>570</v>
      </c>
      <c r="D22" s="823"/>
      <c r="E22" s="821">
        <v>0.5</v>
      </c>
      <c r="F22" s="824"/>
      <c r="G22" s="825"/>
      <c r="H22" s="817"/>
      <c r="I22" s="817"/>
    </row>
    <row r="23" spans="1:9" s="826" customFormat="1" ht="19.5" customHeight="1">
      <c r="A23" s="3544" t="s">
        <v>184</v>
      </c>
      <c r="B23" s="821" t="s">
        <v>560</v>
      </c>
      <c r="C23" s="822" t="s">
        <v>571</v>
      </c>
      <c r="D23" s="823"/>
      <c r="E23" s="821">
        <v>1</v>
      </c>
      <c r="F23" s="824" t="s">
        <v>572</v>
      </c>
      <c r="G23" s="825"/>
      <c r="H23" s="817"/>
      <c r="I23" s="817"/>
    </row>
    <row r="24" spans="1:9" s="826" customFormat="1" ht="19.5" customHeight="1">
      <c r="A24" s="3544"/>
      <c r="B24" s="3544" t="s">
        <v>563</v>
      </c>
      <c r="C24" s="822" t="s">
        <v>573</v>
      </c>
      <c r="D24" s="823"/>
      <c r="E24" s="821">
        <v>0.5</v>
      </c>
      <c r="F24" s="824"/>
      <c r="G24" s="825"/>
      <c r="H24" s="817"/>
      <c r="I24" s="817"/>
    </row>
    <row r="25" spans="1:9" s="826" customFormat="1" ht="19.5" customHeight="1">
      <c r="A25" s="3544"/>
      <c r="B25" s="3544"/>
      <c r="C25" s="822" t="s">
        <v>574</v>
      </c>
      <c r="D25" s="823"/>
      <c r="E25" s="821">
        <v>1.1000000000000001</v>
      </c>
      <c r="F25" s="824"/>
      <c r="G25" s="825"/>
      <c r="H25" s="817"/>
      <c r="I25" s="817"/>
    </row>
    <row r="26" spans="1:9" s="826" customFormat="1" ht="19.5" customHeight="1">
      <c r="A26" s="3544"/>
      <c r="B26" s="3544"/>
      <c r="C26" s="822" t="s">
        <v>575</v>
      </c>
      <c r="D26" s="823"/>
      <c r="E26" s="821">
        <v>1.1000000000000001</v>
      </c>
      <c r="F26" s="824"/>
      <c r="G26" s="825"/>
      <c r="H26" s="817"/>
      <c r="I26" s="817"/>
    </row>
    <row r="27" spans="1:9" s="826" customFormat="1" ht="19.5" customHeight="1">
      <c r="A27" s="3544"/>
      <c r="B27" s="3544"/>
      <c r="C27" s="822" t="s">
        <v>576</v>
      </c>
      <c r="D27" s="823"/>
      <c r="E27" s="821">
        <v>0.9</v>
      </c>
      <c r="F27" s="824" t="s">
        <v>577</v>
      </c>
      <c r="G27" s="825"/>
      <c r="H27" s="817"/>
      <c r="I27" s="817"/>
    </row>
    <row r="28" spans="1:9" s="826" customFormat="1" ht="19.5" customHeight="1">
      <c r="A28" s="3544"/>
      <c r="B28" s="3544"/>
      <c r="C28" s="822" t="s">
        <v>578</v>
      </c>
      <c r="D28" s="823"/>
      <c r="E28" s="821">
        <v>0.9</v>
      </c>
      <c r="F28" s="824" t="s">
        <v>579</v>
      </c>
      <c r="G28" s="825"/>
      <c r="H28" s="817"/>
      <c r="I28" s="817"/>
    </row>
    <row r="29" spans="1:9" s="826" customFormat="1" ht="19.5" customHeight="1">
      <c r="A29" s="3544"/>
      <c r="B29" s="3544"/>
      <c r="C29" s="822" t="s">
        <v>580</v>
      </c>
      <c r="D29" s="823"/>
      <c r="E29" s="821">
        <v>0.9</v>
      </c>
      <c r="F29" s="824" t="s">
        <v>581</v>
      </c>
      <c r="G29" s="825"/>
      <c r="H29" s="817"/>
      <c r="I29" s="817"/>
    </row>
    <row r="30" spans="1:9" s="826" customFormat="1" ht="19.5" customHeight="1">
      <c r="A30" s="3544"/>
      <c r="B30" s="3544"/>
      <c r="C30" s="822" t="s">
        <v>582</v>
      </c>
      <c r="D30" s="823"/>
      <c r="E30" s="821">
        <v>0.9</v>
      </c>
      <c r="F30" s="824" t="s">
        <v>583</v>
      </c>
      <c r="G30" s="825"/>
      <c r="H30" s="817"/>
      <c r="I30" s="817"/>
    </row>
    <row r="31" spans="1:9" s="826" customFormat="1" ht="19.5" customHeight="1">
      <c r="A31" s="3544"/>
      <c r="B31" s="3544"/>
      <c r="C31" s="822" t="s">
        <v>584</v>
      </c>
      <c r="D31" s="823"/>
      <c r="E31" s="821">
        <v>0.8</v>
      </c>
      <c r="F31" s="824" t="s">
        <v>585</v>
      </c>
      <c r="G31" s="825"/>
      <c r="H31" s="817"/>
      <c r="I31" s="817"/>
    </row>
    <row r="32" spans="1:9" s="826" customFormat="1" ht="19.5" customHeight="1">
      <c r="A32" s="3544"/>
      <c r="B32" s="3544"/>
      <c r="C32" s="822" t="s">
        <v>586</v>
      </c>
      <c r="D32" s="823"/>
      <c r="E32" s="821">
        <v>0.8</v>
      </c>
      <c r="F32" s="824" t="s">
        <v>587</v>
      </c>
      <c r="G32" s="825"/>
      <c r="H32" s="817"/>
      <c r="I32" s="817"/>
    </row>
    <row r="33" spans="1:9" s="826" customFormat="1" ht="19.5" customHeight="1">
      <c r="A33" s="3544" t="s">
        <v>185</v>
      </c>
      <c r="B33" s="821" t="s">
        <v>560</v>
      </c>
      <c r="C33" s="822" t="s">
        <v>588</v>
      </c>
      <c r="D33" s="823"/>
      <c r="E33" s="821">
        <v>1</v>
      </c>
      <c r="F33" s="824" t="s">
        <v>589</v>
      </c>
      <c r="G33" s="825"/>
      <c r="H33" s="817"/>
      <c r="I33" s="817"/>
    </row>
    <row r="34" spans="1:9" s="826" customFormat="1" ht="19.5" customHeight="1">
      <c r="A34" s="3544"/>
      <c r="B34" s="821" t="s">
        <v>563</v>
      </c>
      <c r="C34" s="822" t="s">
        <v>590</v>
      </c>
      <c r="D34" s="823"/>
      <c r="E34" s="821">
        <v>1.5</v>
      </c>
      <c r="F34" s="824" t="s">
        <v>591</v>
      </c>
      <c r="G34" s="825"/>
      <c r="H34" s="817"/>
      <c r="I34" s="817"/>
    </row>
    <row r="35" spans="1:9" s="826" customFormat="1" ht="19.5" customHeight="1">
      <c r="A35" s="3544" t="s">
        <v>186</v>
      </c>
      <c r="B35" s="821" t="s">
        <v>560</v>
      </c>
      <c r="C35" s="822" t="s">
        <v>592</v>
      </c>
      <c r="D35" s="823"/>
      <c r="E35" s="821">
        <v>1</v>
      </c>
      <c r="F35" s="824" t="s">
        <v>593</v>
      </c>
      <c r="G35" s="825"/>
      <c r="H35" s="817"/>
      <c r="I35" s="817"/>
    </row>
    <row r="36" spans="1:9" s="826" customFormat="1" ht="19.5" customHeight="1">
      <c r="A36" s="3544"/>
      <c r="B36" s="3544" t="s">
        <v>563</v>
      </c>
      <c r="C36" s="822" t="s">
        <v>594</v>
      </c>
      <c r="D36" s="823"/>
      <c r="E36" s="821">
        <v>1</v>
      </c>
      <c r="F36" s="824" t="s">
        <v>595</v>
      </c>
      <c r="G36" s="825"/>
      <c r="H36" s="817"/>
      <c r="I36" s="817"/>
    </row>
    <row r="37" spans="1:9" s="826" customFormat="1" ht="19.5" customHeight="1">
      <c r="A37" s="3544"/>
      <c r="B37" s="3544"/>
      <c r="C37" s="822" t="s">
        <v>596</v>
      </c>
      <c r="D37" s="823"/>
      <c r="E37" s="821">
        <v>1.5</v>
      </c>
      <c r="F37" s="824" t="s">
        <v>597</v>
      </c>
      <c r="G37" s="825"/>
      <c r="H37" s="817"/>
      <c r="I37" s="817"/>
    </row>
    <row r="38" spans="1:9" s="826" customFormat="1" ht="19.5" customHeight="1">
      <c r="A38" s="3544"/>
      <c r="B38" s="3544"/>
      <c r="C38" s="822" t="s">
        <v>598</v>
      </c>
      <c r="D38" s="823"/>
      <c r="E38" s="821">
        <v>1</v>
      </c>
      <c r="F38" s="824" t="s">
        <v>599</v>
      </c>
      <c r="G38" s="825"/>
      <c r="H38" s="817"/>
      <c r="I38" s="817"/>
    </row>
    <row r="39" spans="1:9" s="826" customFormat="1" ht="19.5" customHeight="1">
      <c r="A39" s="3544"/>
      <c r="B39" s="354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44" t="s">
        <v>614</v>
      </c>
      <c r="C61" s="757" t="s">
        <v>615</v>
      </c>
      <c r="D61" s="757" t="s">
        <v>616</v>
      </c>
      <c r="E61" s="834">
        <v>0.5</v>
      </c>
      <c r="F61" s="821">
        <v>80</v>
      </c>
    </row>
    <row r="62" spans="1:8" s="817" customFormat="1" ht="36">
      <c r="A62" s="821">
        <v>2</v>
      </c>
      <c r="B62" s="3544"/>
      <c r="C62" s="757" t="s">
        <v>617</v>
      </c>
      <c r="D62" s="757" t="s">
        <v>618</v>
      </c>
      <c r="E62" s="834">
        <v>0.5</v>
      </c>
      <c r="F62" s="821">
        <v>80</v>
      </c>
    </row>
    <row r="63" spans="1:8" s="817" customFormat="1" ht="48">
      <c r="A63" s="821">
        <v>3</v>
      </c>
      <c r="B63" s="3544"/>
      <c r="C63" s="757" t="s">
        <v>619</v>
      </c>
      <c r="D63" s="757" t="s">
        <v>620</v>
      </c>
      <c r="E63" s="834">
        <v>0.5</v>
      </c>
      <c r="F63" s="821">
        <v>80</v>
      </c>
    </row>
    <row r="64" spans="1:8" s="817" customFormat="1" ht="48">
      <c r="A64" s="821">
        <v>4</v>
      </c>
      <c r="B64" s="3544"/>
      <c r="C64" s="757" t="s">
        <v>621</v>
      </c>
      <c r="D64" s="757" t="s">
        <v>622</v>
      </c>
      <c r="E64" s="834">
        <v>0.4</v>
      </c>
      <c r="F64" s="821">
        <v>60</v>
      </c>
    </row>
    <row r="65" spans="1:6" s="817" customFormat="1" ht="48">
      <c r="A65" s="821">
        <v>5</v>
      </c>
      <c r="B65" s="3544"/>
      <c r="C65" s="757" t="s">
        <v>623</v>
      </c>
      <c r="D65" s="757" t="s">
        <v>624</v>
      </c>
      <c r="E65" s="834">
        <v>0.2</v>
      </c>
      <c r="F65" s="821">
        <v>30</v>
      </c>
    </row>
    <row r="66" spans="1:6" s="817" customFormat="1" ht="48">
      <c r="A66" s="821">
        <v>6</v>
      </c>
      <c r="B66" s="3544"/>
      <c r="C66" s="757" t="s">
        <v>625</v>
      </c>
      <c r="D66" s="757" t="s">
        <v>626</v>
      </c>
      <c r="E66" s="834">
        <v>0.3</v>
      </c>
      <c r="F66" s="821">
        <v>50</v>
      </c>
    </row>
    <row r="67" spans="1:6" s="817" customFormat="1" ht="48">
      <c r="A67" s="821">
        <v>7</v>
      </c>
      <c r="B67" s="3544"/>
      <c r="C67" s="757" t="s">
        <v>627</v>
      </c>
      <c r="D67" s="757" t="s">
        <v>628</v>
      </c>
      <c r="E67" s="834">
        <v>0.2</v>
      </c>
      <c r="F67" s="821">
        <v>30</v>
      </c>
    </row>
    <row r="68" spans="1:6" s="817" customFormat="1" ht="48">
      <c r="A68" s="821">
        <v>8</v>
      </c>
      <c r="B68" s="3544"/>
      <c r="C68" s="757" t="s">
        <v>629</v>
      </c>
      <c r="D68" s="757" t="s">
        <v>630</v>
      </c>
      <c r="E68" s="834">
        <v>0.2</v>
      </c>
      <c r="F68" s="821">
        <v>30</v>
      </c>
    </row>
    <row r="69" spans="1:6" s="817" customFormat="1" ht="48">
      <c r="A69" s="821">
        <v>9</v>
      </c>
      <c r="B69" s="3544"/>
      <c r="C69" s="757" t="s">
        <v>631</v>
      </c>
      <c r="D69" s="757" t="s">
        <v>632</v>
      </c>
      <c r="E69" s="834">
        <v>0.2</v>
      </c>
      <c r="F69" s="821">
        <v>30</v>
      </c>
    </row>
    <row r="70" spans="1:6" s="817" customFormat="1" ht="60">
      <c r="A70" s="821">
        <v>10</v>
      </c>
      <c r="B70" s="3544"/>
      <c r="C70" s="757" t="s">
        <v>633</v>
      </c>
      <c r="D70" s="757" t="s">
        <v>634</v>
      </c>
      <c r="E70" s="834">
        <v>0.2</v>
      </c>
      <c r="F70" s="821">
        <v>30</v>
      </c>
    </row>
    <row r="71" spans="1:6" s="817" customFormat="1" ht="60">
      <c r="A71" s="821">
        <v>11</v>
      </c>
      <c r="B71" s="3544"/>
      <c r="C71" s="757" t="s">
        <v>635</v>
      </c>
      <c r="D71" s="757" t="s">
        <v>636</v>
      </c>
      <c r="E71" s="834">
        <v>0.2</v>
      </c>
      <c r="F71" s="821">
        <v>30</v>
      </c>
    </row>
    <row r="72" spans="1:6" s="817" customFormat="1" ht="36">
      <c r="A72" s="821">
        <v>12</v>
      </c>
      <c r="B72" s="3544"/>
      <c r="C72" s="757" t="s">
        <v>637</v>
      </c>
      <c r="D72" s="757" t="s">
        <v>638</v>
      </c>
      <c r="E72" s="834">
        <v>0.5</v>
      </c>
      <c r="F72" s="821">
        <v>80</v>
      </c>
    </row>
    <row r="73" spans="1:6" s="817" customFormat="1" ht="36">
      <c r="A73" s="821">
        <v>13</v>
      </c>
      <c r="B73" s="3544"/>
      <c r="C73" s="757" t="s">
        <v>639</v>
      </c>
      <c r="D73" s="757" t="s">
        <v>640</v>
      </c>
      <c r="E73" s="834">
        <v>0.4</v>
      </c>
      <c r="F73" s="821">
        <v>60</v>
      </c>
    </row>
    <row r="74" spans="1:6" s="817" customFormat="1" ht="36">
      <c r="A74" s="821">
        <v>14</v>
      </c>
      <c r="B74" s="3544"/>
      <c r="C74" s="757" t="s">
        <v>641</v>
      </c>
      <c r="D74" s="757" t="s">
        <v>642</v>
      </c>
      <c r="E74" s="834">
        <v>0.2</v>
      </c>
      <c r="F74" s="821">
        <v>30</v>
      </c>
    </row>
    <row r="75" spans="1:6" s="817" customFormat="1" ht="36">
      <c r="A75" s="821">
        <v>15</v>
      </c>
      <c r="B75" s="3544"/>
      <c r="C75" s="757" t="s">
        <v>643</v>
      </c>
      <c r="D75" s="757" t="s">
        <v>644</v>
      </c>
      <c r="E75" s="834">
        <v>0.2</v>
      </c>
      <c r="F75" s="821">
        <v>30</v>
      </c>
    </row>
    <row r="76" spans="1:6" s="817" customFormat="1" ht="36">
      <c r="A76" s="821">
        <v>16</v>
      </c>
      <c r="B76" s="3544" t="s">
        <v>645</v>
      </c>
      <c r="C76" s="757" t="s">
        <v>646</v>
      </c>
      <c r="D76" s="757" t="s">
        <v>647</v>
      </c>
      <c r="E76" s="834">
        <v>0.5</v>
      </c>
      <c r="F76" s="821">
        <v>80</v>
      </c>
    </row>
    <row r="77" spans="1:6" s="817" customFormat="1" ht="36">
      <c r="A77" s="821">
        <v>17</v>
      </c>
      <c r="B77" s="3544"/>
      <c r="C77" s="757" t="s">
        <v>648</v>
      </c>
      <c r="D77" s="757" t="s">
        <v>649</v>
      </c>
      <c r="E77" s="834">
        <v>0.5</v>
      </c>
      <c r="F77" s="821">
        <v>80</v>
      </c>
    </row>
    <row r="78" spans="1:6" s="817" customFormat="1" ht="36">
      <c r="A78" s="821">
        <v>18</v>
      </c>
      <c r="B78" s="3544"/>
      <c r="C78" s="757" t="s">
        <v>650</v>
      </c>
      <c r="D78" s="757" t="s">
        <v>651</v>
      </c>
      <c r="E78" s="834">
        <v>0.2</v>
      </c>
      <c r="F78" s="821">
        <v>30</v>
      </c>
    </row>
    <row r="79" spans="1:6" s="817" customFormat="1" ht="36">
      <c r="A79" s="821">
        <v>19</v>
      </c>
      <c r="B79" s="3544"/>
      <c r="C79" s="757" t="s">
        <v>652</v>
      </c>
      <c r="D79" s="757" t="s">
        <v>653</v>
      </c>
      <c r="E79" s="834">
        <v>0.5</v>
      </c>
      <c r="F79" s="821">
        <v>80</v>
      </c>
    </row>
    <row r="80" spans="1:6" s="817" customFormat="1" ht="36">
      <c r="A80" s="821">
        <v>20</v>
      </c>
      <c r="B80" s="3544"/>
      <c r="C80" s="757" t="s">
        <v>654</v>
      </c>
      <c r="D80" s="757" t="s">
        <v>655</v>
      </c>
      <c r="E80" s="834">
        <v>0.2</v>
      </c>
      <c r="F80" s="821">
        <v>30</v>
      </c>
    </row>
    <row r="81" spans="1:6" s="817" customFormat="1" ht="36">
      <c r="A81" s="821">
        <v>21</v>
      </c>
      <c r="B81" s="3544"/>
      <c r="C81" s="757" t="s">
        <v>656</v>
      </c>
      <c r="D81" s="757" t="s">
        <v>657</v>
      </c>
      <c r="E81" s="834">
        <v>0.2</v>
      </c>
      <c r="F81" s="821">
        <v>30</v>
      </c>
    </row>
    <row r="82" spans="1:6" s="817" customFormat="1" ht="60">
      <c r="A82" s="821">
        <v>22</v>
      </c>
      <c r="B82" s="3544"/>
      <c r="C82" s="757" t="s">
        <v>658</v>
      </c>
      <c r="D82" s="757" t="s">
        <v>659</v>
      </c>
      <c r="E82" s="834">
        <v>0.2</v>
      </c>
      <c r="F82" s="821">
        <v>30</v>
      </c>
    </row>
    <row r="83" spans="1:6" s="817" customFormat="1" ht="60">
      <c r="A83" s="821">
        <v>23</v>
      </c>
      <c r="B83" s="3544"/>
      <c r="C83" s="757" t="s">
        <v>660</v>
      </c>
      <c r="D83" s="757" t="s">
        <v>661</v>
      </c>
      <c r="E83" s="834">
        <v>0.2</v>
      </c>
      <c r="F83" s="821">
        <v>30</v>
      </c>
    </row>
    <row r="84" spans="1:6" s="817" customFormat="1" ht="48">
      <c r="A84" s="821">
        <v>24</v>
      </c>
      <c r="B84" s="3544"/>
      <c r="C84" s="757" t="s">
        <v>662</v>
      </c>
      <c r="D84" s="757" t="s">
        <v>663</v>
      </c>
      <c r="E84" s="834">
        <v>0.2</v>
      </c>
      <c r="F84" s="821">
        <v>30</v>
      </c>
    </row>
    <row r="85" spans="1:6" s="817" customFormat="1" ht="36">
      <c r="A85" s="821">
        <v>25</v>
      </c>
      <c r="B85" s="3544"/>
      <c r="C85" s="757" t="s">
        <v>664</v>
      </c>
      <c r="D85" s="757" t="s">
        <v>665</v>
      </c>
      <c r="E85" s="834">
        <v>0.5</v>
      </c>
      <c r="F85" s="821">
        <v>80</v>
      </c>
    </row>
    <row r="86" spans="1:6" s="817" customFormat="1" ht="36">
      <c r="A86" s="821">
        <v>26</v>
      </c>
      <c r="B86" s="3544"/>
      <c r="C86" s="757" t="s">
        <v>666</v>
      </c>
      <c r="D86" s="757" t="s">
        <v>667</v>
      </c>
      <c r="E86" s="834">
        <v>0.2</v>
      </c>
      <c r="F86" s="821">
        <v>30</v>
      </c>
    </row>
    <row r="87" spans="1:6" s="817" customFormat="1" ht="36">
      <c r="A87" s="821">
        <v>27</v>
      </c>
      <c r="B87" s="3544"/>
      <c r="C87" s="757" t="s">
        <v>668</v>
      </c>
      <c r="D87" s="757" t="s">
        <v>669</v>
      </c>
      <c r="E87" s="834">
        <v>0.2</v>
      </c>
      <c r="F87" s="821">
        <v>30</v>
      </c>
    </row>
    <row r="88" spans="1:6" s="817" customFormat="1" ht="36">
      <c r="A88" s="821">
        <v>28</v>
      </c>
      <c r="B88" s="3544"/>
      <c r="C88" s="757" t="s">
        <v>670</v>
      </c>
      <c r="D88" s="757" t="s">
        <v>671</v>
      </c>
      <c r="E88" s="834">
        <v>0.2</v>
      </c>
      <c r="F88" s="821">
        <v>30</v>
      </c>
    </row>
    <row r="89" spans="1:6" s="817" customFormat="1" ht="36">
      <c r="A89" s="821">
        <v>29</v>
      </c>
      <c r="B89" s="3544"/>
      <c r="C89" s="757" t="s">
        <v>672</v>
      </c>
      <c r="D89" s="757" t="s">
        <v>673</v>
      </c>
      <c r="E89" s="834">
        <v>0.2</v>
      </c>
      <c r="F89" s="821">
        <v>30</v>
      </c>
    </row>
    <row r="90" spans="1:6" s="817" customFormat="1" ht="36">
      <c r="A90" s="821">
        <v>30</v>
      </c>
      <c r="B90" s="3544"/>
      <c r="C90" s="757" t="s">
        <v>674</v>
      </c>
      <c r="D90" s="757" t="s">
        <v>675</v>
      </c>
      <c r="E90" s="834">
        <v>0.2</v>
      </c>
      <c r="F90" s="821">
        <v>30</v>
      </c>
    </row>
    <row r="91" spans="1:6" s="817" customFormat="1" ht="48">
      <c r="A91" s="821">
        <v>31</v>
      </c>
      <c r="B91" s="3544"/>
      <c r="C91" s="757" t="s">
        <v>676</v>
      </c>
      <c r="D91" s="757" t="s">
        <v>677</v>
      </c>
      <c r="E91" s="834">
        <v>0.2</v>
      </c>
      <c r="F91" s="821">
        <v>30</v>
      </c>
    </row>
    <row r="92" spans="1:6" s="817" customFormat="1" ht="36">
      <c r="A92" s="821">
        <v>32</v>
      </c>
      <c r="B92" s="3544" t="s">
        <v>678</v>
      </c>
      <c r="C92" s="821" t="s">
        <v>679</v>
      </c>
      <c r="D92" s="757" t="s">
        <v>680</v>
      </c>
      <c r="E92" s="834">
        <v>0.2</v>
      </c>
      <c r="F92" s="821">
        <v>30</v>
      </c>
    </row>
    <row r="93" spans="1:6" s="817" customFormat="1" ht="36">
      <c r="A93" s="821">
        <v>33</v>
      </c>
      <c r="B93" s="3544"/>
      <c r="C93" s="821" t="s">
        <v>681</v>
      </c>
      <c r="D93" s="757" t="s">
        <v>682</v>
      </c>
      <c r="E93" s="834">
        <v>0.2</v>
      </c>
      <c r="F93" s="821">
        <v>30</v>
      </c>
    </row>
    <row r="94" spans="1:6" s="817" customFormat="1" ht="60">
      <c r="A94" s="821">
        <v>34</v>
      </c>
      <c r="B94" s="3544"/>
      <c r="C94" s="821" t="s">
        <v>683</v>
      </c>
      <c r="D94" s="757" t="s">
        <v>684</v>
      </c>
      <c r="E94" s="834">
        <v>0.2</v>
      </c>
      <c r="F94" s="821">
        <v>30</v>
      </c>
    </row>
    <row r="95" spans="1:6" s="817" customFormat="1" ht="48">
      <c r="A95" s="821">
        <v>35</v>
      </c>
      <c r="B95" s="3544"/>
      <c r="C95" s="821" t="s">
        <v>685</v>
      </c>
      <c r="D95" s="757" t="s">
        <v>686</v>
      </c>
      <c r="E95" s="834">
        <v>0.2</v>
      </c>
      <c r="F95" s="821">
        <v>30</v>
      </c>
    </row>
    <row r="96" spans="1:6" s="817" customFormat="1" ht="72">
      <c r="A96" s="821">
        <v>36</v>
      </c>
      <c r="B96" s="3544"/>
      <c r="C96" s="757" t="s">
        <v>687</v>
      </c>
      <c r="D96" s="757" t="s">
        <v>688</v>
      </c>
      <c r="E96" s="834">
        <v>0.2</v>
      </c>
      <c r="F96" s="821">
        <v>30</v>
      </c>
    </row>
    <row r="97" spans="1:6" s="817" customFormat="1" ht="36">
      <c r="A97" s="821">
        <v>37</v>
      </c>
      <c r="B97" s="3544"/>
      <c r="C97" s="821" t="s">
        <v>689</v>
      </c>
      <c r="D97" s="757" t="s">
        <v>690</v>
      </c>
      <c r="E97" s="834">
        <v>0.2</v>
      </c>
      <c r="F97" s="821">
        <v>30</v>
      </c>
    </row>
    <row r="98" spans="1:6" s="817" customFormat="1" ht="36">
      <c r="A98" s="821">
        <v>38</v>
      </c>
      <c r="B98" s="3544"/>
      <c r="C98" s="821" t="s">
        <v>691</v>
      </c>
      <c r="D98" s="757" t="s">
        <v>692</v>
      </c>
      <c r="E98" s="834">
        <v>0.2</v>
      </c>
      <c r="F98" s="821">
        <v>30</v>
      </c>
    </row>
    <row r="99" spans="1:6" s="817" customFormat="1" ht="36">
      <c r="A99" s="821">
        <v>39</v>
      </c>
      <c r="B99" s="3544" t="s">
        <v>693</v>
      </c>
      <c r="C99" s="821" t="s">
        <v>694</v>
      </c>
      <c r="D99" s="757" t="s">
        <v>695</v>
      </c>
      <c r="E99" s="834">
        <v>0.3</v>
      </c>
      <c r="F99" s="821">
        <v>50</v>
      </c>
    </row>
    <row r="100" spans="1:6" s="817" customFormat="1" ht="36">
      <c r="A100" s="821">
        <v>40</v>
      </c>
      <c r="B100" s="3544"/>
      <c r="C100" s="821" t="s">
        <v>696</v>
      </c>
      <c r="D100" s="757" t="s">
        <v>697</v>
      </c>
      <c r="E100" s="834">
        <v>0.2</v>
      </c>
      <c r="F100" s="821">
        <v>30</v>
      </c>
    </row>
    <row r="101" spans="1:6" s="817" customFormat="1" ht="36">
      <c r="A101" s="821">
        <v>41</v>
      </c>
      <c r="B101" s="3544"/>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44" t="s">
        <v>708</v>
      </c>
      <c r="C105" s="821" t="s">
        <v>709</v>
      </c>
      <c r="D105" s="757" t="s">
        <v>710</v>
      </c>
      <c r="E105" s="834">
        <v>0.2</v>
      </c>
      <c r="F105" s="821">
        <v>30</v>
      </c>
    </row>
    <row r="106" spans="1:6" s="817" customFormat="1" ht="48">
      <c r="A106" s="821">
        <v>46</v>
      </c>
      <c r="B106" s="3544"/>
      <c r="C106" s="821" t="s">
        <v>711</v>
      </c>
      <c r="D106" s="757" t="s">
        <v>712</v>
      </c>
      <c r="E106" s="834">
        <v>0.2</v>
      </c>
      <c r="F106" s="821">
        <v>30</v>
      </c>
    </row>
    <row r="107" spans="1:6" s="817" customFormat="1" ht="36">
      <c r="A107" s="821">
        <v>47</v>
      </c>
      <c r="B107" s="3544" t="s">
        <v>713</v>
      </c>
      <c r="C107" s="821" t="s">
        <v>714</v>
      </c>
      <c r="D107" s="757" t="s">
        <v>715</v>
      </c>
      <c r="E107" s="834">
        <v>0.3</v>
      </c>
      <c r="F107" s="821">
        <v>50</v>
      </c>
    </row>
    <row r="108" spans="1:6" s="817" customFormat="1" ht="48">
      <c r="A108" s="821">
        <v>48</v>
      </c>
      <c r="B108" s="354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44" t="s">
        <v>724</v>
      </c>
      <c r="C111" s="821" t="s">
        <v>725</v>
      </c>
      <c r="D111" s="757" t="s">
        <v>726</v>
      </c>
      <c r="E111" s="834">
        <v>0.2</v>
      </c>
      <c r="F111" s="821">
        <v>30</v>
      </c>
    </row>
    <row r="112" spans="1:6" s="817" customFormat="1" ht="36">
      <c r="A112" s="821">
        <v>52</v>
      </c>
      <c r="B112" s="3544"/>
      <c r="C112" s="821" t="s">
        <v>727</v>
      </c>
      <c r="D112" s="757" t="s">
        <v>728</v>
      </c>
      <c r="E112" s="834">
        <v>0.2</v>
      </c>
      <c r="F112" s="821">
        <v>30</v>
      </c>
    </row>
    <row r="113" spans="1:6" s="817" customFormat="1" ht="36">
      <c r="A113" s="821">
        <v>53</v>
      </c>
      <c r="B113" s="3544"/>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44" t="s">
        <v>737</v>
      </c>
      <c r="C116" s="821" t="s">
        <v>738</v>
      </c>
      <c r="D116" s="757" t="s">
        <v>739</v>
      </c>
      <c r="E116" s="834">
        <v>0.2</v>
      </c>
      <c r="F116" s="821">
        <v>30</v>
      </c>
    </row>
    <row r="117" spans="1:6" ht="36">
      <c r="A117" s="821">
        <v>57</v>
      </c>
      <c r="B117" s="3544"/>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0.77569999999999995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2760</v>
      </c>
      <c r="B1" s="2333"/>
      <c r="C1" s="2333"/>
      <c r="D1" s="2333"/>
      <c r="E1" s="2333"/>
      <c r="F1" s="2990"/>
      <c r="G1" s="2990"/>
      <c r="H1" s="2990"/>
      <c r="I1" s="2990"/>
      <c r="J1" s="2990"/>
      <c r="K1" s="2990"/>
      <c r="L1" s="2990"/>
      <c r="M1" s="2990"/>
      <c r="N1" s="2990"/>
      <c r="O1" s="2990"/>
      <c r="P1" s="2990"/>
    </row>
    <row r="2" spans="1:16" ht="15.6">
      <c r="A2" s="2331" t="s">
        <v>2752</v>
      </c>
      <c r="B2" s="2794">
        <f ca="1">SUMIF(B6:B13,"&lt;&gt;#ref!",B6:B13)</f>
        <v>24799</v>
      </c>
      <c r="C2" s="2331" t="s">
        <v>2753</v>
      </c>
      <c r="D2" s="2331" t="s">
        <v>2754</v>
      </c>
      <c r="E2" s="2804">
        <f ca="1">SUMIF(E6:E13,"&lt;&gt;#ref!",E6:E13)</f>
        <v>7782.5</v>
      </c>
      <c r="F2" s="2990"/>
      <c r="G2" s="2990"/>
      <c r="H2" s="2990"/>
      <c r="I2" s="2990"/>
      <c r="J2" s="2990"/>
      <c r="K2" s="2990"/>
      <c r="L2" s="2990"/>
      <c r="M2" s="2990"/>
      <c r="N2" s="2990"/>
      <c r="O2" s="2990"/>
      <c r="P2" s="2990"/>
    </row>
    <row r="3" spans="1:16" ht="15.6">
      <c r="A3" s="2331" t="s">
        <v>2755</v>
      </c>
      <c r="B3" s="2794">
        <f ca="1">ROUND(B2*10000/E2,0)</f>
        <v>31865</v>
      </c>
      <c r="C3" s="2331" t="s">
        <v>2761</v>
      </c>
      <c r="D3" s="2990"/>
      <c r="E3" s="2990"/>
      <c r="F3" s="2990"/>
      <c r="G3" s="2990"/>
      <c r="H3" s="2990"/>
      <c r="I3" s="2990"/>
      <c r="J3" s="2990"/>
      <c r="K3" s="2990"/>
      <c r="L3" s="2990"/>
      <c r="M3" s="2990"/>
      <c r="N3" s="2990"/>
      <c r="O3" s="2990"/>
      <c r="P3" s="2990"/>
    </row>
    <row r="4" spans="1:16" ht="15.6">
      <c r="A4" s="2991"/>
      <c r="B4" s="2990"/>
      <c r="C4" s="2990"/>
      <c r="D4" s="2990"/>
      <c r="E4" s="2990"/>
      <c r="F4" s="2990"/>
      <c r="G4" s="2990"/>
      <c r="H4" s="2990"/>
      <c r="I4" s="2990"/>
      <c r="J4" s="2990"/>
      <c r="K4" s="2990"/>
      <c r="L4" s="2990"/>
      <c r="M4" s="2990"/>
      <c r="N4" s="2990"/>
      <c r="O4" s="2990"/>
      <c r="P4" s="2990"/>
    </row>
    <row r="5" spans="1:16" ht="31.2">
      <c r="A5" s="2800" t="s">
        <v>2756</v>
      </c>
      <c r="B5" s="2802" t="s">
        <v>2757</v>
      </c>
      <c r="C5" s="2332"/>
      <c r="D5" s="2990"/>
      <c r="E5" s="2803" t="s">
        <v>2758</v>
      </c>
      <c r="F5" s="2990"/>
      <c r="G5" s="2990"/>
      <c r="H5" s="2990"/>
      <c r="I5" s="2990"/>
      <c r="J5" s="2990"/>
      <c r="K5" s="2990"/>
      <c r="L5" s="2990"/>
      <c r="M5" s="2990"/>
      <c r="N5" s="2990"/>
      <c r="O5" s="2990"/>
      <c r="P5" s="2990"/>
    </row>
    <row r="6" spans="1:16" ht="15.6">
      <c r="A6" s="2801" t="s">
        <v>2759</v>
      </c>
      <c r="B6" s="2794">
        <f ca="1">SUMIF(INDIRECT("'"&amp;A6&amp;"'"&amp;"!A:A"),"总价",INDIRECT("'"&amp;A6&amp;"'"&amp;"!B:B"))</f>
        <v>24799</v>
      </c>
      <c r="C6" s="2331" t="s">
        <v>2753</v>
      </c>
      <c r="D6" s="2990"/>
      <c r="E6" s="2804">
        <f ca="1">SUMIF(INDIRECT("'"&amp;A6&amp;"'"&amp;"!C:C"),"建筑面积",INDIRECT("'"&amp;A6&amp;"'"&amp;"!D:D"))</f>
        <v>7782.5</v>
      </c>
      <c r="F6" s="2990"/>
      <c r="G6" s="2990"/>
      <c r="H6" s="2990"/>
      <c r="I6" s="2990"/>
      <c r="J6" s="2990"/>
      <c r="K6" s="2990"/>
      <c r="L6" s="2990"/>
      <c r="M6" s="2990"/>
      <c r="N6" s="2990"/>
      <c r="O6" s="2990"/>
      <c r="P6" s="2990"/>
    </row>
    <row r="7" spans="1:16" ht="15.6">
      <c r="A7" s="2801"/>
      <c r="B7" s="2794" t="e">
        <f ca="1">SUMIF(INDIRECT("'"&amp;A7&amp;"'"&amp;"!A:A"),"总价",INDIRECT("'"&amp;A7&amp;"'"&amp;"!B:B"))</f>
        <v>#REF!</v>
      </c>
      <c r="C7" s="2331" t="s">
        <v>2753</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6">
      <c r="A8" s="2801"/>
      <c r="B8" s="2794" t="e">
        <f t="shared" ref="B8:B13" ca="1" si="1">SUMIF(INDIRECT("'"&amp;A8&amp;"'"&amp;"!A:A"),"总价",INDIRECT("'"&amp;A8&amp;"'"&amp;"!B:B"))</f>
        <v>#REF!</v>
      </c>
      <c r="C8" s="2331" t="s">
        <v>2753</v>
      </c>
      <c r="D8" s="2990"/>
      <c r="E8" s="2804" t="e">
        <f t="shared" ca="1" si="0"/>
        <v>#REF!</v>
      </c>
      <c r="F8" s="2990"/>
      <c r="G8" s="2990"/>
      <c r="H8" s="2990"/>
      <c r="I8" s="2990"/>
      <c r="J8" s="2990"/>
      <c r="K8" s="2990"/>
      <c r="L8" s="2990"/>
      <c r="M8" s="2990"/>
      <c r="N8" s="2990"/>
      <c r="O8" s="2990"/>
      <c r="P8" s="2990"/>
    </row>
    <row r="9" spans="1:16" ht="15.6">
      <c r="A9" s="2801"/>
      <c r="B9" s="2794" t="e">
        <f t="shared" ca="1" si="1"/>
        <v>#REF!</v>
      </c>
      <c r="C9" s="2331" t="s">
        <v>2753</v>
      </c>
      <c r="D9" s="2990"/>
      <c r="E9" s="2804" t="e">
        <f t="shared" ca="1" si="0"/>
        <v>#REF!</v>
      </c>
      <c r="F9" s="2990"/>
      <c r="G9" s="2990"/>
      <c r="H9" s="2990"/>
      <c r="I9" s="2990"/>
      <c r="J9" s="2990"/>
      <c r="K9" s="2990"/>
      <c r="L9" s="2990"/>
      <c r="M9" s="2990"/>
      <c r="N9" s="2990"/>
      <c r="O9" s="2990"/>
      <c r="P9" s="2990"/>
    </row>
    <row r="10" spans="1:16" ht="15.6">
      <c r="A10" s="2801"/>
      <c r="B10" s="2794" t="e">
        <f t="shared" ca="1" si="1"/>
        <v>#REF!</v>
      </c>
      <c r="C10" s="2331" t="s">
        <v>2753</v>
      </c>
      <c r="D10" s="2990"/>
      <c r="E10" s="2804" t="e">
        <f t="shared" ca="1" si="0"/>
        <v>#REF!</v>
      </c>
      <c r="F10" s="2990"/>
      <c r="G10" s="2990"/>
      <c r="H10" s="2990"/>
      <c r="I10" s="2990"/>
      <c r="J10" s="2990"/>
      <c r="K10" s="2990"/>
      <c r="L10" s="2990"/>
      <c r="M10" s="2990"/>
      <c r="N10" s="2990"/>
      <c r="O10" s="2990"/>
      <c r="P10" s="2990"/>
    </row>
    <row r="11" spans="1:16" ht="15.6">
      <c r="A11" s="2801"/>
      <c r="B11" s="2794" t="e">
        <f t="shared" ca="1" si="1"/>
        <v>#REF!</v>
      </c>
      <c r="C11" s="2331" t="s">
        <v>2753</v>
      </c>
      <c r="D11" s="2990"/>
      <c r="E11" s="2804" t="e">
        <f t="shared" ca="1" si="0"/>
        <v>#REF!</v>
      </c>
      <c r="F11" s="2990"/>
      <c r="G11" s="2990"/>
      <c r="H11" s="2990"/>
      <c r="I11" s="2990"/>
      <c r="J11" s="2990"/>
      <c r="K11" s="2990"/>
      <c r="L11" s="2990"/>
      <c r="M11" s="2990"/>
      <c r="N11" s="2990"/>
      <c r="O11" s="2990"/>
      <c r="P11" s="2990"/>
    </row>
    <row r="12" spans="1:16" ht="15.6">
      <c r="A12" s="2801"/>
      <c r="B12" s="2794" t="e">
        <f t="shared" ca="1" si="1"/>
        <v>#REF!</v>
      </c>
      <c r="C12" s="2331" t="s">
        <v>2753</v>
      </c>
      <c r="D12" s="2990"/>
      <c r="E12" s="2804" t="e">
        <f t="shared" ca="1" si="0"/>
        <v>#REF!</v>
      </c>
      <c r="F12" s="2990"/>
      <c r="G12" s="2990"/>
      <c r="H12" s="2990"/>
      <c r="I12" s="2990"/>
      <c r="J12" s="2990"/>
      <c r="K12" s="2990"/>
      <c r="L12" s="2990"/>
      <c r="M12" s="2990"/>
      <c r="N12" s="2990"/>
      <c r="O12" s="2990"/>
      <c r="P12" s="2990"/>
    </row>
    <row r="13" spans="1:16" ht="15.6">
      <c r="A13" s="2801"/>
      <c r="B13" s="2794" t="e">
        <f t="shared" ca="1" si="1"/>
        <v>#REF!</v>
      </c>
      <c r="C13" s="2331" t="s">
        <v>2753</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518" sqref="U518"/>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50" t="s">
        <v>1058</v>
      </c>
      <c r="C1" s="3550"/>
      <c r="D1" s="3550"/>
      <c r="E1" s="3550"/>
      <c r="F1" s="3550"/>
      <c r="G1" s="3546" t="s">
        <v>1059</v>
      </c>
      <c r="H1" s="3546"/>
      <c r="I1" s="3546"/>
      <c r="J1" s="3546"/>
      <c r="K1" s="3546"/>
      <c r="L1" s="3546"/>
      <c r="N1" s="3546" t="s">
        <v>1060</v>
      </c>
      <c r="O1" s="3546"/>
      <c r="P1" s="3546"/>
      <c r="Q1" s="3546"/>
      <c r="S1" s="3546" t="s">
        <v>1061</v>
      </c>
      <c r="T1" s="3546"/>
      <c r="U1" s="3546"/>
      <c r="V1" s="3546"/>
      <c r="X1" s="3545" t="s">
        <v>1062</v>
      </c>
      <c r="Y1" s="3546"/>
      <c r="Z1" s="3546"/>
      <c r="AA1" s="3546"/>
      <c r="AB1" s="3546"/>
      <c r="AD1" s="3545" t="s">
        <v>1063</v>
      </c>
      <c r="AE1" s="3546"/>
      <c r="AF1" s="3546"/>
      <c r="AG1" s="3546"/>
      <c r="AH1" s="3546"/>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2792</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3120</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3119</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2996</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2995</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2994</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2992</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2991</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5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4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4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5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4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4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4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4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4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4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4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4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4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4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4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8">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49">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4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8">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49">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90" zoomScaleNormal="70" zoomScaleSheetLayoutView="90" workbookViewId="0">
      <selection activeCell="F10" sqref="F1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1493</v>
      </c>
      <c r="B1" s="722"/>
      <c r="C1" s="1533" t="s">
        <v>3152</v>
      </c>
      <c r="D1" s="1516" t="s">
        <v>70</v>
      </c>
      <c r="E1" s="1517" t="s">
        <v>1292</v>
      </c>
      <c r="F1" s="1193">
        <f ca="1">J53</f>
        <v>37.14</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0</v>
      </c>
      <c r="C2" s="1541" t="s">
        <v>1420</v>
      </c>
      <c r="D2" s="1541"/>
      <c r="E2" s="1542"/>
      <c r="F2" s="1543"/>
      <c r="G2" s="2901"/>
      <c r="H2" s="2890"/>
      <c r="I2" s="2890"/>
      <c r="J2" s="2890"/>
      <c r="K2" s="2891"/>
      <c r="L2" s="2890"/>
      <c r="M2" s="2890"/>
    </row>
    <row r="3" spans="1:37" ht="18" customHeight="1" thickBot="1">
      <c r="A3" s="1544" t="s">
        <v>1421</v>
      </c>
      <c r="B3" s="1545">
        <f ca="1">IF(ISERROR(B2*10000/F43),0,ROUND(B2*10000/F43,0))</f>
        <v>0</v>
      </c>
      <c r="C3" s="1541" t="s">
        <v>1422</v>
      </c>
      <c r="D3" s="1541"/>
      <c r="E3" s="1542"/>
      <c r="F3" s="1543"/>
      <c r="G3" s="2901"/>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51</v>
      </c>
      <c r="D5" s="1518" t="s">
        <v>1307</v>
      </c>
      <c r="E5" s="1203"/>
      <c r="F5" s="1204"/>
      <c r="G5" s="1538"/>
      <c r="H5" s="305">
        <v>1</v>
      </c>
      <c r="I5" s="306" t="s">
        <v>1306</v>
      </c>
      <c r="J5" s="1202">
        <f ca="1">J6+J10+J12</f>
        <v>0</v>
      </c>
      <c r="K5" s="1518" t="s">
        <v>1307</v>
      </c>
      <c r="L5" s="1203"/>
      <c r="M5" s="1204"/>
    </row>
    <row r="6" spans="1:37" ht="18" customHeight="1">
      <c r="A6" s="1201" t="s">
        <v>1003</v>
      </c>
      <c r="B6" s="3451" t="s">
        <v>1308</v>
      </c>
      <c r="C6" s="1206">
        <f ca="1">ROUND(F6*F8*F7*(1-F9)/10000,0)</f>
        <v>51</v>
      </c>
      <c r="D6" s="160" t="s">
        <v>2787</v>
      </c>
      <c r="E6" s="308" t="s">
        <v>1310</v>
      </c>
      <c r="F6" s="309">
        <f ca="1">INDIRECT("'数据-取费表'!u"&amp;$G$1)</f>
        <v>1000</v>
      </c>
      <c r="G6" s="1538"/>
      <c r="H6" s="1201" t="s">
        <v>1003</v>
      </c>
      <c r="I6" s="3451" t="s">
        <v>1308</v>
      </c>
      <c r="J6" s="307">
        <f ca="1">ROUND(M6*M8*M7*(1-M9)/10000,0)</f>
        <v>0</v>
      </c>
      <c r="K6" s="160" t="s">
        <v>2786</v>
      </c>
      <c r="L6" s="308" t="s">
        <v>1310</v>
      </c>
      <c r="M6" s="309">
        <f ca="1">INDIRECT("'数据-取费表'!z"&amp;$G$1)</f>
        <v>0</v>
      </c>
    </row>
    <row r="7" spans="1:37" ht="18" customHeight="1">
      <c r="A7" s="1205"/>
      <c r="B7" s="3452"/>
      <c r="C7" s="1207"/>
      <c r="D7" s="313"/>
      <c r="E7" s="3212" t="s">
        <v>1311</v>
      </c>
      <c r="F7" s="309">
        <f ca="1">IF(INDIRECT("'数据-取费表'!ah"&amp;$G$1)="",INDIRECT("'数据-取费表'!k"&amp;$G$1),INDIRECT("'数据-取费表'!ah"&amp;$G$1))</f>
        <v>47</v>
      </c>
      <c r="G7" s="1538"/>
      <c r="H7" s="310"/>
      <c r="I7" s="3452"/>
      <c r="J7" s="312"/>
      <c r="K7" s="313"/>
      <c r="L7" s="308" t="s">
        <v>1311</v>
      </c>
      <c r="M7" s="309">
        <f ca="1">F7</f>
        <v>47</v>
      </c>
    </row>
    <row r="8" spans="1:37" ht="18" customHeight="1">
      <c r="A8" s="310"/>
      <c r="B8" s="3452"/>
      <c r="C8" s="312"/>
      <c r="D8" s="313"/>
      <c r="E8" s="308" t="s">
        <v>1312</v>
      </c>
      <c r="F8" s="309">
        <f ca="1">INDIRECT("'数据-取费表'!ai"&amp;$G$1)</f>
        <v>12</v>
      </c>
      <c r="G8" s="1538"/>
      <c r="H8" s="310"/>
      <c r="I8" s="3452"/>
      <c r="J8" s="312"/>
      <c r="K8" s="313"/>
      <c r="L8" s="308" t="s">
        <v>1312</v>
      </c>
      <c r="M8" s="309">
        <f ca="1">INDIRECT("'数据-取费表'!ai"&amp;$G$1)</f>
        <v>12</v>
      </c>
    </row>
    <row r="9" spans="1:37" ht="18" customHeight="1">
      <c r="A9" s="310"/>
      <c r="B9" s="3453"/>
      <c r="C9" s="312"/>
      <c r="D9" s="313"/>
      <c r="E9" s="308" t="s">
        <v>1313</v>
      </c>
      <c r="F9" s="318">
        <f ca="1">INDIRECT("'数据-取费表'!w"&amp;$G$1)</f>
        <v>0.1</v>
      </c>
      <c r="G9" s="1538"/>
      <c r="H9" s="310"/>
      <c r="I9" s="345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t="s">
        <v>3217</v>
      </c>
      <c r="G10" s="1538"/>
      <c r="H10" s="1201" t="s">
        <v>1007</v>
      </c>
      <c r="I10" s="1519" t="s">
        <v>1314</v>
      </c>
      <c r="J10" s="307">
        <f ca="1">ROUND(IF(M10="押一",J6/12*M11,IF(M10="押二",J6/12*2*M11,IF(M10="押三",J6/12*3*M11,J11*M11))),0)</f>
        <v>0</v>
      </c>
      <c r="K10" s="1520" t="s">
        <v>2794</v>
      </c>
      <c r="L10" s="319" t="s">
        <v>1315</v>
      </c>
      <c r="M10" s="1248" t="s">
        <v>3174</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666</v>
      </c>
      <c r="D13" s="3204" t="s">
        <v>1319</v>
      </c>
      <c r="E13" s="3204"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625</v>
      </c>
      <c r="D14" s="3208" t="s">
        <v>1322</v>
      </c>
      <c r="E14" s="3206"/>
      <c r="F14" s="325"/>
      <c r="G14" s="1538"/>
      <c r="H14" s="1113" t="s">
        <v>1003</v>
      </c>
      <c r="I14" s="308" t="s">
        <v>1323</v>
      </c>
      <c r="J14" s="24">
        <f ca="1">C29</f>
        <v>832</v>
      </c>
      <c r="K14" s="3211"/>
      <c r="L14" s="916"/>
      <c r="M14" s="917"/>
    </row>
    <row r="15" spans="1:37" s="1551" customFormat="1" ht="18" customHeight="1" thickBot="1">
      <c r="A15" s="1113" t="s">
        <v>1004</v>
      </c>
      <c r="B15" s="308" t="s">
        <v>1324</v>
      </c>
      <c r="C15" s="24">
        <f ca="1">ROUND(C14*F15,0)</f>
        <v>19</v>
      </c>
      <c r="D15" s="3205" t="s">
        <v>1325</v>
      </c>
      <c r="E15" s="3205"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8</v>
      </c>
      <c r="K16" s="1219" t="s">
        <v>1329</v>
      </c>
      <c r="L16" s="3209"/>
      <c r="M16" s="1204"/>
    </row>
    <row r="17" spans="1:37" s="1551" customFormat="1" ht="18" customHeight="1">
      <c r="A17" s="1113" t="s">
        <v>1295</v>
      </c>
      <c r="B17" s="308" t="s">
        <v>1330</v>
      </c>
      <c r="C17" s="24">
        <f ca="1">ROUND(F17*(F43+INDIRECT("'数据-取费表'!S"&amp;$G$1))/10000,0)</f>
        <v>36</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3208" t="s">
        <v>1334</v>
      </c>
      <c r="L17" s="3207"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9</v>
      </c>
      <c r="D18" s="308" t="s">
        <v>1325</v>
      </c>
      <c r="E18" s="308" t="s">
        <v>1326</v>
      </c>
      <c r="F18" s="328">
        <f>'数据-取费表'!B36</f>
        <v>1.4999999999999999E-2</v>
      </c>
      <c r="G18" s="1550"/>
      <c r="H18" s="1113" t="s">
        <v>1002</v>
      </c>
      <c r="I18" s="308" t="s">
        <v>1337</v>
      </c>
      <c r="J18" s="24">
        <f ca="1">ROUND(J6*M18/(1+'数据-取费表'!C42),2)</f>
        <v>0</v>
      </c>
      <c r="K18" s="3207"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689</v>
      </c>
      <c r="D19" s="136" t="s">
        <v>1340</v>
      </c>
      <c r="E19" s="3214"/>
      <c r="F19" s="26"/>
      <c r="G19" s="1538"/>
      <c r="H19" s="1113" t="s">
        <v>1004</v>
      </c>
      <c r="I19" s="308" t="s">
        <v>1341</v>
      </c>
      <c r="J19" s="24">
        <f ca="1">IF(K19="按租金收入计税",ROUND(J6*M19/(1+'数据-取费表'!C42),2),ROUND(C29*M19*0.7,2))</f>
        <v>0</v>
      </c>
      <c r="K19" s="1524" t="s">
        <v>3175</v>
      </c>
      <c r="L19" s="308" t="s">
        <v>1326</v>
      </c>
      <c r="M19" s="328">
        <f>IF(K19="按租金收入计税",'数据-取费表'!B51,'数据-取费表'!B50)</f>
        <v>0.12</v>
      </c>
    </row>
    <row r="20" spans="1:37" s="1551" customFormat="1" ht="18" customHeight="1">
      <c r="A20" s="1113" t="s">
        <v>1007</v>
      </c>
      <c r="B20" s="308" t="s">
        <v>1343</v>
      </c>
      <c r="C20" s="24">
        <f ca="1">ROUND(C19*F20,0)</f>
        <v>14</v>
      </c>
      <c r="D20" s="329" t="s">
        <v>1344</v>
      </c>
      <c r="E20" s="308" t="s">
        <v>1326</v>
      </c>
      <c r="F20" s="328">
        <f>'数据-取费表'!B37</f>
        <v>0.02</v>
      </c>
      <c r="G20" s="1550"/>
      <c r="H20" s="1113" t="s">
        <v>1294</v>
      </c>
      <c r="I20" s="160" t="s">
        <v>1345</v>
      </c>
      <c r="J20" s="25">
        <f ca="1">ROUND(M20*M21/10000,2)</f>
        <v>0.14000000000000001</v>
      </c>
      <c r="K20" s="330" t="s">
        <v>1346</v>
      </c>
      <c r="L20" s="308" t="s">
        <v>1347</v>
      </c>
      <c r="M20" s="331">
        <f>'数据-取费表'!B52</f>
        <v>12</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113.73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3214"/>
      <c r="F22" s="26"/>
      <c r="G22" s="1538"/>
      <c r="H22" s="1113" t="s">
        <v>1007</v>
      </c>
      <c r="I22" s="308" t="s">
        <v>1353</v>
      </c>
      <c r="J22" s="24">
        <f ca="1">ROUND(J14*M22,1)</f>
        <v>8.3000000000000007</v>
      </c>
      <c r="K22" s="3207" t="s">
        <v>1354</v>
      </c>
      <c r="L22" s="308" t="s">
        <v>1326</v>
      </c>
      <c r="M22" s="334">
        <f ca="1">INDIRECT("'数据-取费表'!Ak"&amp;$G$1)</f>
        <v>0.01</v>
      </c>
    </row>
    <row r="23" spans="1:37" s="1551" customFormat="1" ht="18" customHeight="1">
      <c r="A23" s="1113" t="s">
        <v>1002</v>
      </c>
      <c r="B23" s="308" t="s">
        <v>1355</v>
      </c>
      <c r="C23" s="24">
        <f ca="1">IF('数据-取费表'!B22&lt;=1,ROUND(C19*F24*F23/2,0)+ROUND(C20*F24*F23/2,0),ROUND(C19*(POWER((1+F24),F23/2)-1),0)+ROUND(C20*(POWER((1+F24),F23/2)-1),0))</f>
        <v>31</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3207" t="s">
        <v>1358</v>
      </c>
      <c r="L23" s="308" t="s">
        <v>1326</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1361</v>
      </c>
      <c r="C24" s="24">
        <f ca="1">ROUND(IF('数据-取费表'!B22&lt;=1,F21*F24*F23/2,F21*(POWER((1+F24),F23/2)-1)),4)</f>
        <v>8.9999999999999998E-4</v>
      </c>
      <c r="D24" s="335" t="str">
        <f>IF(F23&lt;=1,"销售费用×利率×(建设周期÷2)","销售费用×((1+利率)^(建设周期÷2)-1)")</f>
        <v>销售费用×((1+利率)^(建设周期÷2)-1)</v>
      </c>
      <c r="E24" s="308" t="s">
        <v>1362</v>
      </c>
      <c r="F24" s="337">
        <f ca="1">'数据-取费表'!B40</f>
        <v>4.2999999999999997E-2</v>
      </c>
      <c r="G24" s="1550"/>
      <c r="H24" s="1221" t="s">
        <v>1297</v>
      </c>
      <c r="I24" s="1222" t="s">
        <v>1343</v>
      </c>
      <c r="J24" s="1223">
        <f ca="1">ROUND(J5*M24,1)</f>
        <v>0</v>
      </c>
      <c r="K24" s="1224" t="s">
        <v>1363</v>
      </c>
      <c r="L24" s="1222" t="s">
        <v>1326</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3214"/>
      <c r="F25" s="26"/>
      <c r="G25" s="1538"/>
      <c r="H25" s="1211" t="s">
        <v>999</v>
      </c>
      <c r="I25" s="1226" t="s">
        <v>1367</v>
      </c>
      <c r="J25" s="316">
        <f ca="1">J5-J16</f>
        <v>-8</v>
      </c>
      <c r="K25" s="1227" t="s">
        <v>1368</v>
      </c>
      <c r="L25" s="1228"/>
      <c r="M25" s="1229"/>
    </row>
    <row r="26" spans="1:37">
      <c r="A26" s="1113" t="s">
        <v>1002</v>
      </c>
      <c r="B26" s="308" t="s">
        <v>1369</v>
      </c>
      <c r="C26" s="24">
        <f ca="1">ROUND((C19+C20)*F26,0)</f>
        <v>35</v>
      </c>
      <c r="D26" s="329" t="s">
        <v>1370</v>
      </c>
      <c r="E26" s="319" t="s">
        <v>1371</v>
      </c>
      <c r="F26" s="318">
        <f ca="1">INDIRECT("'数据-取费表'!q"&amp;$G$1)</f>
        <v>0.05</v>
      </c>
      <c r="G26" s="1538"/>
      <c r="H26" s="305" t="s">
        <v>1000</v>
      </c>
      <c r="I26" s="306" t="s">
        <v>1372</v>
      </c>
      <c r="J26" s="307">
        <f ca="1">IF(J5&lt;&gt;0,ROUND(J25*(1-((1+M28)/(1+M26))^M27)/(M26-M28),0),0)</f>
        <v>0</v>
      </c>
      <c r="K26" s="330" t="s">
        <v>1373</v>
      </c>
      <c r="L26" s="308" t="s">
        <v>1374</v>
      </c>
      <c r="M26" s="318">
        <f ca="1">INDIRECT("'数据-取费表'!I"&amp;$G$1)</f>
        <v>0.05</v>
      </c>
    </row>
    <row r="27" spans="1:37" ht="18" customHeight="1">
      <c r="A27" s="1113" t="s">
        <v>1004</v>
      </c>
      <c r="B27" s="308" t="s">
        <v>1375</v>
      </c>
      <c r="C27" s="24">
        <f ca="1">ROUND(F21*F26,4)</f>
        <v>1E-3</v>
      </c>
      <c r="D27" s="329" t="s">
        <v>1376</v>
      </c>
      <c r="E27" s="3205"/>
      <c r="F27" s="327"/>
      <c r="G27" s="1538"/>
      <c r="H27" s="310"/>
      <c r="I27" s="311"/>
      <c r="J27" s="312"/>
      <c r="K27" s="338" t="s">
        <v>1377</v>
      </c>
      <c r="L27" s="308" t="s">
        <v>1378</v>
      </c>
      <c r="M27" s="339">
        <f ca="1">INDIRECT("'数据-取费表'!ag"&amp;$G$1)</f>
        <v>37.14</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832</v>
      </c>
      <c r="D29" s="1224"/>
      <c r="E29" s="1222"/>
      <c r="F29" s="1225"/>
      <c r="G29" s="1550"/>
      <c r="H29" s="340" t="s">
        <v>1001</v>
      </c>
      <c r="I29" s="341" t="s">
        <v>1383</v>
      </c>
      <c r="J29" s="342">
        <f ca="1">ROUND(J26/(1+F40)^F41,0)</f>
        <v>0</v>
      </c>
      <c r="K29" s="343" t="s">
        <v>1384</v>
      </c>
      <c r="L29" s="344"/>
      <c r="M29" s="345">
        <f ca="1">INDIRECT("'数据-取费表'!k"&amp;$G$1)</f>
        <v>1785.1599999999999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19</v>
      </c>
      <c r="D30" s="1219" t="s">
        <v>1329</v>
      </c>
      <c r="E30" s="3209"/>
      <c r="F30" s="1204"/>
      <c r="G30" s="1538"/>
      <c r="H30" s="2892"/>
      <c r="I30" s="1552"/>
      <c r="J30" s="1553"/>
      <c r="K30" s="2667"/>
      <c r="L30" s="2893"/>
      <c r="M30" s="2894"/>
    </row>
    <row r="31" spans="1:37" ht="18" customHeight="1">
      <c r="A31" s="1113" t="s">
        <v>1003</v>
      </c>
      <c r="B31" s="308" t="s">
        <v>1333</v>
      </c>
      <c r="C31" s="2504">
        <f ca="1">ROUND(IF(AND(项目基本情况!B11="自然人",项目基本情况!B10="北京市"),C6*F31/(1+'数据-取费表'!C42),C32+C33+C34),0)</f>
        <v>9</v>
      </c>
      <c r="D31" s="3208" t="s">
        <v>1334</v>
      </c>
      <c r="E31" s="3207" t="s">
        <v>1385</v>
      </c>
      <c r="F31" s="2503" t="str">
        <f>IF(项目基本情况!B11="企业","——",IF('数据-取费表'!B10="住宅",IF(F6*F7*F8/12/(1+'数据-取费表'!F30)&gt;100000,4%,2.5%),IF(F6*F7*F8/12/(1+'数据-取费表'!F30)&gt;100000,12%,7%)))</f>
        <v>——</v>
      </c>
      <c r="G31" s="1538"/>
      <c r="H31" s="3005" t="s">
        <v>2990</v>
      </c>
      <c r="I31" s="1552"/>
      <c r="J31" s="1553"/>
      <c r="K31" s="2667"/>
      <c r="L31" s="2893"/>
      <c r="M31" s="2894"/>
    </row>
    <row r="32" spans="1:37" ht="18" customHeight="1">
      <c r="A32" s="1113" t="s">
        <v>1002</v>
      </c>
      <c r="B32" s="308" t="s">
        <v>1337</v>
      </c>
      <c r="C32" s="24">
        <f ca="1">IF(项目基本情况!B11="自然人","——",ROUND(C6*F32/(1+'数据-取费表'!C42),2))</f>
        <v>2.72</v>
      </c>
      <c r="D32" s="3207" t="s">
        <v>1338</v>
      </c>
      <c r="E32" s="308" t="s">
        <v>1326</v>
      </c>
      <c r="F32" s="337">
        <f>'数据-取费表'!B41</f>
        <v>5.6000000000000001E-2</v>
      </c>
      <c r="G32" s="1538"/>
      <c r="H32" s="2892"/>
      <c r="I32" s="1552"/>
      <c r="J32" s="1553"/>
      <c r="K32" s="2667"/>
      <c r="L32" s="2893"/>
      <c r="M32" s="2894"/>
    </row>
    <row r="33" spans="1:18" ht="18" customHeight="1">
      <c r="A33" s="1113" t="s">
        <v>1004</v>
      </c>
      <c r="B33" s="308" t="s">
        <v>1341</v>
      </c>
      <c r="C33" s="24">
        <f ca="1">IF(项目基本情况!B11="自然人","——",IF(D33="按租金收入计税",ROUND(C6*F33/(1+'数据-取费表'!C42),2),IF(D33="按房产原值计税",ROUND(C29*F33*0.7,2),INDIRECT("'数据-取费表'!Aj"&amp;$G$1))))</f>
        <v>5.83</v>
      </c>
      <c r="D33" s="1524" t="s">
        <v>3175</v>
      </c>
      <c r="E33" s="308" t="s">
        <v>1326</v>
      </c>
      <c r="F33" s="328">
        <f>IF(D33="按票据","——",IF(D33="按租金收入计税",'数据-取费表'!B51,'数据-取费表'!B50))</f>
        <v>0.12</v>
      </c>
      <c r="G33" s="1538"/>
      <c r="H33" s="2895"/>
      <c r="I33" s="1552"/>
      <c r="J33" s="1553"/>
      <c r="K33" s="2896"/>
      <c r="L33" s="2895"/>
      <c r="M33" s="2895"/>
    </row>
    <row r="34" spans="1:18" ht="18" customHeight="1">
      <c r="A34" s="1201" t="s">
        <v>1294</v>
      </c>
      <c r="B34" s="160" t="s">
        <v>1345</v>
      </c>
      <c r="C34" s="25">
        <f ca="1">IF(项目基本情况!B11="自然人","——",ROUND(F34*F35/10000,2))</f>
        <v>0.14000000000000001</v>
      </c>
      <c r="D34" s="330" t="s">
        <v>1346</v>
      </c>
      <c r="E34" s="308" t="s">
        <v>1347</v>
      </c>
      <c r="F34" s="331">
        <f>'数据-取费表'!B52</f>
        <v>12</v>
      </c>
      <c r="G34" s="1538"/>
      <c r="H34" s="2892"/>
      <c r="I34" s="1552"/>
      <c r="J34" s="1553"/>
      <c r="K34" s="2897"/>
      <c r="L34" s="2898"/>
      <c r="M34" s="2898"/>
    </row>
    <row r="35" spans="1:18" ht="18" customHeight="1">
      <c r="A35" s="1235"/>
      <c r="B35" s="1233"/>
      <c r="C35" s="29"/>
      <c r="D35" s="333"/>
      <c r="E35" s="308" t="s">
        <v>1351</v>
      </c>
      <c r="F35" s="309">
        <f ca="1">INDIRECT("'数据-取费表'!r"&amp;$G$1)</f>
        <v>113.73</v>
      </c>
      <c r="G35" s="1538"/>
      <c r="H35" s="2892"/>
      <c r="I35" s="1552"/>
      <c r="J35" s="1553"/>
      <c r="K35" s="2896"/>
      <c r="L35" s="2895"/>
      <c r="M35" s="2895"/>
    </row>
    <row r="36" spans="1:18" ht="18" customHeight="1">
      <c r="A36" s="1234" t="s">
        <v>1007</v>
      </c>
      <c r="B36" s="308" t="s">
        <v>1353</v>
      </c>
      <c r="C36" s="24">
        <f ca="1">ROUND(C29*F36,1)</f>
        <v>8.3000000000000007</v>
      </c>
      <c r="D36" s="3207" t="s">
        <v>1386</v>
      </c>
      <c r="E36" s="308" t="s">
        <v>1326</v>
      </c>
      <c r="F36" s="334">
        <f ca="1">INDIRECT("'数据-取费表'!Ak"&amp;$G$1)</f>
        <v>0.01</v>
      </c>
      <c r="G36" s="1538"/>
      <c r="H36" s="2895"/>
      <c r="I36" s="1552"/>
      <c r="J36" s="1553"/>
      <c r="K36" s="2736"/>
      <c r="L36" s="2895"/>
      <c r="M36" s="2895"/>
    </row>
    <row r="37" spans="1:18" ht="18" customHeight="1">
      <c r="A37" s="1113" t="s">
        <v>1043</v>
      </c>
      <c r="B37" s="308" t="s">
        <v>1357</v>
      </c>
      <c r="C37" s="24">
        <f ca="1">ROUND(C13*F37,1)</f>
        <v>1</v>
      </c>
      <c r="D37" s="3207" t="s">
        <v>1358</v>
      </c>
      <c r="E37" s="308" t="s">
        <v>1326</v>
      </c>
      <c r="F37" s="336">
        <f ca="1">INDIRECT("'数据-取费表'!Al"&amp;$G$1)</f>
        <v>1.5E-3</v>
      </c>
      <c r="G37" s="1538"/>
      <c r="H37" s="2895"/>
      <c r="I37" s="1552"/>
      <c r="J37" s="1553"/>
      <c r="K37" s="2736"/>
      <c r="L37" s="2895"/>
      <c r="M37" s="2895"/>
    </row>
    <row r="38" spans="1:18" ht="18" customHeight="1" thickBot="1">
      <c r="A38" s="1221" t="s">
        <v>1297</v>
      </c>
      <c r="B38" s="1222" t="s">
        <v>1343</v>
      </c>
      <c r="C38" s="1223">
        <f ca="1">ROUND(C5*F38,1)</f>
        <v>0.5</v>
      </c>
      <c r="D38" s="1224" t="s">
        <v>1363</v>
      </c>
      <c r="E38" s="1222" t="s">
        <v>1326</v>
      </c>
      <c r="F38" s="1218">
        <f ca="1">INDIRECT("'数据-取费表'!Am"&amp;$G$1)</f>
        <v>0.01</v>
      </c>
      <c r="G38" s="1538"/>
      <c r="H38" s="2895"/>
      <c r="I38" s="1552"/>
      <c r="J38" s="1553"/>
      <c r="K38" s="2899"/>
      <c r="L38" s="2895"/>
      <c r="M38" s="2895"/>
    </row>
    <row r="39" spans="1:18" ht="24.6" customHeight="1" thickTop="1">
      <c r="A39" s="1211" t="s">
        <v>999</v>
      </c>
      <c r="B39" s="1226" t="s">
        <v>1367</v>
      </c>
      <c r="C39" s="316">
        <f ca="1">C5-C30</f>
        <v>32</v>
      </c>
      <c r="D39" s="1227" t="s">
        <v>1368</v>
      </c>
      <c r="E39" s="1228"/>
      <c r="F39" s="1229"/>
      <c r="G39" s="1538"/>
      <c r="H39" s="2895"/>
      <c r="I39" s="1552"/>
      <c r="J39" s="1553"/>
      <c r="K39" s="2899"/>
      <c r="L39" s="2895"/>
      <c r="M39" s="2895"/>
    </row>
    <row r="40" spans="1:18" ht="18" customHeight="1">
      <c r="A40" s="305" t="s">
        <v>1000</v>
      </c>
      <c r="B40" s="306" t="s">
        <v>1389</v>
      </c>
      <c r="C40" s="307">
        <v>0</v>
      </c>
      <c r="D40" s="330" t="s">
        <v>1373</v>
      </c>
      <c r="E40" s="308" t="s">
        <v>1374</v>
      </c>
      <c r="F40" s="318">
        <f ca="1">INDIRECT("'数据-取费表'!I"&amp;$G$1)</f>
        <v>0.05</v>
      </c>
      <c r="G40" s="1538"/>
      <c r="H40" s="1615"/>
      <c r="I40" s="1552"/>
      <c r="J40" s="1553"/>
      <c r="K40" s="2899"/>
      <c r="L40" s="1615"/>
      <c r="M40" s="1615"/>
    </row>
    <row r="41" spans="1:18" ht="18" customHeight="1">
      <c r="A41" s="310"/>
      <c r="B41" s="311"/>
      <c r="C41" s="312"/>
      <c r="D41" s="338" t="s">
        <v>1390</v>
      </c>
      <c r="E41" s="308" t="s">
        <v>1378</v>
      </c>
      <c r="F41" s="339">
        <f ca="1">IF(INDIRECT("'数据-取费表'!af"&amp;$G$1)=0,INDIRECT("'数据-取费表'!ae"&amp;$G$1),INDIRECT("'数据-取费表'!af"&amp;$G$1))</f>
        <v>37.14</v>
      </c>
      <c r="G41" s="1538"/>
      <c r="H41" s="1325"/>
      <c r="I41" s="1552"/>
      <c r="J41" s="1553"/>
      <c r="K41" s="2736"/>
      <c r="L41" s="1325"/>
      <c r="M41" s="1325"/>
    </row>
    <row r="42" spans="1:18" ht="18" customHeight="1">
      <c r="A42" s="314"/>
      <c r="B42" s="315"/>
      <c r="C42" s="316"/>
      <c r="D42" s="333"/>
      <c r="E42" s="308" t="s">
        <v>1381</v>
      </c>
      <c r="F42" s="318">
        <f ca="1">INDIRECT("'数据-取费表'!v"&amp;$G$1)</f>
        <v>2.5000000000000001E-2</v>
      </c>
      <c r="G42" s="1538"/>
      <c r="H42" s="1325"/>
      <c r="I42" s="1552"/>
      <c r="J42" s="1553"/>
      <c r="K42" s="2736"/>
      <c r="L42" s="1325"/>
      <c r="M42" s="1325"/>
    </row>
    <row r="43" spans="1:18" ht="18" customHeight="1" thickBot="1">
      <c r="A43" s="340" t="s">
        <v>1001</v>
      </c>
      <c r="B43" s="341" t="s">
        <v>1391</v>
      </c>
      <c r="C43" s="342">
        <f ca="1">ROUND(C40*10000/F43,0)</f>
        <v>0</v>
      </c>
      <c r="D43" s="343" t="s">
        <v>1392</v>
      </c>
      <c r="E43" s="344" t="s">
        <v>1393</v>
      </c>
      <c r="F43" s="345">
        <f ca="1">INDIRECT("'数据-取费表'!k"&amp;$G$1)</f>
        <v>1785.1599999999999</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1423</v>
      </c>
      <c r="P45" s="1615"/>
      <c r="Q45" s="1615"/>
      <c r="R45" s="1615"/>
    </row>
    <row r="46" spans="1:18" s="1538" customFormat="1" ht="13.8" thickBot="1">
      <c r="A46" s="1558" t="s">
        <v>1424</v>
      </c>
      <c r="C46" s="1559">
        <f ca="1">C68-C40</f>
        <v>-1322</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8" thickBot="1">
      <c r="A47" s="1077" t="s">
        <v>1301</v>
      </c>
      <c r="B47" s="1109" t="s">
        <v>1302</v>
      </c>
      <c r="C47" s="1249" t="s">
        <v>1303</v>
      </c>
      <c r="D47" s="1109" t="s">
        <v>1304</v>
      </c>
      <c r="E47" s="1189" t="s">
        <v>1305</v>
      </c>
      <c r="F47" s="1190"/>
      <c r="G47" s="731"/>
      <c r="I47" s="1568" t="s">
        <v>1430</v>
      </c>
      <c r="J47" s="1569" t="s">
        <v>3176</v>
      </c>
      <c r="K47" s="1570" t="s">
        <v>1431</v>
      </c>
      <c r="L47" s="1571">
        <f ca="1">INDIRECT("'数据-取费表'!d"&amp;$G$1)</f>
        <v>50</v>
      </c>
      <c r="M47" s="1534" t="str">
        <f>IF(ISNUMBER(FIND("住宅",C1)),"住宅","非住宅")</f>
        <v>非住宅</v>
      </c>
      <c r="O47" s="1572" t="s">
        <v>1008</v>
      </c>
      <c r="P47" s="1573" t="s">
        <v>1432</v>
      </c>
      <c r="Q47" s="1574">
        <f ca="1">C40+J29</f>
        <v>0</v>
      </c>
      <c r="R47" s="1574" t="s">
        <v>1433</v>
      </c>
    </row>
    <row r="48" spans="1:18" s="1538" customFormat="1" ht="40.200000000000003" thickBot="1">
      <c r="A48" s="1242" t="s">
        <v>1044</v>
      </c>
      <c r="B48" s="306" t="s">
        <v>1306</v>
      </c>
      <c r="C48" s="3213">
        <f ca="1">C49+C53+C55</f>
        <v>0</v>
      </c>
      <c r="D48" s="1244"/>
      <c r="E48" s="1245"/>
      <c r="F48" s="1093"/>
      <c r="G48" s="731"/>
      <c r="H48" s="732"/>
      <c r="I48" s="1575" t="s">
        <v>1434</v>
      </c>
      <c r="J48" s="1576" t="s">
        <v>3177</v>
      </c>
      <c r="K48" s="1577" t="s">
        <v>1435</v>
      </c>
      <c r="L48" s="1578">
        <f ca="1">INDIRECT("'数据-取费表'!f"&amp;$G$1)</f>
        <v>37.14</v>
      </c>
      <c r="O48" s="1572" t="s">
        <v>1009</v>
      </c>
      <c r="P48" s="1573" t="s">
        <v>1436</v>
      </c>
      <c r="Q48" s="1574" t="str">
        <f ca="1">J60</f>
        <v>0</v>
      </c>
      <c r="R48" s="1574" t="s">
        <v>1437</v>
      </c>
    </row>
    <row r="49" spans="1:18" s="1538" customFormat="1" ht="13.8" thickBot="1">
      <c r="A49" s="1106" t="s">
        <v>1045</v>
      </c>
      <c r="B49" s="1525" t="s">
        <v>1394</v>
      </c>
      <c r="C49" s="1246">
        <f ca="1">ROUND(F49*F51*F50*(1-F52)/10000,0)</f>
        <v>0</v>
      </c>
      <c r="D49" s="1186" t="s">
        <v>2786</v>
      </c>
      <c r="E49" s="1526" t="s">
        <v>1395</v>
      </c>
      <c r="F49" s="1191"/>
      <c r="G49" s="1579"/>
      <c r="H49" s="732"/>
      <c r="I49" s="1575" t="s">
        <v>1438</v>
      </c>
      <c r="J49" s="1580"/>
      <c r="K49" s="1577" t="s">
        <v>1439</v>
      </c>
      <c r="L49" s="1581"/>
      <c r="O49" s="1582" t="s">
        <v>1010</v>
      </c>
      <c r="P49" s="1573" t="s">
        <v>1440</v>
      </c>
      <c r="Q49" s="1574">
        <f ca="1">C29</f>
        <v>832</v>
      </c>
      <c r="R49" s="1574" t="s">
        <v>1433</v>
      </c>
    </row>
    <row r="50" spans="1:18" s="1538" customFormat="1" ht="13.8" thickBot="1">
      <c r="A50" s="1107"/>
      <c r="B50" s="1110"/>
      <c r="C50" s="1250"/>
      <c r="D50" s="1084"/>
      <c r="E50" s="1187" t="s">
        <v>1311</v>
      </c>
      <c r="F50" s="1188">
        <f ca="1">F7</f>
        <v>47</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8" thickBot="1">
      <c r="A51" s="1108"/>
      <c r="B51" s="1110"/>
      <c r="C51" s="1111"/>
      <c r="D51" s="1084"/>
      <c r="E51" s="1112" t="s">
        <v>1312</v>
      </c>
      <c r="F51" s="309">
        <f ca="1">F8</f>
        <v>12</v>
      </c>
      <c r="I51" s="1586" t="s">
        <v>1444</v>
      </c>
      <c r="J51" s="1587">
        <f>IF(J49="",J50,J49+J50-YEAR('数据-取费表'!B2))</f>
        <v>60</v>
      </c>
      <c r="K51" s="1588" t="s">
        <v>1445</v>
      </c>
      <c r="L51" s="1589">
        <f ca="1">ROUND(-PV(INDIRECT("'数据-取费表'!h"&amp;$G$1),J51,(C39-C13*C76),0),0)</f>
        <v>-302</v>
      </c>
      <c r="M51" s="1590"/>
      <c r="O51" s="1582" t="s">
        <v>1012</v>
      </c>
      <c r="P51" s="1573" t="s">
        <v>1446</v>
      </c>
      <c r="Q51" s="1585">
        <f>J52</f>
        <v>0</v>
      </c>
      <c r="R51" s="1574"/>
    </row>
    <row r="52" spans="1:18" s="1538" customFormat="1" ht="13.8" thickBot="1">
      <c r="A52" s="1108"/>
      <c r="B52" s="1110"/>
      <c r="C52" s="1111"/>
      <c r="D52" s="1084"/>
      <c r="E52" s="1112" t="s">
        <v>1313</v>
      </c>
      <c r="F52" s="1185"/>
      <c r="I52" s="1591" t="s">
        <v>1447</v>
      </c>
      <c r="J52" s="1592"/>
      <c r="K52" s="1591" t="s">
        <v>1448</v>
      </c>
      <c r="L52" s="1592"/>
      <c r="O52" s="1582" t="s">
        <v>1013</v>
      </c>
      <c r="P52" s="1573" t="s">
        <v>1449</v>
      </c>
      <c r="Q52" s="1574">
        <f ca="1">J53</f>
        <v>37.14</v>
      </c>
      <c r="R52" s="1574" t="s">
        <v>1450</v>
      </c>
    </row>
    <row r="53" spans="1:18" s="1538" customFormat="1" ht="36.6" thickBot="1">
      <c r="A53" s="1286" t="s">
        <v>1046</v>
      </c>
      <c r="B53" s="1527" t="s">
        <v>1314</v>
      </c>
      <c r="C53" s="322">
        <f ca="1">ROUND(IF(F53="押一",C49/12*F11,IF(F53="押二",C49/12*2*F11,IF(F53="押三",C49/12*3*F11,C54*F11))),0)</f>
        <v>0</v>
      </c>
      <c r="D53" s="1520" t="s">
        <v>2794</v>
      </c>
      <c r="E53" s="319" t="s">
        <v>1315</v>
      </c>
      <c r="F53" s="1248"/>
      <c r="I53" s="1593" t="s">
        <v>1451</v>
      </c>
      <c r="J53" s="2356">
        <f ca="1">IF(M47="住宅",IF(D1="——",MAX(J51,L48),MAX(J51,L48-'数据-取费表'!B24)),IF(D1="——",MIN(J51,L48),MIN(J51,L48-'数据-取费表'!B24)))</f>
        <v>37.14</v>
      </c>
      <c r="K53" s="3449" t="s">
        <v>1452</v>
      </c>
      <c r="L53" s="3450"/>
      <c r="O53" s="1572" t="s">
        <v>1014</v>
      </c>
      <c r="P53" s="1573" t="s">
        <v>1453</v>
      </c>
      <c r="Q53" s="1574">
        <f ca="1">Q47+Q48</f>
        <v>0</v>
      </c>
      <c r="R53" s="1574" t="s">
        <v>1015</v>
      </c>
    </row>
    <row r="54" spans="1:18" s="1538" customFormat="1" ht="24.6" thickBot="1">
      <c r="A54" s="1287"/>
      <c r="B54" s="1521" t="s">
        <v>1293</v>
      </c>
      <c r="C54" s="1090"/>
      <c r="D54" s="1520"/>
      <c r="E54" s="3210"/>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8" thickBot="1">
      <c r="A55" s="1215" t="s">
        <v>1043</v>
      </c>
      <c r="B55" s="1523" t="s">
        <v>1317</v>
      </c>
      <c r="C55" s="1216"/>
      <c r="D55" s="1520"/>
      <c r="E55" s="3210"/>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37.200000000000003" thickTop="1" thickBot="1">
      <c r="A56" s="1088">
        <v>2</v>
      </c>
      <c r="B56" s="1089" t="s">
        <v>1318</v>
      </c>
      <c r="C56" s="238">
        <f ca="1">C13</f>
        <v>666</v>
      </c>
      <c r="D56" s="1601"/>
      <c r="E56" s="1602"/>
      <c r="F56" s="1594"/>
      <c r="I56" s="1603" t="s">
        <v>1458</v>
      </c>
      <c r="J56" s="1604" t="s">
        <v>3158</v>
      </c>
      <c r="K56" s="1575" t="s">
        <v>1459</v>
      </c>
      <c r="L56" s="1578" t="str">
        <f ca="1">IF(L48&lt;J51,"——",L48-J53)</f>
        <v>——</v>
      </c>
      <c r="O56" s="1572" t="s">
        <v>1008</v>
      </c>
      <c r="P56" s="1573" t="s">
        <v>1432</v>
      </c>
      <c r="Q56" s="1574">
        <f ca="1">C40+J29</f>
        <v>0</v>
      </c>
      <c r="R56" s="1574" t="s">
        <v>1433</v>
      </c>
    </row>
    <row r="57" spans="1:18" s="1538" customFormat="1" ht="24.6" thickBot="1">
      <c r="A57" s="1605"/>
      <c r="B57" s="1081" t="s">
        <v>1382</v>
      </c>
      <c r="C57" s="244">
        <f ca="1">C29</f>
        <v>832</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6" thickBot="1">
      <c r="A58" s="321" t="s">
        <v>998</v>
      </c>
      <c r="B58" s="1089" t="s">
        <v>1328</v>
      </c>
      <c r="C58" s="322">
        <f ca="1">ROUND(C59+C64+C65+C66,0)</f>
        <v>79</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6" thickBot="1">
      <c r="A59" s="1113" t="s">
        <v>1003</v>
      </c>
      <c r="B59" s="1081" t="s">
        <v>1333</v>
      </c>
      <c r="C59" s="2504">
        <f ca="1">ROUND(IF(AND(项目基本情况!B11="自然人",项目基本情况!B10="北京市"),C49*F59/(1+'数据-取费表'!C42),C60+C61+C62),0)</f>
        <v>70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2" thickBot="1">
      <c r="A60" s="1113" t="s">
        <v>1002</v>
      </c>
      <c r="B60" s="1081" t="s">
        <v>1337</v>
      </c>
      <c r="C60" s="24">
        <f ca="1">IF(项目基本情况!B11="自然人","——",ROUND(C48*F60/(1+'数据-取费表'!C42),2))</f>
        <v>0</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8" thickBot="1">
      <c r="A61" s="1113" t="s">
        <v>1396</v>
      </c>
      <c r="B61" s="1081" t="s">
        <v>1341</v>
      </c>
      <c r="C61" s="24">
        <f ca="1">IF(项目基本情况!B11="自然人","——",IF(D61="按租金收入计税",ROUND(C49*F61/(1+'数据-取费表'!C42),2),IF(D61="按房产原值计税",ROUND(C57*F61*0.7,2),INDIRECT("'数据-取费表'!Aj"&amp;$G$1))))</f>
        <v>69.89</v>
      </c>
      <c r="D61" s="1524" t="s">
        <v>1342</v>
      </c>
      <c r="E61" s="1081" t="s">
        <v>1326</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8" thickBot="1">
      <c r="A62" s="1113" t="s">
        <v>1399</v>
      </c>
      <c r="B62" s="1080" t="s">
        <v>1345</v>
      </c>
      <c r="C62" s="25">
        <f ca="1">IF(项目基本情况!B11="自然人","——",ROUND(F62*F63/10000,2))</f>
        <v>0.14000000000000001</v>
      </c>
      <c r="D62" s="1096" t="s">
        <v>1346</v>
      </c>
      <c r="E62" s="1081" t="s">
        <v>1347</v>
      </c>
      <c r="F62" s="331">
        <f t="shared" si="0"/>
        <v>12</v>
      </c>
      <c r="I62" s="1616" t="s">
        <v>1474</v>
      </c>
      <c r="J62" s="1617" t="s">
        <v>1475</v>
      </c>
      <c r="K62" s="1617" t="s">
        <v>1476</v>
      </c>
      <c r="L62" s="1617" t="s">
        <v>1477</v>
      </c>
      <c r="M62" s="1618" t="s">
        <v>1478</v>
      </c>
      <c r="O62" s="1572" t="s">
        <v>1014</v>
      </c>
      <c r="P62" s="1573" t="s">
        <v>1453</v>
      </c>
      <c r="Q62" s="1574">
        <f ca="1">Q56+Q57</f>
        <v>0</v>
      </c>
      <c r="R62" s="1574" t="s">
        <v>1015</v>
      </c>
    </row>
    <row r="63" spans="1:18" s="1538" customFormat="1" ht="13.8" thickBot="1">
      <c r="A63" s="332"/>
      <c r="B63" s="1087"/>
      <c r="C63" s="29"/>
      <c r="D63" s="1097"/>
      <c r="E63" s="1081" t="s">
        <v>1351</v>
      </c>
      <c r="F63" s="309">
        <f t="shared" ca="1" si="0"/>
        <v>113.73</v>
      </c>
      <c r="I63" s="1616" t="s">
        <v>1480</v>
      </c>
      <c r="J63" s="1617">
        <v>70</v>
      </c>
      <c r="K63" s="1617">
        <v>50</v>
      </c>
      <c r="L63" s="1617">
        <v>80</v>
      </c>
      <c r="M63" s="1619">
        <v>0.02</v>
      </c>
      <c r="O63" s="1557" t="s">
        <v>1481</v>
      </c>
      <c r="P63" s="1535"/>
      <c r="Q63" s="1535"/>
      <c r="R63" s="1535"/>
    </row>
    <row r="64" spans="1:18" s="1538" customFormat="1" ht="13.8" thickBot="1">
      <c r="A64" s="1113" t="s">
        <v>1007</v>
      </c>
      <c r="B64" s="1081" t="s">
        <v>1353</v>
      </c>
      <c r="C64" s="24">
        <f ca="1">ROUND(C57*F64,1)</f>
        <v>8.3000000000000007</v>
      </c>
      <c r="D64" s="1095" t="s">
        <v>1386</v>
      </c>
      <c r="E64" s="1081" t="s">
        <v>1326</v>
      </c>
      <c r="F64" s="334">
        <f t="shared" ca="1" si="0"/>
        <v>0.01</v>
      </c>
      <c r="I64" s="1616" t="s">
        <v>1482</v>
      </c>
      <c r="J64" s="1617">
        <v>50</v>
      </c>
      <c r="K64" s="1617">
        <v>35</v>
      </c>
      <c r="L64" s="1617">
        <v>60</v>
      </c>
      <c r="M64" s="1618">
        <v>0</v>
      </c>
      <c r="O64" s="1565" t="s">
        <v>1426</v>
      </c>
      <c r="P64" s="1566" t="s">
        <v>1427</v>
      </c>
      <c r="Q64" s="1567" t="s">
        <v>1428</v>
      </c>
      <c r="R64" s="1567" t="s">
        <v>1429</v>
      </c>
    </row>
    <row r="65" spans="1:18" s="1538" customFormat="1" ht="13.8" thickBot="1">
      <c r="A65" s="1113" t="s">
        <v>1407</v>
      </c>
      <c r="B65" s="1081" t="s">
        <v>1357</v>
      </c>
      <c r="C65" s="24">
        <f ca="1">ROUND(C56*F65,1)</f>
        <v>1</v>
      </c>
      <c r="D65" s="1095" t="s">
        <v>1358</v>
      </c>
      <c r="E65" s="1081" t="s">
        <v>1326</v>
      </c>
      <c r="F65" s="336">
        <f t="shared" ca="1" si="0"/>
        <v>1.5E-3</v>
      </c>
      <c r="I65" s="1616" t="s">
        <v>1483</v>
      </c>
      <c r="J65" s="1617">
        <v>40</v>
      </c>
      <c r="K65" s="1617">
        <v>30</v>
      </c>
      <c r="L65" s="1617">
        <v>50</v>
      </c>
      <c r="M65" s="1619">
        <v>0.02</v>
      </c>
      <c r="O65" s="1572" t="s">
        <v>1008</v>
      </c>
      <c r="P65" s="1573" t="s">
        <v>1432</v>
      </c>
      <c r="Q65" s="1574">
        <f ca="1">C40+J29</f>
        <v>0</v>
      </c>
      <c r="R65" s="1574" t="s">
        <v>1433</v>
      </c>
    </row>
    <row r="66" spans="1:18" s="1538" customFormat="1" ht="16.2" thickBot="1">
      <c r="A66" s="1113" t="s">
        <v>1408</v>
      </c>
      <c r="B66" s="1081" t="s">
        <v>1343</v>
      </c>
      <c r="C66" s="24">
        <f ca="1">ROUND(C48*F66,1)</f>
        <v>0</v>
      </c>
      <c r="D66" s="1095" t="s">
        <v>1363</v>
      </c>
      <c r="E66" s="1081" t="s">
        <v>1326</v>
      </c>
      <c r="F66" s="318">
        <f t="shared" ca="1" si="0"/>
        <v>0.01</v>
      </c>
      <c r="O66" s="1572" t="s">
        <v>1009</v>
      </c>
      <c r="P66" s="1573" t="s">
        <v>1462</v>
      </c>
      <c r="Q66" s="1574">
        <f ca="1">L60</f>
        <v>0</v>
      </c>
      <c r="R66" s="1574" t="s">
        <v>1485</v>
      </c>
    </row>
    <row r="67" spans="1:18" s="1538" customFormat="1" ht="24.6" thickBot="1">
      <c r="A67" s="1088" t="s">
        <v>999</v>
      </c>
      <c r="B67" s="1098" t="s">
        <v>1367</v>
      </c>
      <c r="C67" s="322">
        <f ca="1">C48-C58</f>
        <v>-79</v>
      </c>
      <c r="D67" s="1094" t="s">
        <v>1368</v>
      </c>
      <c r="E67" s="1099"/>
      <c r="F67" s="1100"/>
      <c r="O67" s="1582" t="s">
        <v>1010</v>
      </c>
      <c r="P67" s="1573" t="s">
        <v>1466</v>
      </c>
      <c r="Q67" s="1620">
        <f ca="1">L51</f>
        <v>-302</v>
      </c>
      <c r="R67" s="1574" t="s">
        <v>1486</v>
      </c>
    </row>
    <row r="68" spans="1:18" s="1538" customFormat="1" ht="16.2" thickBot="1">
      <c r="A68" s="1078" t="s">
        <v>1000</v>
      </c>
      <c r="B68" s="1079" t="s">
        <v>1389</v>
      </c>
      <c r="C68" s="307">
        <f ca="1">ROUND(C67*(1-((1+F70)/(1+F68))^F69)/(F68-F70),0)</f>
        <v>-1322</v>
      </c>
      <c r="D68" s="1096" t="s">
        <v>1373</v>
      </c>
      <c r="E68" s="1081" t="s">
        <v>1374</v>
      </c>
      <c r="F68" s="318">
        <f ca="1">F40</f>
        <v>0.05</v>
      </c>
      <c r="O68" s="1582" t="s">
        <v>1011</v>
      </c>
      <c r="P68" s="1621" t="s">
        <v>1487</v>
      </c>
      <c r="Q68" s="1574">
        <f ca="1">ROUND(Q69-Q70*Q71,0)</f>
        <v>-15</v>
      </c>
      <c r="R68" s="1574" t="s">
        <v>1019</v>
      </c>
    </row>
    <row r="69" spans="1:18" s="1538" customFormat="1" ht="13.8" thickBot="1">
      <c r="A69" s="1082"/>
      <c r="B69" s="1083"/>
      <c r="C69" s="312"/>
      <c r="D69" s="1101" t="s">
        <v>1377</v>
      </c>
      <c r="E69" s="1081" t="s">
        <v>1378</v>
      </c>
      <c r="F69" s="339">
        <f ca="1">F41</f>
        <v>37.14</v>
      </c>
      <c r="O69" s="1582" t="s">
        <v>1016</v>
      </c>
      <c r="P69" s="1621" t="s">
        <v>1488</v>
      </c>
      <c r="Q69" s="1574">
        <f ca="1">C39</f>
        <v>32</v>
      </c>
      <c r="R69" s="1574" t="s">
        <v>1433</v>
      </c>
    </row>
    <row r="70" spans="1:18" s="1538" customFormat="1" ht="13.8" thickBot="1">
      <c r="A70" s="1085"/>
      <c r="B70" s="1086"/>
      <c r="C70" s="316"/>
      <c r="D70" s="1097"/>
      <c r="E70" s="1081" t="s">
        <v>1381</v>
      </c>
      <c r="F70" s="1185"/>
      <c r="O70" s="1582" t="s">
        <v>1017</v>
      </c>
      <c r="P70" s="1621" t="s">
        <v>1489</v>
      </c>
      <c r="Q70" s="1574">
        <f ca="1">C13</f>
        <v>666</v>
      </c>
      <c r="R70" s="1574" t="s">
        <v>1433</v>
      </c>
    </row>
    <row r="71" spans="1:18" s="1538" customFormat="1" ht="13.8" thickBot="1">
      <c r="A71" s="1102" t="s">
        <v>1001</v>
      </c>
      <c r="B71" s="1103" t="s">
        <v>1391</v>
      </c>
      <c r="C71" s="342">
        <f ca="1">ROUND(C68*10000/F71,0)</f>
        <v>-7405</v>
      </c>
      <c r="D71" s="1104" t="s">
        <v>1392</v>
      </c>
      <c r="E71" s="1105" t="s">
        <v>1393</v>
      </c>
      <c r="F71" s="345">
        <f ca="1">F43</f>
        <v>1785.1599999999999</v>
      </c>
      <c r="O71" s="1582" t="s">
        <v>1018</v>
      </c>
      <c r="P71" s="1621" t="s">
        <v>1490</v>
      </c>
      <c r="Q71" s="1585">
        <f ca="1">C76</f>
        <v>7.0000000000000007E-2</v>
      </c>
      <c r="R71" s="1574"/>
    </row>
    <row r="72" spans="1:18" s="1538" customFormat="1" ht="13.8" thickBot="1">
      <c r="B72" s="735"/>
      <c r="C72" s="735"/>
      <c r="O72" s="1582" t="s">
        <v>1012</v>
      </c>
      <c r="P72" s="1573" t="s">
        <v>1468</v>
      </c>
      <c r="Q72" s="1585">
        <f>L52</f>
        <v>0</v>
      </c>
      <c r="R72" s="1574"/>
    </row>
    <row r="73" spans="1:18" ht="16.2" thickBot="1">
      <c r="A73" s="1538"/>
      <c r="B73" s="735"/>
      <c r="C73" s="735"/>
      <c r="D73" s="1538"/>
      <c r="E73" s="1538"/>
      <c r="F73" s="1538"/>
      <c r="O73" s="1582" t="s">
        <v>1013</v>
      </c>
      <c r="P73" s="1573" t="s">
        <v>1471</v>
      </c>
      <c r="Q73" s="1574" t="e">
        <f ca="1">L58</f>
        <v>#DIV/0!</v>
      </c>
      <c r="R73" s="1574" t="s">
        <v>1472</v>
      </c>
    </row>
    <row r="74" spans="1:18" ht="13.8"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8" thickBot="1">
      <c r="A75" s="1538"/>
      <c r="B75" s="346" t="s">
        <v>1410</v>
      </c>
      <c r="C75" s="347">
        <f ca="1">ROUND(C13*C76,0)</f>
        <v>47</v>
      </c>
      <c r="D75" s="1538"/>
      <c r="E75" s="1538"/>
      <c r="F75" s="1538"/>
      <c r="K75" s="1556"/>
      <c r="L75" s="1538"/>
      <c r="O75" s="1572" t="s">
        <v>1014</v>
      </c>
      <c r="P75" s="1573" t="s">
        <v>1453</v>
      </c>
      <c r="Q75" s="1574">
        <f ca="1">Q65+Q66</f>
        <v>0</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-0.46900000000000008</v>
      </c>
    </row>
    <row r="80" spans="1:18">
      <c r="B80" s="346" t="s">
        <v>1415</v>
      </c>
      <c r="C80" s="280">
        <f ca="1">ROUND(C75/C39,3)</f>
        <v>1.4690000000000001</v>
      </c>
    </row>
    <row r="81" spans="2:3">
      <c r="B81" s="276" t="s">
        <v>1416</v>
      </c>
      <c r="C81" s="244"/>
    </row>
    <row r="82" spans="2:3">
      <c r="B82" s="279" t="s">
        <v>1417</v>
      </c>
      <c r="C82" s="281" t="e">
        <f ca="1">1-C83</f>
        <v>#DIV/0!</v>
      </c>
    </row>
    <row r="83" spans="2:3">
      <c r="B83" s="279" t="s">
        <v>1418</v>
      </c>
      <c r="C83" s="280" t="e">
        <f ca="1">ROUND(C13/C40,3)</f>
        <v>#DIV/0!</v>
      </c>
    </row>
  </sheetData>
  <sheetProtection algorithmName="SHA-512" hashValue="g3MmVebf8Xucr+iD5DAO3Jbyk79EgCwrtJPrDPlg3iTcpN7LHUiGlnJegks5TdrsrYbvaKePG51AdVaO2fkpEg==" saltValue="qbab+dOElnq5RUh1J/jRuw==" spinCount="100000" sheet="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1525</v>
      </c>
      <c r="B1" s="1646"/>
      <c r="C1" s="1646"/>
      <c r="D1" s="1646"/>
      <c r="E1" s="1646"/>
    </row>
    <row r="2" spans="1:5" ht="78" customHeight="1">
      <c r="A2" s="32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7.399999999999999">
      <c r="A3" s="3235" t="str">
        <f>IF(项目基本情况!B9="房地产市场价值","估价结果一览表（市场价值不需“结果表-1”）","估价结果一览表")</f>
        <v>估价结果一览表</v>
      </c>
      <c r="B3" s="3235"/>
      <c r="C3" s="3235"/>
      <c r="D3" s="3235"/>
      <c r="E3" s="3235"/>
    </row>
    <row r="4" spans="1:5" ht="18" thickBot="1">
      <c r="A4" s="1648"/>
      <c r="B4" s="3233" t="s">
        <v>1534</v>
      </c>
      <c r="C4" s="3233"/>
      <c r="D4" s="3233"/>
      <c r="E4" s="1648"/>
    </row>
    <row r="5" spans="1:5" ht="16.2" thickTop="1">
      <c r="A5" s="1646"/>
      <c r="B5" s="3231" t="s">
        <v>1526</v>
      </c>
      <c r="C5" s="1649" t="s">
        <v>1527</v>
      </c>
      <c r="D5" s="959">
        <f ca="1">结果表!H101</f>
        <v>40642</v>
      </c>
      <c r="E5" s="1646"/>
    </row>
    <row r="6" spans="1:5" ht="15.6">
      <c r="A6" s="1646"/>
      <c r="B6" s="3231"/>
      <c r="C6" s="1649" t="s">
        <v>1528</v>
      </c>
      <c r="D6" s="959" t="str">
        <f ca="1">NUMBERSTRING(INT(D5*10000),2)&amp;"元整"</f>
        <v>肆亿零陆佰肆拾贰万元整</v>
      </c>
      <c r="E6" s="1646"/>
    </row>
    <row r="7" spans="1:5" ht="15.6">
      <c r="A7" s="1646"/>
      <c r="B7" s="3236"/>
      <c r="C7" s="1650" t="s">
        <v>1529</v>
      </c>
      <c r="D7" s="960">
        <f ca="1">结果表!H102</f>
        <v>35337</v>
      </c>
      <c r="E7" s="1646"/>
    </row>
    <row r="8" spans="1:5" ht="15.6">
      <c r="A8" s="1646"/>
      <c r="B8" s="3237" t="str">
        <f>结果表!E103</f>
        <v>2.估价师知悉的法定优先受偿款</v>
      </c>
      <c r="C8" s="1651" t="s">
        <v>1530</v>
      </c>
      <c r="D8" s="960">
        <f>结果表!H103</f>
        <v>0</v>
      </c>
      <c r="E8" s="1646"/>
    </row>
    <row r="9" spans="1:5" ht="15.6">
      <c r="A9" s="1646"/>
      <c r="B9" s="3239"/>
      <c r="C9" s="1649" t="s">
        <v>1528</v>
      </c>
      <c r="D9" s="959" t="str">
        <f>NUMBERSTRING(INT(D8*10000),2)&amp;"元整"</f>
        <v>零元整</v>
      </c>
      <c r="E9" s="1646"/>
    </row>
    <row r="10" spans="1:5" ht="15.6">
      <c r="A10" s="1646"/>
      <c r="B10" s="1652" t="s">
        <v>1533</v>
      </c>
      <c r="C10" s="1653" t="s">
        <v>1531</v>
      </c>
      <c r="D10" s="961">
        <f>结果表!H104</f>
        <v>0</v>
      </c>
      <c r="E10" s="1646"/>
    </row>
    <row r="11" spans="1:5" ht="15.6">
      <c r="A11" s="1646"/>
      <c r="B11" s="1652" t="s">
        <v>1535</v>
      </c>
      <c r="C11" s="1653" t="s">
        <v>1536</v>
      </c>
      <c r="D11" s="961">
        <f>结果表!H105</f>
        <v>0</v>
      </c>
      <c r="E11" s="1646"/>
    </row>
    <row r="12" spans="1:5" ht="15.6">
      <c r="A12" s="1646"/>
      <c r="B12" s="1652" t="s">
        <v>1537</v>
      </c>
      <c r="C12" s="1653" t="s">
        <v>1536</v>
      </c>
      <c r="D12" s="961">
        <f>结果表!H106</f>
        <v>0</v>
      </c>
      <c r="E12" s="1646"/>
    </row>
    <row r="13" spans="1:5" ht="15.6">
      <c r="A13" s="1646"/>
      <c r="B13" s="3230" t="str">
        <f>结果表!E107</f>
        <v>3.房地产抵押价值</v>
      </c>
      <c r="C13" s="1654" t="s">
        <v>1527</v>
      </c>
      <c r="D13" s="962">
        <f ca="1">结果表!H107</f>
        <v>40642</v>
      </c>
      <c r="E13" s="1646"/>
    </row>
    <row r="14" spans="1:5" ht="15.6">
      <c r="A14" s="1646"/>
      <c r="B14" s="3231"/>
      <c r="C14" s="1649" t="s">
        <v>1528</v>
      </c>
      <c r="D14" s="959" t="str">
        <f ca="1">NUMBERSTRING(INT(D13*10000),2)&amp;"元整"</f>
        <v>肆亿零陆佰肆拾贰万元整</v>
      </c>
      <c r="E14" s="1646"/>
    </row>
    <row r="15" spans="1:5" ht="15.6">
      <c r="A15" s="1646"/>
      <c r="B15" s="3236"/>
      <c r="C15" s="1650" t="s">
        <v>1538</v>
      </c>
      <c r="D15" s="968">
        <f ca="1">结果表!H108</f>
        <v>35337</v>
      </c>
      <c r="E15" s="1646"/>
    </row>
    <row r="16" spans="1:5" ht="15.6">
      <c r="A16" s="1646"/>
      <c r="B16" s="3237" t="str">
        <f>结果表!E109</f>
        <v>——</v>
      </c>
      <c r="C16" s="1654" t="s">
        <v>1539</v>
      </c>
      <c r="D16" s="1655" t="str">
        <f>结果表!H109</f>
        <v>——</v>
      </c>
      <c r="E16" s="1646"/>
    </row>
    <row r="17" spans="1:5" ht="15.6">
      <c r="A17" s="1646"/>
      <c r="B17" s="3238"/>
      <c r="C17" s="1649" t="s">
        <v>1540</v>
      </c>
      <c r="D17" s="959" t="e">
        <f>NUMBERSTRING(INT(D16*10000),2)&amp;"元整"</f>
        <v>#VALUE!</v>
      </c>
      <c r="E17" s="1646"/>
    </row>
    <row r="18" spans="1:5" ht="15.6">
      <c r="A18" s="1646"/>
      <c r="B18" s="3239"/>
      <c r="C18" s="1650" t="s">
        <v>1529</v>
      </c>
      <c r="D18" s="968" t="str">
        <f>结果表!H110</f>
        <v>——</v>
      </c>
      <c r="E18" s="1646"/>
    </row>
    <row r="19" spans="1:5" ht="15.6">
      <c r="A19" s="1646"/>
      <c r="B19" s="3230" t="str">
        <f>结果表!E111</f>
        <v>——</v>
      </c>
      <c r="C19" s="1654" t="s">
        <v>1527</v>
      </c>
      <c r="D19" s="960" t="str">
        <f>结果表!H111</f>
        <v>——</v>
      </c>
      <c r="E19" s="1646"/>
    </row>
    <row r="20" spans="1:5" ht="15.6">
      <c r="A20" s="1646"/>
      <c r="B20" s="3231"/>
      <c r="C20" s="1649" t="s">
        <v>1540</v>
      </c>
      <c r="D20" s="959" t="e">
        <f>NUMBERSTRING(INT(D19*10000),2)&amp;"元整"</f>
        <v>#VALUE!</v>
      </c>
      <c r="E20" s="1646"/>
    </row>
    <row r="21" spans="1:5" ht="16.2" thickBot="1">
      <c r="A21" s="1646"/>
      <c r="B21" s="3232"/>
      <c r="C21" s="1656" t="s">
        <v>1538</v>
      </c>
      <c r="D21" s="969" t="str">
        <f>结果表!H112</f>
        <v>——</v>
      </c>
      <c r="E21" s="1646"/>
    </row>
    <row r="22" spans="1:5" ht="14.4" thickTop="1">
      <c r="A22" s="1646"/>
      <c r="B22" s="1657" t="s">
        <v>1541</v>
      </c>
      <c r="C22" s="1646"/>
      <c r="D22" s="1646"/>
      <c r="E22" s="1646"/>
    </row>
    <row r="23" spans="1:5">
      <c r="A23" s="1646"/>
      <c r="B23" s="1646"/>
      <c r="C23" s="1646"/>
      <c r="D23" s="1646"/>
      <c r="E23" s="1646"/>
    </row>
    <row r="24" spans="1:5" ht="17.399999999999999">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R24" sqref="R24"/>
    </sheetView>
  </sheetViews>
  <sheetFormatPr defaultColWidth="9" defaultRowHeight="13.2"/>
  <cols>
    <col min="1" max="1" width="11.44140625" style="135" customWidth="1"/>
    <col min="2" max="2" width="9.21875" style="27" customWidth="1"/>
    <col min="3" max="3" width="5" style="27" customWidth="1"/>
    <col min="4" max="4" width="11.44140625" style="27" bestFit="1" customWidth="1"/>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9" t="s">
        <v>2763</v>
      </c>
      <c r="D1" s="3560"/>
      <c r="E1" s="3560"/>
      <c r="F1" s="3560"/>
      <c r="G1" s="3560"/>
      <c r="H1" s="3560"/>
      <c r="I1" s="3560"/>
      <c r="J1" s="3560"/>
      <c r="K1" s="3560"/>
      <c r="L1" s="3560"/>
      <c r="M1" s="3560"/>
      <c r="N1" s="3560"/>
      <c r="O1" s="3560"/>
      <c r="P1" s="3560"/>
      <c r="Q1" s="3560"/>
      <c r="R1" s="3560"/>
      <c r="S1" s="3561"/>
      <c r="T1" s="1114" t="s">
        <v>2764</v>
      </c>
    </row>
    <row r="2" spans="1:45" s="663" customFormat="1" ht="66">
      <c r="A2" s="1115"/>
      <c r="B2" s="659" t="s">
        <v>2765</v>
      </c>
      <c r="C2" s="660" t="str">
        <f t="shared" ref="C2:L2" si="0">C3&amp;"(含)"&amp;"-"&amp;D3</f>
        <v>0(含)-1000000000</v>
      </c>
      <c r="D2" s="661" t="str">
        <f t="shared" si="0"/>
        <v>1000000000(含)-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1000000000</v>
      </c>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v>1</v>
      </c>
      <c r="D17" s="1142">
        <v>2</v>
      </c>
      <c r="E17" s="1142">
        <v>-1</v>
      </c>
      <c r="F17" s="1142">
        <v>-2</v>
      </c>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v>100</v>
      </c>
      <c r="D18" s="1154">
        <v>70</v>
      </c>
      <c r="E18" s="1154">
        <v>40</v>
      </c>
      <c r="F18" s="1154">
        <v>20</v>
      </c>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2" thickBot="1">
      <c r="A20" s="671" t="s">
        <v>2775</v>
      </c>
      <c r="B20" s="300">
        <f>IF(D20="——",S22,S22-F20)</f>
        <v>40054</v>
      </c>
      <c r="C20" s="164"/>
      <c r="D20" s="2337" t="s">
        <v>70</v>
      </c>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6">
      <c r="A21" s="671" t="s">
        <v>2777</v>
      </c>
      <c r="B21" s="300">
        <f>ROUND(B20*10000/B22,0)</f>
        <v>34826</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11501.22</v>
      </c>
      <c r="C22" s="3556" t="s">
        <v>33</v>
      </c>
      <c r="D22" s="3557"/>
      <c r="E22" s="3557"/>
      <c r="F22" s="3557"/>
      <c r="G22" s="3557"/>
      <c r="H22" s="3557"/>
      <c r="I22" s="3557"/>
      <c r="J22" s="3557"/>
      <c r="K22" s="3557"/>
      <c r="L22" s="3557"/>
      <c r="M22" s="3557"/>
      <c r="N22" s="3557"/>
      <c r="O22" s="3557"/>
      <c r="P22" s="3557"/>
      <c r="Q22" s="3558"/>
      <c r="R22" s="672">
        <f>ROUND(S22*10000/B22,0)</f>
        <v>34826</v>
      </c>
      <c r="S22" s="24">
        <f>SUM(S24:S10000)</f>
        <v>40054</v>
      </c>
      <c r="T22" s="734">
        <f ca="1">结果表!G20</f>
        <v>35337</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27" t="s">
        <v>3188</v>
      </c>
      <c r="B24" s="674">
        <f>'数据-取费表'!V21</f>
        <v>3205.68</v>
      </c>
      <c r="C24" s="3007">
        <v>1</v>
      </c>
      <c r="D24" s="3008"/>
      <c r="E24" s="3007">
        <v>1</v>
      </c>
      <c r="F24" s="3008"/>
      <c r="G24" s="3007">
        <v>1</v>
      </c>
      <c r="H24" s="3008"/>
      <c r="I24" s="3007">
        <v>1</v>
      </c>
      <c r="J24" s="3008"/>
      <c r="K24" s="3007">
        <v>1</v>
      </c>
      <c r="L24" s="3008"/>
      <c r="M24" s="3007">
        <v>1</v>
      </c>
      <c r="N24" s="3008"/>
      <c r="O24" s="3007">
        <v>1</v>
      </c>
      <c r="P24" s="3008">
        <v>1</v>
      </c>
      <c r="Q24" s="3007">
        <v>1</v>
      </c>
      <c r="R24" s="677">
        <v>55000</v>
      </c>
      <c r="S24" s="675">
        <f t="shared" ref="S24:S54" si="11">ROUND(R24*B24/10000,0)</f>
        <v>17631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3189</v>
      </c>
      <c r="B25" s="57">
        <f>'数据-取费表'!V22</f>
        <v>3718.72</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v>2</v>
      </c>
      <c r="Q25" s="24">
        <f>(SUMIF($17:$17,P25,$18:$18)-SUMIF($17:$17,$P$24,$18:$18)+100)/100</f>
        <v>0.7</v>
      </c>
      <c r="R25" s="672">
        <f>IF(B25="",0,ROUND($R$24*C25*E25*G25*I25*K25*M25*O25*Q25,0))</f>
        <v>38500</v>
      </c>
      <c r="S25" s="322">
        <f t="shared" si="11"/>
        <v>14317</v>
      </c>
    </row>
    <row r="26" spans="1:45">
      <c r="A26" s="3228" t="s">
        <v>3190</v>
      </c>
      <c r="B26" s="57">
        <f>'数据-取费表'!V23</f>
        <v>2791.66</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-1</v>
      </c>
      <c r="Q26" s="24">
        <f t="shared" ref="Q26:Q89" si="19">(SUMIF($17:$17,P26,$18:$18)-SUMIF($17:$17,$P$24,$18:$18)+100)/100</f>
        <v>0.4</v>
      </c>
      <c r="R26" s="672">
        <f t="shared" ref="R26:R89" si="20">IF(B26="",0,ROUND($R$24*C26*E26*G26*I26*K26*M26*O26*Q26,0))</f>
        <v>22000</v>
      </c>
      <c r="S26" s="322">
        <f t="shared" si="11"/>
        <v>6142</v>
      </c>
    </row>
    <row r="27" spans="1:45">
      <c r="A27" s="3228" t="s">
        <v>3191</v>
      </c>
      <c r="B27" s="57">
        <f>'数据-汇总表'!G20</f>
        <v>1785.1599999999999</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v>-2</v>
      </c>
      <c r="Q27" s="24">
        <f t="shared" si="19"/>
        <v>0.2</v>
      </c>
      <c r="R27" s="672">
        <f t="shared" si="20"/>
        <v>11000</v>
      </c>
      <c r="S27" s="322">
        <f t="shared" si="11"/>
        <v>1964</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35653</v>
      </c>
      <c r="C2" s="2" t="s">
        <v>133</v>
      </c>
      <c r="D2" s="205"/>
      <c r="E2" s="205"/>
      <c r="F2" s="205"/>
      <c r="G2" s="205"/>
    </row>
    <row r="3" spans="1:7" s="206" customFormat="1" ht="18" customHeight="1" thickBot="1">
      <c r="A3" s="209" t="s">
        <v>85</v>
      </c>
      <c r="B3" s="210">
        <f ca="1">ROUND(B2*10000/'数据-汇总表'!E3,0)</f>
        <v>30999</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230</v>
      </c>
      <c r="D10" s="954">
        <f>'数据-汇总表'!E6</f>
        <v>11501.220000000001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230</v>
      </c>
      <c r="D19" s="958">
        <f>'数据-汇总表'!E3</f>
        <v>11501.220000000001</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1849</v>
      </c>
      <c r="D22" s="241">
        <f ca="1">C26</f>
        <v>8.9999999999999998E-4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1811</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20</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6.4">
      <c r="A27" s="885" t="s">
        <v>787</v>
      </c>
      <c r="B27" s="250" t="s">
        <v>112</v>
      </c>
      <c r="C27" s="251">
        <f>C28</f>
        <v>3826</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3826</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29205</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5959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5483</v>
      </c>
      <c r="D34" s="223"/>
      <c r="E34" s="226"/>
      <c r="F34" s="263">
        <f>IF('数据-取费表'!B24=0,1,'数据-取费表'!N16)</f>
        <v>1</v>
      </c>
      <c r="G34" s="225" t="s">
        <v>116</v>
      </c>
    </row>
    <row r="35" spans="1:7" ht="13.5" customHeight="1">
      <c r="A35" s="888" t="s">
        <v>796</v>
      </c>
      <c r="B35" s="221" t="s">
        <v>60</v>
      </c>
      <c r="C35" s="226">
        <f>ROUND(C34*F35,0)</f>
        <v>164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230</v>
      </c>
      <c r="D37" s="223">
        <f>'数据-汇总表'!E3</f>
        <v>11501.220000000001</v>
      </c>
      <c r="E37" s="255">
        <f>'数据-取费表'!B35</f>
        <v>200</v>
      </c>
      <c r="F37" s="265"/>
      <c r="G37" s="267" t="s">
        <v>119</v>
      </c>
    </row>
    <row r="38" spans="1:7" ht="13.5" customHeight="1">
      <c r="A38" s="888" t="s">
        <v>799</v>
      </c>
      <c r="B38" s="221" t="s">
        <v>63</v>
      </c>
      <c r="C38" s="226">
        <f>ROUND(C34*F38,0)</f>
        <v>82</v>
      </c>
      <c r="D38" s="226"/>
      <c r="E38" s="226"/>
      <c r="F38" s="265">
        <f>'数据-取费表'!B36</f>
        <v>1.4999999999999999E-2</v>
      </c>
      <c r="G38" s="225" t="s">
        <v>117</v>
      </c>
    </row>
    <row r="39" spans="1:7" s="220" customFormat="1" ht="13.5" customHeight="1">
      <c r="A39" s="885" t="s">
        <v>783</v>
      </c>
      <c r="B39" s="216" t="s">
        <v>104</v>
      </c>
      <c r="C39" s="238">
        <f>ROUND(C33*F20,0)</f>
        <v>119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261</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256</v>
      </c>
      <c r="D42" s="244"/>
      <c r="E42" s="244"/>
      <c r="F42" s="245"/>
      <c r="G42" s="3444" t="s">
        <v>121</v>
      </c>
    </row>
    <row r="43" spans="1:7" ht="13.5" customHeight="1">
      <c r="A43" s="888" t="s">
        <v>792</v>
      </c>
      <c r="B43" s="221" t="s">
        <v>1032</v>
      </c>
      <c r="C43" s="244">
        <f ca="1">ROUND(IF('数据-取费表'!B22&lt;=1,C39*F22*'数据-取费表'!B21/2,C39*(POWER((1+F22),'数据-取费表'!B21/2)-1)),0)</f>
        <v>5</v>
      </c>
      <c r="D43" s="244"/>
      <c r="E43" s="244"/>
      <c r="F43" s="245"/>
      <c r="G43" s="3445"/>
    </row>
    <row r="44" spans="1:7" ht="13.5" customHeight="1">
      <c r="A44" s="888" t="s">
        <v>793</v>
      </c>
      <c r="B44" s="221" t="s">
        <v>1034</v>
      </c>
      <c r="C44" s="244">
        <f ca="1">ROUND(IF('数据-取费表'!B22&lt;=1,C40*F22*'数据-取费表'!B21/2,C40*(POWER((1+F22),'数据-取费表'!B21/2)-1)),4)</f>
        <v>8.9999999999999998E-4</v>
      </c>
      <c r="D44" s="244"/>
      <c r="E44" s="244"/>
      <c r="F44" s="245"/>
      <c r="G44" s="3446"/>
    </row>
    <row r="45" spans="1:7" s="220" customFormat="1" ht="13.5" customHeight="1">
      <c r="A45" s="885" t="s">
        <v>786</v>
      </c>
      <c r="B45" s="250" t="s">
        <v>112</v>
      </c>
      <c r="C45" s="251">
        <f>C46</f>
        <v>1094</v>
      </c>
      <c r="D45" s="241">
        <f>C47</f>
        <v>3.5999999999999999E-3</v>
      </c>
      <c r="E45" s="242" t="s">
        <v>129</v>
      </c>
      <c r="F45" s="252"/>
      <c r="G45" s="253" t="s">
        <v>1040</v>
      </c>
    </row>
    <row r="46" spans="1:7" s="220" customFormat="1" ht="13.5" customHeight="1">
      <c r="A46" s="888" t="s">
        <v>794</v>
      </c>
      <c r="B46" s="254" t="s">
        <v>1033</v>
      </c>
      <c r="C46" s="255">
        <f>ROUND((C33+C39)*F27,0)</f>
        <v>1094</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8060</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6448</v>
      </c>
      <c r="D51" s="238"/>
      <c r="E51" s="238"/>
      <c r="F51" s="270"/>
      <c r="G51" s="240" t="s">
        <v>64</v>
      </c>
    </row>
    <row r="52" spans="1:7" s="214" customFormat="1" ht="16.8" thickBot="1">
      <c r="A52" s="271" t="s">
        <v>65</v>
      </c>
      <c r="B52" s="272"/>
      <c r="C52" s="273">
        <f ca="1">C31+C51</f>
        <v>35653</v>
      </c>
      <c r="D52" s="272"/>
      <c r="E52" s="272"/>
      <c r="F52" s="272"/>
      <c r="G52" s="274"/>
    </row>
    <row r="55" spans="1:7" ht="15">
      <c r="B55" s="276" t="s">
        <v>66</v>
      </c>
      <c r="C55" s="277"/>
    </row>
    <row r="56" spans="1:7">
      <c r="B56" s="279" t="s">
        <v>67</v>
      </c>
      <c r="C56" s="280">
        <f ca="1">ROUND(C51/C52,3)</f>
        <v>0.18099999999999999</v>
      </c>
    </row>
    <row r="57" spans="1:7">
      <c r="B57" s="279" t="s">
        <v>68</v>
      </c>
      <c r="C57" s="281">
        <f ca="1">1-C56</f>
        <v>0.81899999999999995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62" t="s">
        <v>156</v>
      </c>
      <c r="B1" s="3562"/>
      <c r="C1" s="3562"/>
      <c r="D1" s="3562"/>
      <c r="E1" s="3562"/>
      <c r="F1" s="356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63" t="s">
        <v>169</v>
      </c>
      <c r="B2" s="3563"/>
      <c r="C2" s="3563"/>
      <c r="D2" s="3563"/>
      <c r="E2" s="3563"/>
      <c r="F2" s="356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62" t="s">
        <v>839</v>
      </c>
      <c r="B1" s="3562"/>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44572</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18">
        <v>43941</v>
      </c>
      <c r="D13" s="3019">
        <v>3.85</v>
      </c>
      <c r="E13" s="3019">
        <v>3.85</v>
      </c>
      <c r="F13" s="3019">
        <v>3.85</v>
      </c>
      <c r="G13" s="3019">
        <v>3.85</v>
      </c>
      <c r="H13" s="3019">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4"/>
      <c r="C14" s="3015">
        <v>43881</v>
      </c>
      <c r="D14" s="3014">
        <v>4.05</v>
      </c>
      <c r="E14" s="3014">
        <v>4.05</v>
      </c>
      <c r="F14" s="3014">
        <v>4.05</v>
      </c>
      <c r="G14" s="3014">
        <v>4.05</v>
      </c>
      <c r="H14" s="3014">
        <v>4.75</v>
      </c>
      <c r="I14" s="3014"/>
      <c r="J14" s="301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4"/>
      <c r="C15" s="3015">
        <v>43789</v>
      </c>
      <c r="D15" s="3014">
        <v>4.1500000000000004</v>
      </c>
      <c r="E15" s="3014">
        <v>4.1500000000000004</v>
      </c>
      <c r="F15" s="3014">
        <v>4.1500000000000004</v>
      </c>
      <c r="G15" s="3014">
        <v>4.1500000000000004</v>
      </c>
      <c r="H15" s="3014">
        <v>4.8</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4"/>
      <c r="C16" s="3015">
        <v>43728</v>
      </c>
      <c r="D16" s="3014">
        <v>4.2</v>
      </c>
      <c r="E16" s="3014">
        <v>4.2</v>
      </c>
      <c r="F16" s="3014">
        <v>4.2</v>
      </c>
      <c r="G16" s="3014">
        <v>4.2</v>
      </c>
      <c r="H16" s="3014">
        <v>4.8499999999999996</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3" t="s">
        <v>2993</v>
      </c>
      <c r="C17" s="3016">
        <v>43697</v>
      </c>
      <c r="D17" s="3017">
        <v>4.25</v>
      </c>
      <c r="E17" s="3017">
        <v>4.25</v>
      </c>
      <c r="F17" s="3017">
        <v>4.25</v>
      </c>
      <c r="G17" s="3017">
        <v>4.25</v>
      </c>
      <c r="H17" s="3017">
        <v>4.8499999999999996</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5" customFormat="1" ht="16.8">
      <c r="A18" s="3020"/>
      <c r="B18" s="3021"/>
      <c r="C18" s="3022">
        <v>42301</v>
      </c>
      <c r="D18" s="3023">
        <v>4.3499999999999996</v>
      </c>
      <c r="E18" s="3023">
        <v>4.3499999999999996</v>
      </c>
      <c r="F18" s="3023">
        <v>4.75</v>
      </c>
      <c r="G18" s="3023">
        <v>4.75</v>
      </c>
      <c r="H18" s="3023">
        <v>4.9000000000000004</v>
      </c>
      <c r="I18" s="3023"/>
      <c r="J18" s="3023"/>
      <c r="K18" s="1418"/>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0" sqref="O40"/>
    </sheetView>
  </sheetViews>
  <sheetFormatPr defaultRowHeight="14.4"/>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L32" sqref="L32"/>
    </sheetView>
  </sheetViews>
  <sheetFormatPr defaultRowHeight="14.4"/>
  <cols>
    <col min="1" max="1" width="8.88671875" style="3566"/>
    <col min="2" max="2" width="26" style="3566" customWidth="1"/>
    <col min="3" max="3" width="46.88671875" style="3566" customWidth="1"/>
    <col min="4" max="4" width="12.33203125" style="3566" customWidth="1"/>
    <col min="5" max="5" width="8.88671875" style="3566"/>
    <col min="6" max="7" width="11.6640625" style="3566" bestFit="1" customWidth="1"/>
    <col min="8" max="8" width="11.6640625" style="3566" customWidth="1"/>
    <col min="9" max="9" width="14.5546875" style="3566" customWidth="1"/>
    <col min="10" max="16384" width="8.88671875" style="3566"/>
  </cols>
  <sheetData>
    <row r="1" spans="1:14">
      <c r="B1" s="3567" t="s">
        <v>3192</v>
      </c>
      <c r="C1" s="3567" t="s">
        <v>3194</v>
      </c>
      <c r="D1" s="3567" t="s">
        <v>3211</v>
      </c>
      <c r="E1" s="3567" t="s">
        <v>3209</v>
      </c>
      <c r="F1" s="3567" t="s">
        <v>3195</v>
      </c>
      <c r="H1" s="3567" t="s">
        <v>3216</v>
      </c>
      <c r="I1" s="3567" t="s">
        <v>3210</v>
      </c>
      <c r="J1" s="3567" t="s">
        <v>3197</v>
      </c>
      <c r="K1" s="3567" t="s">
        <v>3204</v>
      </c>
      <c r="L1" s="3567" t="s">
        <v>3203</v>
      </c>
    </row>
    <row r="2" spans="1:14">
      <c r="A2" s="3566">
        <v>1</v>
      </c>
      <c r="B2" s="3567" t="s">
        <v>3193</v>
      </c>
      <c r="C2" s="3567" t="s">
        <v>3215</v>
      </c>
      <c r="D2" s="3570">
        <f>D8-D7-D6</f>
        <v>856.37999999999943</v>
      </c>
      <c r="E2" s="3566">
        <f>1011-E5</f>
        <v>891</v>
      </c>
      <c r="F2" s="3568">
        <v>44490</v>
      </c>
      <c r="G2" s="3568">
        <v>48141</v>
      </c>
      <c r="H2" s="3566">
        <f>I2-H3-H4-H5</f>
        <v>1307.4800000000002</v>
      </c>
      <c r="I2" s="3566">
        <v>1970</v>
      </c>
      <c r="J2" s="3566">
        <f>H2*10000/365/D2</f>
        <v>41.828825828503383</v>
      </c>
      <c r="K2" s="3567" t="s">
        <v>3205</v>
      </c>
      <c r="M2" s="3567">
        <f>SUM(E2:E5)</f>
        <v>6154.79</v>
      </c>
      <c r="N2" s="3566">
        <f>I2*10000/365/M2</f>
        <v>8.7692029687001547</v>
      </c>
    </row>
    <row r="3" spans="1:14">
      <c r="B3" s="3567"/>
      <c r="C3" s="3567" t="s">
        <v>3212</v>
      </c>
      <c r="D3" s="3570">
        <v>1743.79</v>
      </c>
      <c r="E3" s="3566">
        <f>D3+1600</f>
        <v>3343.79</v>
      </c>
      <c r="F3" s="3568"/>
      <c r="G3" s="3568"/>
      <c r="H3" s="3566">
        <f>J3*12*97/10000</f>
        <v>93.12</v>
      </c>
      <c r="J3" s="3566">
        <v>800</v>
      </c>
      <c r="K3" s="3567"/>
      <c r="M3" s="3567"/>
    </row>
    <row r="4" spans="1:14">
      <c r="B4" s="3567"/>
      <c r="C4" s="3567" t="s">
        <v>3213</v>
      </c>
      <c r="D4" s="3570"/>
      <c r="E4" s="3566">
        <v>1800</v>
      </c>
      <c r="F4" s="3568"/>
      <c r="G4" s="3568"/>
      <c r="H4" s="3566">
        <f>J4*365*E4/10000</f>
        <v>525.6</v>
      </c>
      <c r="J4" s="3566">
        <v>8</v>
      </c>
      <c r="K4" s="3567"/>
      <c r="M4" s="3567"/>
    </row>
    <row r="5" spans="1:14">
      <c r="B5" s="3567"/>
      <c r="C5" s="3567" t="s">
        <v>3214</v>
      </c>
      <c r="D5" s="3570"/>
      <c r="E5" s="3566">
        <v>120</v>
      </c>
      <c r="F5" s="3568"/>
      <c r="G5" s="3568"/>
      <c r="H5" s="3566">
        <f>J5*365*E5/10000</f>
        <v>43.8</v>
      </c>
      <c r="J5" s="3566">
        <v>10</v>
      </c>
      <c r="K5" s="3567"/>
      <c r="M5" s="3567"/>
    </row>
    <row r="6" spans="1:14">
      <c r="A6" s="3566">
        <v>2</v>
      </c>
      <c r="C6" s="3567" t="s">
        <v>3196</v>
      </c>
      <c r="D6" s="3570">
        <f>E6</f>
        <v>1211.68</v>
      </c>
      <c r="E6" s="3566">
        <v>1211.68</v>
      </c>
      <c r="F6" s="3568">
        <v>41568</v>
      </c>
      <c r="G6" s="3568">
        <v>45219</v>
      </c>
      <c r="I6" s="3566">
        <f>J6*365*E6/10000</f>
        <v>390.07614240000004</v>
      </c>
      <c r="J6" s="3566">
        <v>8.82</v>
      </c>
      <c r="K6" s="3566">
        <f>J6*E6*365/10000</f>
        <v>390.07614240000004</v>
      </c>
      <c r="L6" s="3569">
        <v>0.05</v>
      </c>
    </row>
    <row r="7" spans="1:14" ht="12" customHeight="1">
      <c r="A7" s="3566">
        <v>3</v>
      </c>
      <c r="B7" s="3567" t="s">
        <v>3198</v>
      </c>
      <c r="D7" s="3566">
        <v>7648</v>
      </c>
      <c r="E7" s="3566">
        <v>11038.2</v>
      </c>
      <c r="F7" s="3568">
        <v>43290</v>
      </c>
      <c r="G7" s="3568">
        <v>47672</v>
      </c>
      <c r="I7" s="3566">
        <v>1911.8</v>
      </c>
      <c r="L7" s="3567">
        <f>5%/3</f>
        <v>1.6666666666666666E-2</v>
      </c>
    </row>
    <row r="8" spans="1:14">
      <c r="D8" s="3566">
        <f>'数据-汇总表'!E19</f>
        <v>9716.06</v>
      </c>
      <c r="E8" s="3566">
        <f>E7+E6+E2</f>
        <v>13140.880000000001</v>
      </c>
    </row>
    <row r="9" spans="1:14">
      <c r="F9" s="3567" t="s">
        <v>3199</v>
      </c>
      <c r="G9" s="3567" t="s">
        <v>3200</v>
      </c>
      <c r="H9" s="3567"/>
      <c r="I9" s="3567" t="s">
        <v>3201</v>
      </c>
      <c r="J9" s="3567" t="s">
        <v>3202</v>
      </c>
    </row>
    <row r="10" spans="1:14">
      <c r="F10" s="3566">
        <v>2140</v>
      </c>
      <c r="G10" s="3566">
        <v>4242</v>
      </c>
      <c r="I10" s="3566">
        <v>1266.5999999999999</v>
      </c>
    </row>
    <row r="13" spans="1:14">
      <c r="I13" s="3566">
        <f>I7+I2+K6</f>
        <v>4271.8761424000004</v>
      </c>
    </row>
    <row r="14" spans="1:14">
      <c r="I14" s="3566">
        <f>I13*10000/E8/365</f>
        <v>8.9063824136212215</v>
      </c>
    </row>
    <row r="15" spans="1:14">
      <c r="K15" s="3566">
        <v>1520</v>
      </c>
    </row>
    <row r="16" spans="1:14">
      <c r="F16" s="3566">
        <f>D7+E6+E2</f>
        <v>9750.68</v>
      </c>
      <c r="K16" s="3566">
        <v>1731.55</v>
      </c>
      <c r="L16" s="3566">
        <f t="shared" ref="L16:L26" si="0">K16/K15</f>
        <v>1.1391776315789472</v>
      </c>
    </row>
    <row r="17" spans="11:12">
      <c r="K17" s="3566">
        <v>1825.8</v>
      </c>
      <c r="L17" s="3566">
        <f t="shared" si="0"/>
        <v>1.0544310011261586</v>
      </c>
    </row>
    <row r="18" spans="11:12">
      <c r="K18" s="3566">
        <v>1911.8</v>
      </c>
      <c r="L18" s="3566">
        <f t="shared" si="0"/>
        <v>1.0471026399386569</v>
      </c>
    </row>
    <row r="19" spans="11:12">
      <c r="K19" s="3566">
        <v>1911.8</v>
      </c>
      <c r="L19" s="3566">
        <f t="shared" si="0"/>
        <v>1</v>
      </c>
    </row>
    <row r="20" spans="11:12">
      <c r="K20" s="3566">
        <v>1911.8</v>
      </c>
      <c r="L20" s="3566">
        <f t="shared" si="0"/>
        <v>1</v>
      </c>
    </row>
    <row r="21" spans="11:12">
      <c r="K21" s="3566">
        <v>2007.4</v>
      </c>
      <c r="L21" s="3566">
        <f t="shared" si="0"/>
        <v>1.0500052306726646</v>
      </c>
    </row>
    <row r="22" spans="11:12">
      <c r="K22" s="3566">
        <v>2007.4</v>
      </c>
      <c r="L22" s="3566">
        <f t="shared" si="0"/>
        <v>1</v>
      </c>
    </row>
    <row r="23" spans="11:12">
      <c r="K23" s="3566">
        <v>2007.4</v>
      </c>
      <c r="L23" s="3566">
        <f t="shared" si="0"/>
        <v>1</v>
      </c>
    </row>
    <row r="24" spans="11:12">
      <c r="K24" s="3566">
        <v>2107.8000000000002</v>
      </c>
      <c r="L24" s="3566">
        <f t="shared" si="0"/>
        <v>1.050014944704593</v>
      </c>
    </row>
    <row r="25" spans="11:12">
      <c r="K25" s="3566">
        <v>2107.8000000000002</v>
      </c>
      <c r="L25" s="3566">
        <f t="shared" si="0"/>
        <v>1</v>
      </c>
    </row>
    <row r="26" spans="11:12">
      <c r="L26" s="3566">
        <f t="shared" si="0"/>
        <v>0</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1545</v>
      </c>
      <c r="B2" s="3241" t="s">
        <v>1546</v>
      </c>
      <c r="C2" s="3241" t="s">
        <v>1547</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6">
      <c r="A3" s="3242"/>
      <c r="B3" s="3242"/>
      <c r="C3" s="3242"/>
      <c r="D3" s="963" t="s">
        <v>1542</v>
      </c>
      <c r="E3" s="963" t="s">
        <v>1548</v>
      </c>
      <c r="F3" s="963" t="s">
        <v>1542</v>
      </c>
      <c r="G3" s="963" t="s">
        <v>1543</v>
      </c>
      <c r="H3" s="963" t="s">
        <v>1542</v>
      </c>
      <c r="I3" s="963" t="s">
        <v>1543</v>
      </c>
    </row>
    <row r="4" spans="1:9" ht="30">
      <c r="A4" s="1660" t="str">
        <f>项目基本情况!S2</f>
        <v>北京市松榆南路52、54、56号房地产</v>
      </c>
      <c r="B4" s="963">
        <f>项目基本情况!C17</f>
        <v>11501.220000000001</v>
      </c>
      <c r="C4" s="963">
        <f>项目基本情况!C18</f>
        <v>732.75</v>
      </c>
      <c r="D4" s="963" t="e">
        <f ca="1">结果表!D118</f>
        <v>#REF!</v>
      </c>
      <c r="E4" s="963" t="e">
        <f ca="1">结果表!E118</f>
        <v>#REF!</v>
      </c>
      <c r="F4" s="963" t="e">
        <f ca="1">结果表!F118</f>
        <v>#REF!</v>
      </c>
      <c r="G4" s="963" t="e">
        <f ca="1">结果表!G118</f>
        <v>#REF!</v>
      </c>
      <c r="H4" s="963">
        <f ca="1">结果表!H118</f>
        <v>40642</v>
      </c>
      <c r="I4" s="963">
        <f ca="1">结果表!I118</f>
        <v>35337</v>
      </c>
    </row>
    <row r="5" spans="1:9" ht="30" customHeight="1">
      <c r="A5" s="3242" t="s">
        <v>1544</v>
      </c>
      <c r="B5" s="3242"/>
      <c r="C5" s="3242"/>
      <c r="D5" s="3243" t="e">
        <f ca="1">结果表!D119</f>
        <v>#REF!</v>
      </c>
      <c r="E5" s="3243"/>
      <c r="F5" s="3243" t="e">
        <f ca="1">结果表!F119</f>
        <v>#REF!</v>
      </c>
      <c r="G5" s="3243"/>
      <c r="H5" s="3243" t="str">
        <f ca="1">结果表!H119</f>
        <v>肆亿零陆佰肆拾贰万元整</v>
      </c>
      <c r="I5" s="3243"/>
    </row>
    <row r="6" spans="1:9" ht="15.6">
      <c r="A6" s="3244" t="str">
        <f>结果表!A120</f>
        <v>估价师知悉的法定优先受偿款</v>
      </c>
      <c r="B6" s="3244"/>
      <c r="C6" s="3244"/>
      <c r="D6" s="3244">
        <f>结果表!D120</f>
        <v>0</v>
      </c>
      <c r="E6" s="3244"/>
      <c r="F6" s="3244"/>
      <c r="G6" s="3244"/>
      <c r="H6" s="3244"/>
      <c r="I6" s="3244"/>
    </row>
    <row r="7" spans="1:9" ht="15">
      <c r="A7" s="3242" t="s">
        <v>1544</v>
      </c>
      <c r="B7" s="3242"/>
      <c r="C7" s="3242"/>
      <c r="D7" s="3245" t="str">
        <f>结果表!D121</f>
        <v>零元整</v>
      </c>
      <c r="E7" s="3246"/>
      <c r="F7" s="3246"/>
      <c r="G7" s="3246"/>
      <c r="H7" s="3246"/>
      <c r="I7" s="3247"/>
    </row>
    <row r="8" spans="1:9" ht="15.6">
      <c r="A8" s="3244" t="str">
        <f>结果表!A122</f>
        <v>房地产抵押价值</v>
      </c>
      <c r="B8" s="3244"/>
      <c r="C8" s="3244"/>
      <c r="D8" s="3244">
        <f ca="1">结果表!D122</f>
        <v>40642</v>
      </c>
      <c r="E8" s="3244"/>
      <c r="F8" s="3244"/>
      <c r="G8" s="3244"/>
      <c r="H8" s="3244"/>
      <c r="I8" s="3244"/>
    </row>
    <row r="9" spans="1:9" ht="15">
      <c r="A9" s="3242" t="s">
        <v>1544</v>
      </c>
      <c r="B9" s="3242"/>
      <c r="C9" s="3242"/>
      <c r="D9" s="3243" t="str">
        <f ca="1">结果表!D123</f>
        <v>肆亿零陆佰肆拾贰万元整</v>
      </c>
      <c r="E9" s="3243"/>
      <c r="F9" s="3243"/>
      <c r="G9" s="3243"/>
      <c r="H9" s="3243"/>
      <c r="I9" s="3243"/>
    </row>
    <row r="10" spans="1:9" ht="15.6">
      <c r="A10" s="3244" t="str">
        <f>结果表!A124</f>
        <v/>
      </c>
      <c r="B10" s="3244"/>
      <c r="C10" s="3244"/>
      <c r="D10" s="3244" t="str">
        <f>结果表!D124</f>
        <v>——</v>
      </c>
      <c r="E10" s="3244"/>
      <c r="F10" s="3244"/>
      <c r="G10" s="3244"/>
      <c r="H10" s="3244"/>
      <c r="I10" s="3244"/>
    </row>
    <row r="11" spans="1:9" ht="15">
      <c r="A11" s="3242" t="s">
        <v>1544</v>
      </c>
      <c r="B11" s="3242"/>
      <c r="C11" s="3242"/>
      <c r="D11" s="3243" t="e">
        <f>结果表!D125</f>
        <v>#VALUE!</v>
      </c>
      <c r="E11" s="3243"/>
      <c r="F11" s="3243"/>
      <c r="G11" s="3243"/>
      <c r="H11" s="3243"/>
      <c r="I11" s="3243"/>
    </row>
    <row r="12" spans="1:9" ht="15.6">
      <c r="A12" s="3244" t="str">
        <f>结果表!A126</f>
        <v/>
      </c>
      <c r="B12" s="3244"/>
      <c r="C12" s="3244"/>
      <c r="D12" s="3244" t="str">
        <f>结果表!D126</f>
        <v>——</v>
      </c>
      <c r="E12" s="3244"/>
      <c r="F12" s="3244"/>
      <c r="G12" s="3244"/>
      <c r="H12" s="3244"/>
      <c r="I12" s="3244"/>
    </row>
    <row r="13" spans="1:9" ht="15.6" thickBot="1">
      <c r="A13" s="3248" t="s">
        <v>1544</v>
      </c>
      <c r="B13" s="3248"/>
      <c r="C13" s="3248"/>
      <c r="D13" s="3249" t="e">
        <f>结果表!D127</f>
        <v>#VALUE!</v>
      </c>
      <c r="E13" s="3249"/>
      <c r="F13" s="3249"/>
      <c r="G13" s="3249"/>
      <c r="H13" s="3249"/>
      <c r="I13" s="3249"/>
    </row>
    <row r="14" spans="1:9" ht="14.4" thickTop="1">
      <c r="A14" s="3250" t="s">
        <v>1549</v>
      </c>
      <c r="B14" s="3250"/>
      <c r="C14" s="3250"/>
      <c r="D14" s="3250"/>
      <c r="E14" s="3250"/>
      <c r="F14" s="3250"/>
      <c r="G14" s="3250"/>
      <c r="H14" s="3250"/>
      <c r="I14" s="3250"/>
    </row>
    <row r="16" spans="1:9" ht="17.399999999999999">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51" t="s">
        <v>1566</v>
      </c>
      <c r="B1" s="3251"/>
      <c r="C1" s="3251"/>
      <c r="D1" s="3251"/>
    </row>
    <row r="2" spans="1:4" ht="17.399999999999999">
      <c r="A2" s="3252" t="s">
        <v>1550</v>
      </c>
      <c r="B2" s="3252"/>
      <c r="C2" s="3252"/>
      <c r="D2" s="3252"/>
    </row>
    <row r="3" spans="1:4" ht="17.399999999999999">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7.399999999999999">
      <c r="A6" s="3252" t="s">
        <v>1556</v>
      </c>
      <c r="B6" s="3252"/>
      <c r="C6" s="3252"/>
      <c r="D6" s="3252"/>
    </row>
    <row r="7" spans="1:4" ht="17.399999999999999">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7.399999999999999">
      <c r="A10" s="1671" t="s">
        <v>1558</v>
      </c>
      <c r="B10" s="684"/>
      <c r="C10" s="684"/>
      <c r="D10" s="684"/>
    </row>
    <row r="11" spans="1:4" ht="30" customHeight="1">
      <c r="A11" s="3253" t="s">
        <v>1559</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5"/>
      <c r="C12" s="3255"/>
      <c r="D12" s="3255"/>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5"/>
      <c r="C13" s="3255"/>
      <c r="D13" s="3255"/>
    </row>
    <row r="14" spans="1:4" ht="15.75" customHeight="1">
      <c r="A14" s="3254" t="str">
        <f>IF(项目基本情况!B8="抵押","4.本次评估估价师所知悉的法定优先受偿款情况说明如下：","——")</f>
        <v>4.本次评估估价师所知悉的法定优先受偿款情况说明如下：</v>
      </c>
      <c r="B14" s="3255"/>
      <c r="C14" s="3255"/>
      <c r="D14" s="3255"/>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7" t="s">
        <v>1560</v>
      </c>
      <c r="B16" s="3257"/>
      <c r="C16" s="3257"/>
      <c r="D16" s="3257"/>
    </row>
    <row r="17" spans="1:4" ht="144" customHeight="1">
      <c r="A17" s="3257" t="s">
        <v>1561</v>
      </c>
      <c r="B17" s="3257"/>
      <c r="C17" s="3257"/>
      <c r="D17" s="3257"/>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8"/>
      <c r="C21" s="3258"/>
      <c r="D21" s="3258"/>
    </row>
    <row r="22" spans="1:4" ht="18.75" customHeight="1">
      <c r="A22" s="3259" t="s">
        <v>1562</v>
      </c>
      <c r="B22" s="3259"/>
      <c r="C22" s="3259"/>
      <c r="D22" s="3259"/>
    </row>
    <row r="23" spans="1:4">
      <c r="A23" s="1672"/>
      <c r="B23" s="1644"/>
      <c r="C23" s="1644"/>
      <c r="D23" s="1644"/>
    </row>
    <row r="24" spans="1:4">
      <c r="A24" s="1672"/>
      <c r="B24" s="1644"/>
      <c r="C24" s="1644"/>
      <c r="D24" s="1644"/>
    </row>
    <row r="25" spans="1:4" ht="17.399999999999999">
      <c r="A25" s="1673" t="s">
        <v>1563</v>
      </c>
    </row>
    <row r="26" spans="1:4" ht="17.399999999999999">
      <c r="A26" s="1642"/>
    </row>
    <row r="27" spans="1:4" ht="17.399999999999999">
      <c r="A27" s="1642" t="s">
        <v>1564</v>
      </c>
    </row>
    <row r="30" spans="1:4" ht="17.399999999999999">
      <c r="D30" s="1673" t="s">
        <v>1565</v>
      </c>
    </row>
    <row r="31" spans="1:4" ht="13.5" customHeight="1">
      <c r="C31" s="3256">
        <v>42551</v>
      </c>
      <c r="D31" s="32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4.4">
      <c r="A15" s="3265" t="s">
        <v>1573</v>
      </c>
      <c r="B15" s="3260" t="s">
        <v>136</v>
      </c>
      <c r="C15" s="3261"/>
    </row>
    <row r="16" spans="1:7" ht="14.4">
      <c r="A16" s="3266"/>
      <c r="B16" s="3260" t="s">
        <v>69</v>
      </c>
      <c r="C16" s="3261"/>
    </row>
    <row r="17" spans="1:3" ht="14.4">
      <c r="A17" s="3266"/>
      <c r="B17" s="3263" t="s">
        <v>1574</v>
      </c>
      <c r="C17" s="1687" t="s">
        <v>1573</v>
      </c>
    </row>
    <row r="18" spans="1:3" ht="14.4">
      <c r="A18" s="3266"/>
      <c r="B18" s="3263"/>
      <c r="C18" s="1687" t="s">
        <v>1575</v>
      </c>
    </row>
    <row r="19" spans="1:3" ht="14.4">
      <c r="A19" s="3266"/>
      <c r="B19" s="3263"/>
      <c r="C19" s="1687" t="s">
        <v>1576</v>
      </c>
    </row>
    <row r="20" spans="1:3" ht="14.4">
      <c r="A20" s="3267"/>
      <c r="B20" s="3262" t="s">
        <v>1577</v>
      </c>
      <c r="C20" s="3261"/>
    </row>
    <row r="21" spans="1:3" ht="14.4">
      <c r="A21" s="1688" t="s">
        <v>1578</v>
      </c>
      <c r="B21" s="1689"/>
      <c r="C21" s="1690"/>
    </row>
    <row r="22" spans="1:3" ht="14.4">
      <c r="A22" s="3264" t="s">
        <v>1579</v>
      </c>
      <c r="B22" s="3262" t="s">
        <v>1580</v>
      </c>
      <c r="C22" s="3261"/>
    </row>
    <row r="23" spans="1:3" ht="14.4">
      <c r="A23" s="3264"/>
      <c r="B23" s="3262" t="s">
        <v>1581</v>
      </c>
      <c r="C23" s="3261"/>
    </row>
    <row r="24" spans="1:3" ht="14.4">
      <c r="A24" s="3264"/>
      <c r="B24" s="3262" t="s">
        <v>1582</v>
      </c>
      <c r="C24" s="3261"/>
    </row>
    <row r="25" spans="1:3" ht="14.4">
      <c r="A25" s="3264"/>
      <c r="B25" s="3263" t="s">
        <v>1583</v>
      </c>
      <c r="C25" s="1687" t="s">
        <v>1584</v>
      </c>
    </row>
    <row r="26" spans="1:3" ht="14.4">
      <c r="A26" s="3264"/>
      <c r="B26" s="3263"/>
      <c r="C26" s="1687" t="s">
        <v>1585</v>
      </c>
    </row>
    <row r="27" spans="1:3" ht="14.4">
      <c r="A27" s="3264"/>
      <c r="B27" s="3263"/>
      <c r="C27" s="1687" t="s">
        <v>1586</v>
      </c>
    </row>
    <row r="28" spans="1:3" ht="14.4">
      <c r="A28" s="3264"/>
      <c r="B28" s="3263"/>
      <c r="C28" s="1687" t="s">
        <v>1587</v>
      </c>
    </row>
    <row r="29" spans="1:3" ht="14.4">
      <c r="A29" s="3264"/>
      <c r="B29" s="3263"/>
      <c r="C29" s="1687" t="s">
        <v>1588</v>
      </c>
    </row>
    <row r="30" spans="1:3" ht="14.4">
      <c r="A30" s="3264"/>
      <c r="B30" s="3263"/>
      <c r="C30" s="1687" t="s">
        <v>1589</v>
      </c>
    </row>
    <row r="31" spans="1:3" ht="14.4">
      <c r="A31" s="3264"/>
      <c r="B31" s="3263"/>
      <c r="C31" s="1687" t="s">
        <v>1590</v>
      </c>
    </row>
    <row r="32" spans="1:3" ht="14.4">
      <c r="A32" s="3264"/>
      <c r="B32" s="3263"/>
      <c r="C32" s="1687" t="s">
        <v>1591</v>
      </c>
    </row>
    <row r="33" spans="1:3" ht="14.4">
      <c r="A33" s="3264"/>
      <c r="B33" s="3263"/>
      <c r="C33" s="1687" t="s">
        <v>1592</v>
      </c>
    </row>
    <row r="34" spans="1:3">
      <c r="A34" s="1691" t="s">
        <v>76</v>
      </c>
    </row>
    <row r="37" spans="1:3">
      <c r="A37" s="1691" t="s">
        <v>1593</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2818</v>
      </c>
      <c r="B2" s="2532">
        <f ca="1">TODAY()</f>
        <v>44582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8" t="s">
        <v>2839</v>
      </c>
      <c r="B17" s="3268"/>
      <c r="C17" s="3268"/>
      <c r="D17" s="3268"/>
      <c r="E17" s="3268"/>
      <c r="F17" s="3268"/>
      <c r="G17" s="3268"/>
      <c r="H17" s="3268"/>
    </row>
    <row r="18" spans="1:8" ht="24" customHeight="1">
      <c r="A18" s="3269" t="s">
        <v>2840</v>
      </c>
      <c r="B18" s="3269"/>
      <c r="C18" s="3269"/>
      <c r="D18" s="2536"/>
      <c r="E18" s="3270" t="s">
        <v>2841</v>
      </c>
      <c r="F18" s="3269"/>
      <c r="G18" s="3269"/>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收益法-车位</vt:lpstr>
      <vt:lpstr>典型户型修正</vt:lpstr>
      <vt:lpstr>成本法（废）</vt:lpstr>
      <vt:lpstr>区片价</vt:lpstr>
      <vt:lpstr>因素修正幅度</vt:lpstr>
      <vt:lpstr>存贷款利率</vt:lpstr>
      <vt:lpstr>区片价（范围）</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2022-01-21T03:31:54Z</dcterms:modified>
</cp:coreProperties>
</file>