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2"/>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7B38CBA8-74DF-7C4B-8DB5-54CC3E209F53}" xr6:coauthVersionLast="44" xr6:coauthVersionMax="44" xr10:uidLastSave="{00000000-0000-0000-0000-000000000000}"/>
  <bookViews>
    <workbookView xWindow="0" yWindow="460" windowWidth="23040" windowHeight="12720" tabRatio="899" firstSheet="2" activeTab="17"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酒店收入计算" sheetId="66"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2">'基准地价修正-办公'!$Q$19:$AD$19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7" i="77" l="1"/>
  <c r="J7" i="77"/>
  <c r="D31" i="77"/>
  <c r="D32" i="77"/>
  <c r="H16" i="74"/>
  <c r="H15" i="74"/>
  <c r="D3" i="66"/>
  <c r="I3" i="66"/>
  <c r="I4" i="66"/>
  <c r="I5" i="66"/>
  <c r="I6" i="66"/>
  <c r="I7" i="66"/>
  <c r="I8" i="66"/>
  <c r="I9" i="66"/>
  <c r="I10" i="66"/>
  <c r="C28" i="66"/>
  <c r="I21" i="66"/>
  <c r="C29" i="66"/>
  <c r="C27" i="66"/>
  <c r="C30" i="66"/>
  <c r="C31" i="66"/>
  <c r="C32" i="66"/>
  <c r="E26" i="66"/>
  <c r="U6" i="1"/>
  <c r="G2" i="78"/>
  <c r="I2" i="78"/>
  <c r="N7" i="78"/>
  <c r="F59" i="78"/>
  <c r="H60" i="78"/>
  <c r="G60" i="78"/>
  <c r="H61" i="78"/>
  <c r="G61" i="78"/>
  <c r="H62" i="78"/>
  <c r="G62" i="78"/>
  <c r="H63" i="78"/>
  <c r="G63" i="78"/>
  <c r="H64" i="78"/>
  <c r="G64" i="78"/>
  <c r="H65" i="78"/>
  <c r="G65" i="78"/>
  <c r="H66" i="78"/>
  <c r="G66" i="78"/>
  <c r="H67" i="78"/>
  <c r="G67" i="78"/>
  <c r="H59" i="78"/>
  <c r="G59" i="78"/>
  <c r="D29" i="78"/>
  <c r="F113" i="78"/>
  <c r="L99" i="78"/>
  <c r="L108" i="78"/>
  <c r="H99" i="78"/>
  <c r="H108" i="78"/>
  <c r="D99" i="78"/>
  <c r="D108" i="78"/>
  <c r="L100" i="78"/>
  <c r="H100" i="78"/>
  <c r="D100" i="78"/>
  <c r="N99" i="78"/>
  <c r="N108" i="78"/>
  <c r="M99" i="78"/>
  <c r="K99" i="78"/>
  <c r="J99" i="78"/>
  <c r="J108" i="78"/>
  <c r="I99" i="78"/>
  <c r="G99" i="78"/>
  <c r="F99" i="78"/>
  <c r="F108" i="78"/>
  <c r="E99" i="78"/>
  <c r="C99" i="78"/>
  <c r="M88" i="78"/>
  <c r="N88" i="78"/>
  <c r="K88" i="78"/>
  <c r="J88" i="78"/>
  <c r="D88" i="78"/>
  <c r="G18" i="20"/>
  <c r="B88" i="78"/>
  <c r="M87" i="78"/>
  <c r="N87" i="78"/>
  <c r="K87" i="78"/>
  <c r="J87" i="78"/>
  <c r="D87" i="78"/>
  <c r="M86" i="78"/>
  <c r="N86" i="78"/>
  <c r="K86" i="78"/>
  <c r="J86" i="78"/>
  <c r="D86" i="78"/>
  <c r="G20" i="20"/>
  <c r="B86" i="78"/>
  <c r="M85" i="78"/>
  <c r="N85" i="78"/>
  <c r="K85" i="78"/>
  <c r="J85" i="78"/>
  <c r="D85" i="78"/>
  <c r="G19" i="20"/>
  <c r="B85" i="78"/>
  <c r="M84" i="78"/>
  <c r="N84" i="78"/>
  <c r="K84" i="78"/>
  <c r="J84" i="78"/>
  <c r="D84" i="78"/>
  <c r="B84" i="78"/>
  <c r="M83" i="78"/>
  <c r="N83" i="78"/>
  <c r="K83" i="78"/>
  <c r="J83" i="78"/>
  <c r="D83" i="78"/>
  <c r="B83" i="78"/>
  <c r="M82" i="78"/>
  <c r="N82" i="78"/>
  <c r="K82" i="78"/>
  <c r="J82" i="78"/>
  <c r="D82" i="78"/>
  <c r="G16" i="20"/>
  <c r="B82" i="78"/>
  <c r="M81" i="78"/>
  <c r="N81" i="78"/>
  <c r="K81" i="78"/>
  <c r="J81" i="78"/>
  <c r="F81" i="78"/>
  <c r="H81" i="78"/>
  <c r="H87" i="78"/>
  <c r="D81" i="78"/>
  <c r="E81" i="78"/>
  <c r="B79" i="78"/>
  <c r="G15" i="20"/>
  <c r="B81" i="78"/>
  <c r="M78" i="78"/>
  <c r="N78" i="78"/>
  <c r="K78" i="78"/>
  <c r="J78" i="78"/>
  <c r="D78" i="78"/>
  <c r="M77" i="78"/>
  <c r="N77" i="78"/>
  <c r="K77" i="78"/>
  <c r="J77" i="78"/>
  <c r="D77" i="78"/>
  <c r="C20" i="20"/>
  <c r="B77" i="78"/>
  <c r="M76" i="78"/>
  <c r="N76" i="78"/>
  <c r="K76" i="78"/>
  <c r="J76" i="78"/>
  <c r="D76" i="78"/>
  <c r="M75" i="78"/>
  <c r="N75" i="78"/>
  <c r="K75" i="78"/>
  <c r="J75" i="78"/>
  <c r="D75" i="78"/>
  <c r="C22" i="20"/>
  <c r="B75" i="78"/>
  <c r="M74" i="78"/>
  <c r="N74" i="78"/>
  <c r="K74" i="78"/>
  <c r="J74" i="78"/>
  <c r="D74" i="78"/>
  <c r="C21" i="20"/>
  <c r="B74" i="78"/>
  <c r="M73" i="78"/>
  <c r="N73" i="78"/>
  <c r="K73" i="78"/>
  <c r="J73" i="78"/>
  <c r="D73" i="78"/>
  <c r="C24" i="20"/>
  <c r="B73" i="78"/>
  <c r="M72" i="78"/>
  <c r="N72" i="78"/>
  <c r="K72" i="78"/>
  <c r="J72" i="78"/>
  <c r="D72" i="78"/>
  <c r="B72" i="78"/>
  <c r="M71" i="78"/>
  <c r="N71" i="78"/>
  <c r="K71" i="78"/>
  <c r="J71" i="78"/>
  <c r="D71" i="78"/>
  <c r="C18" i="20"/>
  <c r="B71" i="78"/>
  <c r="M70" i="78"/>
  <c r="N70" i="78"/>
  <c r="K70" i="78"/>
  <c r="J70" i="78"/>
  <c r="F70" i="78"/>
  <c r="H76" i="78"/>
  <c r="D70" i="78"/>
  <c r="E70" i="78"/>
  <c r="B68" i="78"/>
  <c r="C15" i="20"/>
  <c r="B70" i="78"/>
  <c r="M67" i="78"/>
  <c r="N67" i="78"/>
  <c r="K67" i="78"/>
  <c r="J67" i="78"/>
  <c r="D67" i="78"/>
  <c r="B67" i="78"/>
  <c r="M66" i="78"/>
  <c r="N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B61" i="78"/>
  <c r="M60" i="78"/>
  <c r="N60" i="78"/>
  <c r="K60" i="78"/>
  <c r="J60" i="78"/>
  <c r="D60" i="78"/>
  <c r="B60" i="78"/>
  <c r="M59" i="78"/>
  <c r="N59" i="78"/>
  <c r="K59" i="78"/>
  <c r="J59" i="78"/>
  <c r="D59" i="78"/>
  <c r="C17" i="20"/>
  <c r="B59" i="78"/>
  <c r="D56" i="78"/>
  <c r="B56" i="78"/>
  <c r="B55" i="78"/>
  <c r="D54" i="78"/>
  <c r="B54" i="78"/>
  <c r="B52" i="78"/>
  <c r="B50" i="78"/>
  <c r="B49" i="78"/>
  <c r="D48" i="78"/>
  <c r="B48" i="78"/>
  <c r="H39" i="78"/>
  <c r="H38" i="78"/>
  <c r="H37" i="78"/>
  <c r="H36" i="78"/>
  <c r="H35" i="78"/>
  <c r="H34" i="78"/>
  <c r="H33" i="78"/>
  <c r="J20" i="78"/>
  <c r="O26" i="71"/>
  <c r="C27" i="71"/>
  <c r="O27" i="71"/>
  <c r="C28" i="71"/>
  <c r="O28" i="71"/>
  <c r="C29" i="71"/>
  <c r="D29" i="71"/>
  <c r="M19" i="78"/>
  <c r="I19" i="78"/>
  <c r="B2" i="1"/>
  <c r="G19"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78"/>
  <c r="C18" i="78"/>
  <c r="F15" i="78"/>
  <c r="E15" i="78"/>
  <c r="D15" i="78"/>
  <c r="C15" i="78"/>
  <c r="AJ9" i="78"/>
  <c r="AJ12" i="78"/>
  <c r="AH9" i="78"/>
  <c r="AH12" i="78"/>
  <c r="AF9" i="78"/>
  <c r="AF12" i="78"/>
  <c r="AD9" i="78"/>
  <c r="AD12" i="78"/>
  <c r="AB9" i="78"/>
  <c r="AB12" i="78"/>
  <c r="Z9" i="78"/>
  <c r="Z12" i="78"/>
  <c r="Y12" i="78"/>
  <c r="D6" i="77"/>
  <c r="I13" i="3"/>
  <c r="D5" i="77"/>
  <c r="D11" i="77"/>
  <c r="D17" i="77"/>
  <c r="D24" i="77"/>
  <c r="D27" i="77"/>
  <c r="D28" i="77"/>
  <c r="I14" i="3"/>
  <c r="I5" i="3"/>
  <c r="AD5" i="3"/>
  <c r="AH5" i="3"/>
  <c r="AL5" i="3"/>
  <c r="J5" i="3"/>
  <c r="K14"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78"/>
  <c r="Y11" i="78"/>
  <c r="Y13" i="78"/>
  <c r="C12" i="78"/>
  <c r="AI11" i="78"/>
  <c r="AG11" i="78"/>
  <c r="AE11" i="78"/>
  <c r="AC11" i="78"/>
  <c r="AA11" i="78"/>
  <c r="Y10" i="78"/>
  <c r="C10" i="78"/>
  <c r="C11" i="78"/>
  <c r="AJ10" i="78"/>
  <c r="AI9" i="78"/>
  <c r="AI10" i="78"/>
  <c r="AH10" i="78"/>
  <c r="AG9" i="78"/>
  <c r="AG10" i="78"/>
  <c r="AF10" i="78"/>
  <c r="AE9" i="78"/>
  <c r="AE10" i="78"/>
  <c r="AD10" i="78"/>
  <c r="AC9" i="78"/>
  <c r="AC10" i="78"/>
  <c r="AB10" i="78"/>
  <c r="AA9" i="78"/>
  <c r="AA10" i="78"/>
  <c r="Z10" i="78"/>
  <c r="C9" i="78"/>
  <c r="C7" i="78"/>
  <c r="A7" i="78"/>
  <c r="N12" i="78"/>
  <c r="X7" i="78"/>
  <c r="M1" i="78"/>
  <c r="D1" i="78"/>
  <c r="G2" i="43"/>
  <c r="I2" i="43"/>
  <c r="N7" i="43"/>
  <c r="F48" i="43"/>
  <c r="H49" i="43"/>
  <c r="G49" i="43"/>
  <c r="H50" i="43"/>
  <c r="G50" i="43"/>
  <c r="H51" i="43"/>
  <c r="G51" i="43"/>
  <c r="H52" i="43"/>
  <c r="G52" i="43"/>
  <c r="H53" i="43"/>
  <c r="G53" i="43"/>
  <c r="H54" i="43"/>
  <c r="G54" i="43"/>
  <c r="H55" i="43"/>
  <c r="G55" i="43"/>
  <c r="H56" i="43"/>
  <c r="G56" i="43"/>
  <c r="H48" i="43"/>
  <c r="G48" i="43"/>
  <c r="D29" i="43"/>
  <c r="F19" i="6"/>
  <c r="C19" i="6"/>
  <c r="F27" i="77"/>
  <c r="F24" i="77"/>
  <c r="F20" i="77"/>
  <c r="F18" i="77"/>
  <c r="F15" i="77"/>
  <c r="F13" i="77"/>
  <c r="F10" i="77"/>
  <c r="F8" i="77"/>
  <c r="D61" i="78"/>
  <c r="E59" i="78"/>
  <c r="B57" i="78"/>
  <c r="S3" i="78"/>
  <c r="S6" i="78"/>
  <c r="S5" i="78"/>
  <c r="E9" i="78"/>
  <c r="E8" i="78"/>
  <c r="E11" i="78"/>
  <c r="E10" i="78"/>
  <c r="N2" i="78"/>
  <c r="M3" i="78"/>
  <c r="N4" i="78"/>
  <c r="M6" i="78"/>
  <c r="N1" i="78"/>
  <c r="H113" i="78"/>
  <c r="F39" i="78"/>
  <c r="F38" i="78"/>
  <c r="F37" i="78"/>
  <c r="F36" i="78"/>
  <c r="F35" i="78"/>
  <c r="F34" i="78"/>
  <c r="F33" i="78"/>
  <c r="M2" i="78"/>
  <c r="S2" i="78"/>
  <c r="B113" i="78"/>
  <c r="M101" i="78"/>
  <c r="K101" i="78"/>
  <c r="I101" i="78"/>
  <c r="G101" i="78"/>
  <c r="E101" i="78"/>
  <c r="C101" i="78"/>
  <c r="L101" i="78"/>
  <c r="H101" i="78"/>
  <c r="D101" i="78"/>
  <c r="N101" i="78"/>
  <c r="J101" i="78"/>
  <c r="F101" i="78"/>
  <c r="C23" i="78"/>
  <c r="J22" i="78"/>
  <c r="G22" i="78"/>
  <c r="E22" i="78"/>
  <c r="N3" i="78"/>
  <c r="M4" i="78"/>
  <c r="S4" i="78"/>
  <c r="N5" i="78"/>
  <c r="N6" i="78"/>
  <c r="M7" i="78"/>
  <c r="C6" i="78"/>
  <c r="S7" i="78"/>
  <c r="Z7" i="78"/>
  <c r="M8" i="78"/>
  <c r="M9" i="78"/>
  <c r="N10" i="78"/>
  <c r="N11" i="78"/>
  <c r="Z11" i="78"/>
  <c r="Z13" i="78"/>
  <c r="AB11" i="78"/>
  <c r="AB13" i="78"/>
  <c r="AD11" i="78"/>
  <c r="AD13" i="78"/>
  <c r="AF11" i="78"/>
  <c r="AF13" i="78"/>
  <c r="AH11" i="78"/>
  <c r="AH13" i="78"/>
  <c r="AJ11" i="78"/>
  <c r="AJ13" i="78"/>
  <c r="M12" i="78"/>
  <c r="AA12" i="78"/>
  <c r="AA13" i="78"/>
  <c r="AC12" i="78"/>
  <c r="AC13" i="78"/>
  <c r="AE12" i="78"/>
  <c r="AE13" i="78"/>
  <c r="AG12" i="78"/>
  <c r="AG13" i="78"/>
  <c r="AI12" i="78"/>
  <c r="AI13" i="78"/>
  <c r="D17" i="78"/>
  <c r="I17" i="78"/>
  <c r="K17" i="78"/>
  <c r="M17" i="78"/>
  <c r="O17" i="78"/>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C19" i="78"/>
  <c r="O19" i="78"/>
  <c r="F22" i="78"/>
  <c r="P22" i="78"/>
  <c r="F109" i="78"/>
  <c r="J109" i="78"/>
  <c r="N109" i="78"/>
  <c r="D109" i="78"/>
  <c r="L109" i="78"/>
  <c r="M5" i="78"/>
  <c r="F48" i="78"/>
  <c r="N8" i="78"/>
  <c r="N9" i="78"/>
  <c r="M10" i="78"/>
  <c r="M11" i="78"/>
  <c r="C17" i="78"/>
  <c r="H17" i="78"/>
  <c r="J17" i="78"/>
  <c r="L17" i="78"/>
  <c r="N17" i="78"/>
  <c r="P25" i="78"/>
  <c r="P21" i="78"/>
  <c r="B13" i="71"/>
  <c r="B12" i="71"/>
  <c r="B11" i="71"/>
  <c r="B10" i="71"/>
  <c r="B9" i="71"/>
  <c r="B8" i="71"/>
  <c r="B7" i="71"/>
  <c r="B6" i="71"/>
  <c r="B5" i="71"/>
  <c r="C13" i="71"/>
  <c r="C12" i="71"/>
  <c r="C11" i="71"/>
  <c r="C10" i="71"/>
  <c r="C9" i="71"/>
  <c r="C8" i="71"/>
  <c r="C7" i="71"/>
  <c r="C6" i="71"/>
  <c r="C5" i="71"/>
  <c r="D5" i="71"/>
  <c r="E13" i="71"/>
  <c r="E12" i="71"/>
  <c r="E11" i="71"/>
  <c r="E10" i="71"/>
  <c r="E9" i="71"/>
  <c r="E8" i="71"/>
  <c r="E7" i="71"/>
  <c r="E6" i="71"/>
  <c r="E5" i="71"/>
  <c r="F13" i="71"/>
  <c r="F12" i="71"/>
  <c r="F11" i="71"/>
  <c r="F10" i="71"/>
  <c r="F9" i="71"/>
  <c r="F8" i="71"/>
  <c r="F7" i="71"/>
  <c r="F6" i="71"/>
  <c r="F5" i="71"/>
  <c r="D6" i="71"/>
  <c r="D7" i="71"/>
  <c r="D8" i="71"/>
  <c r="D9" i="71"/>
  <c r="D10" i="71"/>
  <c r="D11" i="71"/>
  <c r="D12" i="71"/>
  <c r="D13" i="71"/>
  <c r="D14" i="71"/>
  <c r="B17" i="71"/>
  <c r="B16" i="71"/>
  <c r="B15" i="71"/>
  <c r="C17" i="71"/>
  <c r="C16" i="71"/>
  <c r="C15" i="71"/>
  <c r="D15" i="71"/>
  <c r="E17" i="71"/>
  <c r="E16" i="71"/>
  <c r="E15" i="71"/>
  <c r="F17" i="71"/>
  <c r="F16" i="71"/>
  <c r="F15" i="71"/>
  <c r="D16" i="71"/>
  <c r="D17" i="71"/>
  <c r="D18" i="71"/>
  <c r="B19" i="71"/>
  <c r="C19" i="71"/>
  <c r="D19" i="71"/>
  <c r="E19" i="71"/>
  <c r="F19" i="71"/>
  <c r="B20" i="71"/>
  <c r="C20" i="71"/>
  <c r="D20" i="71"/>
  <c r="E20" i="71"/>
  <c r="F20" i="71"/>
  <c r="B21" i="71"/>
  <c r="C21" i="71"/>
  <c r="D21" i="71"/>
  <c r="E21" i="71"/>
  <c r="F21" i="71"/>
  <c r="D22" i="71"/>
  <c r="B23" i="71"/>
  <c r="C23" i="71"/>
  <c r="D23" i="71"/>
  <c r="E23" i="71"/>
  <c r="F23" i="71"/>
  <c r="B24" i="71"/>
  <c r="C24" i="71"/>
  <c r="D24" i="71"/>
  <c r="E24" i="71"/>
  <c r="F24" i="71"/>
  <c r="B25" i="71"/>
  <c r="C25" i="71"/>
  <c r="D25" i="71"/>
  <c r="E25" i="71"/>
  <c r="F25" i="71"/>
  <c r="D26" i="71"/>
  <c r="B27" i="71"/>
  <c r="D27" i="71"/>
  <c r="E27" i="71"/>
  <c r="F27" i="71"/>
  <c r="B28" i="71"/>
  <c r="D28" i="71"/>
  <c r="E28" i="71"/>
  <c r="F28" i="71"/>
  <c r="B29" i="71"/>
  <c r="E29" i="71"/>
  <c r="F29" i="71"/>
  <c r="M20" i="78"/>
  <c r="H22" i="78"/>
  <c r="P23" i="78"/>
  <c r="H109" i="78"/>
  <c r="H70" i="78"/>
  <c r="H72" i="78"/>
  <c r="H74" i="78"/>
  <c r="H77" i="78"/>
  <c r="H78" i="78"/>
  <c r="H83" i="78"/>
  <c r="H85" i="78"/>
  <c r="H88" i="78"/>
  <c r="F100" i="78"/>
  <c r="J100" i="78"/>
  <c r="N100" i="78"/>
  <c r="H71" i="78"/>
  <c r="H73" i="78"/>
  <c r="H75" i="78"/>
  <c r="H82" i="78"/>
  <c r="H84" i="78"/>
  <c r="H86" i="78"/>
  <c r="C108" i="78"/>
  <c r="C109" i="78"/>
  <c r="C100" i="78"/>
  <c r="E108" i="78"/>
  <c r="E109" i="78"/>
  <c r="E100" i="78"/>
  <c r="G108" i="78"/>
  <c r="G109" i="78"/>
  <c r="G100" i="78"/>
  <c r="I108" i="78"/>
  <c r="I109" i="78"/>
  <c r="I100" i="78"/>
  <c r="K108" i="78"/>
  <c r="K109" i="78"/>
  <c r="K100" i="78"/>
  <c r="M108" i="78"/>
  <c r="M109" i="78"/>
  <c r="M100" i="78"/>
  <c r="F5" i="77"/>
  <c r="F28" i="77"/>
  <c r="F24" i="12"/>
  <c r="F7" i="69"/>
  <c r="F7" i="68"/>
  <c r="M15" i="45"/>
  <c r="L15" i="45"/>
  <c r="K15" i="45"/>
  <c r="J15" i="45"/>
  <c r="I15" i="45"/>
  <c r="H15" i="45"/>
  <c r="G15" i="45"/>
  <c r="F15" i="45"/>
  <c r="E15" i="45"/>
  <c r="D15" i="45"/>
  <c r="C15" i="45"/>
  <c r="B15" i="45"/>
  <c r="M19" i="43"/>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V29" i="71"/>
  <c r="V25" i="71"/>
  <c r="V21" i="71"/>
  <c r="S21" i="71"/>
  <c r="U21" i="71"/>
  <c r="S25" i="71"/>
  <c r="S29" i="71"/>
  <c r="U29" i="71"/>
  <c r="N57" i="71"/>
  <c r="U25" i="71"/>
  <c r="F40" i="71"/>
  <c r="F41" i="71"/>
  <c r="V41"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H391" i="3"/>
  <c r="BT390" i="3"/>
  <c r="BS390" i="3"/>
  <c r="BR390" i="3"/>
  <c r="BQ390" i="3"/>
  <c r="BP390" i="3"/>
  <c r="BO390" i="3"/>
  <c r="BN390" i="3"/>
  <c r="BM390" i="3"/>
  <c r="BK390" i="3"/>
  <c r="BJ390" i="3"/>
  <c r="BI390" i="3"/>
  <c r="BH390" i="3"/>
  <c r="BG390" i="3"/>
  <c r="BF390" i="3"/>
  <c r="BE390" i="3"/>
  <c r="BD390" i="3"/>
  <c r="BC390" i="3"/>
  <c r="BB390" i="3"/>
  <c r="AX390" i="3"/>
  <c r="AW390" i="3"/>
  <c r="AV390" i="3"/>
  <c r="H390" i="3"/>
  <c r="BT389" i="3"/>
  <c r="BS389" i="3"/>
  <c r="BR389" i="3"/>
  <c r="BQ389" i="3"/>
  <c r="BP389" i="3"/>
  <c r="BO389" i="3"/>
  <c r="BN389" i="3"/>
  <c r="BM389" i="3"/>
  <c r="BK389" i="3"/>
  <c r="BJ389" i="3"/>
  <c r="BI389" i="3"/>
  <c r="BH389" i="3"/>
  <c r="BG389" i="3"/>
  <c r="BF389" i="3"/>
  <c r="BE389" i="3"/>
  <c r="BD389" i="3"/>
  <c r="BC389" i="3"/>
  <c r="BB389" i="3"/>
  <c r="AX389" i="3"/>
  <c r="AW389" i="3"/>
  <c r="AV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H388" i="3"/>
  <c r="BT387" i="3"/>
  <c r="BS387" i="3"/>
  <c r="BR387" i="3"/>
  <c r="BQ387" i="3"/>
  <c r="BP387" i="3"/>
  <c r="BO387" i="3"/>
  <c r="BN387" i="3"/>
  <c r="BM387" i="3"/>
  <c r="BK387" i="3"/>
  <c r="BJ387" i="3"/>
  <c r="BI387" i="3"/>
  <c r="BH387" i="3"/>
  <c r="BG387" i="3"/>
  <c r="BF387" i="3"/>
  <c r="BE387" i="3"/>
  <c r="BD387" i="3"/>
  <c r="BC387" i="3"/>
  <c r="BB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H383" i="3"/>
  <c r="BT382" i="3"/>
  <c r="BS382" i="3"/>
  <c r="BR382" i="3"/>
  <c r="BQ382" i="3"/>
  <c r="BP382" i="3"/>
  <c r="BO382" i="3"/>
  <c r="BN382" i="3"/>
  <c r="BM382" i="3"/>
  <c r="BK382" i="3"/>
  <c r="BJ382" i="3"/>
  <c r="BI382" i="3"/>
  <c r="BH382" i="3"/>
  <c r="BG382" i="3"/>
  <c r="BF382" i="3"/>
  <c r="BE382" i="3"/>
  <c r="BD382" i="3"/>
  <c r="BC382" i="3"/>
  <c r="BB382" i="3"/>
  <c r="AX382" i="3"/>
  <c r="AW382" i="3"/>
  <c r="AV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H381" i="3"/>
  <c r="BT380" i="3"/>
  <c r="BS380" i="3"/>
  <c r="BR380" i="3"/>
  <c r="BQ380" i="3"/>
  <c r="BP380" i="3"/>
  <c r="BO380" i="3"/>
  <c r="BN380" i="3"/>
  <c r="BM380" i="3"/>
  <c r="BK380" i="3"/>
  <c r="BJ380" i="3"/>
  <c r="BI380" i="3"/>
  <c r="BH380" i="3"/>
  <c r="BG380" i="3"/>
  <c r="BF380" i="3"/>
  <c r="BE380" i="3"/>
  <c r="BD380" i="3"/>
  <c r="BC380" i="3"/>
  <c r="BB380" i="3"/>
  <c r="AX380" i="3"/>
  <c r="AW380" i="3"/>
  <c r="AV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H379" i="3"/>
  <c r="BT378" i="3"/>
  <c r="BS378" i="3"/>
  <c r="BR378" i="3"/>
  <c r="BQ378" i="3"/>
  <c r="BP378" i="3"/>
  <c r="BO378" i="3"/>
  <c r="BN378" i="3"/>
  <c r="BM378" i="3"/>
  <c r="BK378" i="3"/>
  <c r="BJ378" i="3"/>
  <c r="BI378" i="3"/>
  <c r="BH378" i="3"/>
  <c r="BG378" i="3"/>
  <c r="BF378" i="3"/>
  <c r="BE378" i="3"/>
  <c r="BD378" i="3"/>
  <c r="BC378" i="3"/>
  <c r="BB378" i="3"/>
  <c r="AX378" i="3"/>
  <c r="AW378" i="3"/>
  <c r="AV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K376" i="3"/>
  <c r="BJ376" i="3"/>
  <c r="BI376" i="3"/>
  <c r="BH376" i="3"/>
  <c r="BG376" i="3"/>
  <c r="BF376" i="3"/>
  <c r="BE376" i="3"/>
  <c r="BD376" i="3"/>
  <c r="BC376" i="3"/>
  <c r="BB376" i="3"/>
  <c r="AX376" i="3"/>
  <c r="AW376" i="3"/>
  <c r="AV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AX371" i="3"/>
  <c r="AW371" i="3"/>
  <c r="AV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H370" i="3"/>
  <c r="BT369" i="3"/>
  <c r="BS369" i="3"/>
  <c r="BR369" i="3"/>
  <c r="BQ369" i="3"/>
  <c r="BP369" i="3"/>
  <c r="BO369" i="3"/>
  <c r="BN369" i="3"/>
  <c r="BM369" i="3"/>
  <c r="BK369" i="3"/>
  <c r="BJ369" i="3"/>
  <c r="BI369" i="3"/>
  <c r="BH369" i="3"/>
  <c r="BG369" i="3"/>
  <c r="BF369" i="3"/>
  <c r="BE369" i="3"/>
  <c r="BD369" i="3"/>
  <c r="BC369" i="3"/>
  <c r="BB369" i="3"/>
  <c r="AX369" i="3"/>
  <c r="AW369" i="3"/>
  <c r="AV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H365" i="3"/>
  <c r="BT364" i="3"/>
  <c r="BS364" i="3"/>
  <c r="BR364" i="3"/>
  <c r="BQ364" i="3"/>
  <c r="BP364" i="3"/>
  <c r="BO364" i="3"/>
  <c r="BN364" i="3"/>
  <c r="BM364" i="3"/>
  <c r="BK364" i="3"/>
  <c r="BJ364" i="3"/>
  <c r="BI364" i="3"/>
  <c r="BH364" i="3"/>
  <c r="BG364" i="3"/>
  <c r="BF364" i="3"/>
  <c r="BE364" i="3"/>
  <c r="BD364" i="3"/>
  <c r="BC364" i="3"/>
  <c r="BB364" i="3"/>
  <c r="AX364" i="3"/>
  <c r="AW364" i="3"/>
  <c r="AV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H363" i="3"/>
  <c r="BT362" i="3"/>
  <c r="BS362" i="3"/>
  <c r="BR362" i="3"/>
  <c r="BQ362" i="3"/>
  <c r="BP362" i="3"/>
  <c r="BO362" i="3"/>
  <c r="BN362" i="3"/>
  <c r="BM362" i="3"/>
  <c r="BK362" i="3"/>
  <c r="BJ362" i="3"/>
  <c r="BI362" i="3"/>
  <c r="BH362" i="3"/>
  <c r="BG362" i="3"/>
  <c r="BF362" i="3"/>
  <c r="BE362" i="3"/>
  <c r="BD362" i="3"/>
  <c r="BC362" i="3"/>
  <c r="BB362" i="3"/>
  <c r="AX362" i="3"/>
  <c r="AW362" i="3"/>
  <c r="AV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K360" i="3"/>
  <c r="BJ360" i="3"/>
  <c r="BI360" i="3"/>
  <c r="BH360" i="3"/>
  <c r="BG360" i="3"/>
  <c r="BF360" i="3"/>
  <c r="BE360" i="3"/>
  <c r="BD360" i="3"/>
  <c r="BC360" i="3"/>
  <c r="BB360" i="3"/>
  <c r="AX360" i="3"/>
  <c r="AW360" i="3"/>
  <c r="AV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H352" i="3"/>
  <c r="BT351" i="3"/>
  <c r="BS351" i="3"/>
  <c r="BR351" i="3"/>
  <c r="BQ351" i="3"/>
  <c r="BP351" i="3"/>
  <c r="BO351" i="3"/>
  <c r="BN351" i="3"/>
  <c r="BM351" i="3"/>
  <c r="BK351" i="3"/>
  <c r="BJ351" i="3"/>
  <c r="BI351" i="3"/>
  <c r="BH351" i="3"/>
  <c r="BG351" i="3"/>
  <c r="BF351" i="3"/>
  <c r="BE351" i="3"/>
  <c r="BD351" i="3"/>
  <c r="BC351" i="3"/>
  <c r="BB351" i="3"/>
  <c r="AX351" i="3"/>
  <c r="AW351" i="3"/>
  <c r="AV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AX341" i="3"/>
  <c r="AW341" i="3"/>
  <c r="AV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K334" i="3"/>
  <c r="BJ334" i="3"/>
  <c r="BI334" i="3"/>
  <c r="BH334" i="3"/>
  <c r="BG334" i="3"/>
  <c r="BF334" i="3"/>
  <c r="BE334" i="3"/>
  <c r="BD334" i="3"/>
  <c r="BC334" i="3"/>
  <c r="BB334" i="3"/>
  <c r="AX334" i="3"/>
  <c r="AW334" i="3"/>
  <c r="AV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AX325" i="3"/>
  <c r="AW325" i="3"/>
  <c r="AV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K318" i="3"/>
  <c r="BJ318" i="3"/>
  <c r="BI318" i="3"/>
  <c r="BH318" i="3"/>
  <c r="BG318" i="3"/>
  <c r="BF318" i="3"/>
  <c r="BE318" i="3"/>
  <c r="BD318" i="3"/>
  <c r="BC318" i="3"/>
  <c r="BB318" i="3"/>
  <c r="AX318" i="3"/>
  <c r="AW318" i="3"/>
  <c r="AV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AX311" i="3"/>
  <c r="AW311" i="3"/>
  <c r="AV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AX309" i="3"/>
  <c r="AW309" i="3"/>
  <c r="AV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A15" i="62"/>
  <c r="B61" i="72"/>
  <c r="F19" i="4"/>
  <c r="F2" i="52"/>
  <c r="B50" i="72"/>
  <c r="D2" i="52"/>
  <c r="B46" i="72"/>
  <c r="B8" i="53"/>
  <c r="B23" i="72"/>
  <c r="L4" i="9"/>
  <c r="B17" i="72"/>
  <c r="B15" i="72"/>
  <c r="A3" i="51"/>
  <c r="C8" i="11"/>
  <c r="B2" i="49"/>
  <c r="B7" i="49"/>
  <c r="C4" i="4"/>
  <c r="B4" i="62"/>
  <c r="B71" i="72"/>
  <c r="B40" i="48"/>
  <c r="B3" i="72"/>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G14" i="3"/>
  <c r="H15" i="3"/>
  <c r="H16" i="3"/>
  <c r="H17" i="3"/>
  <c r="AT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BB493" i="3"/>
  <c r="BC493" i="3"/>
  <c r="BD493" i="3"/>
  <c r="BE493" i="3"/>
  <c r="BF493" i="3"/>
  <c r="BG493" i="3"/>
  <c r="BH493" i="3"/>
  <c r="BI493" i="3"/>
  <c r="BJ493" i="3"/>
  <c r="BK493" i="3"/>
  <c r="BM493" i="3"/>
  <c r="BN493" i="3"/>
  <c r="BO493" i="3"/>
  <c r="BP493" i="3"/>
  <c r="BR493" i="3"/>
  <c r="BS493" i="3"/>
  <c r="BT493" i="3"/>
  <c r="H494" i="3"/>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BB496" i="3"/>
  <c r="BC496" i="3"/>
  <c r="BD496" i="3"/>
  <c r="BE496" i="3"/>
  <c r="BF496" i="3"/>
  <c r="BG496" i="3"/>
  <c r="BH496" i="3"/>
  <c r="BI496" i="3"/>
  <c r="BJ496" i="3"/>
  <c r="BK496" i="3"/>
  <c r="BM496" i="3"/>
  <c r="BN496" i="3"/>
  <c r="BO496" i="3"/>
  <c r="BP496" i="3"/>
  <c r="BQ496" i="3"/>
  <c r="BR496" i="3"/>
  <c r="BS496" i="3"/>
  <c r="BT496" i="3"/>
  <c r="H497" i="3"/>
  <c r="BB497" i="3"/>
  <c r="BC497" i="3"/>
  <c r="BD497" i="3"/>
  <c r="BE497" i="3"/>
  <c r="BF497" i="3"/>
  <c r="BG497" i="3"/>
  <c r="BH497" i="3"/>
  <c r="BI497" i="3"/>
  <c r="BJ497" i="3"/>
  <c r="BK497" i="3"/>
  <c r="BM497" i="3"/>
  <c r="BN497" i="3"/>
  <c r="BO497" i="3"/>
  <c r="BP497" i="3"/>
  <c r="BR497" i="3"/>
  <c r="BS497" i="3"/>
  <c r="BT497" i="3"/>
  <c r="H498" i="3"/>
  <c r="BB498" i="3"/>
  <c r="BC498" i="3"/>
  <c r="BD498" i="3"/>
  <c r="BE498" i="3"/>
  <c r="BF498" i="3"/>
  <c r="BG498" i="3"/>
  <c r="BH498" i="3"/>
  <c r="BI498" i="3"/>
  <c r="BJ498" i="3"/>
  <c r="BK498" i="3"/>
  <c r="BM498" i="3"/>
  <c r="BN498" i="3"/>
  <c r="BO498" i="3"/>
  <c r="BP498" i="3"/>
  <c r="BQ498" i="3"/>
  <c r="BR498" i="3"/>
  <c r="BS498" i="3"/>
  <c r="BT498" i="3"/>
  <c r="H499" i="3"/>
  <c r="BB499" i="3"/>
  <c r="BC499" i="3"/>
  <c r="BD499" i="3"/>
  <c r="BE499" i="3"/>
  <c r="BF499" i="3"/>
  <c r="BG499" i="3"/>
  <c r="BH499" i="3"/>
  <c r="BI499" i="3"/>
  <c r="BJ499" i="3"/>
  <c r="BK499" i="3"/>
  <c r="BM499" i="3"/>
  <c r="BN499" i="3"/>
  <c r="BO499" i="3"/>
  <c r="BP499" i="3"/>
  <c r="BR499" i="3"/>
  <c r="BS499" i="3"/>
  <c r="BT499" i="3"/>
  <c r="H500" i="3"/>
  <c r="BB500" i="3"/>
  <c r="BC500" i="3"/>
  <c r="BD500" i="3"/>
  <c r="BE500" i="3"/>
  <c r="BF500" i="3"/>
  <c r="BG500" i="3"/>
  <c r="BH500" i="3"/>
  <c r="BI500" i="3"/>
  <c r="BJ500" i="3"/>
  <c r="BK500" i="3"/>
  <c r="BM500" i="3"/>
  <c r="BN500" i="3"/>
  <c r="BO500" i="3"/>
  <c r="BP500" i="3"/>
  <c r="BQ500" i="3"/>
  <c r="BR500" i="3"/>
  <c r="BS500" i="3"/>
  <c r="BT500" i="3"/>
  <c r="H501" i="3"/>
  <c r="BB501" i="3"/>
  <c r="BC501" i="3"/>
  <c r="BD501" i="3"/>
  <c r="BE501" i="3"/>
  <c r="BF501" i="3"/>
  <c r="BG501" i="3"/>
  <c r="BH501" i="3"/>
  <c r="BI501" i="3"/>
  <c r="BJ501" i="3"/>
  <c r="BK501" i="3"/>
  <c r="BM501" i="3"/>
  <c r="BN501" i="3"/>
  <c r="BO501" i="3"/>
  <c r="BP501" i="3"/>
  <c r="BR501" i="3"/>
  <c r="BS501" i="3"/>
  <c r="BT501" i="3"/>
  <c r="H502" i="3"/>
  <c r="BB502" i="3"/>
  <c r="BC502" i="3"/>
  <c r="BD502" i="3"/>
  <c r="BE502" i="3"/>
  <c r="BF502" i="3"/>
  <c r="BG502" i="3"/>
  <c r="BH502" i="3"/>
  <c r="BI502" i="3"/>
  <c r="BJ502" i="3"/>
  <c r="BK502" i="3"/>
  <c r="BM502" i="3"/>
  <c r="BN502" i="3"/>
  <c r="BO502" i="3"/>
  <c r="BP502" i="3"/>
  <c r="BQ502" i="3"/>
  <c r="BR502" i="3"/>
  <c r="BS502" i="3"/>
  <c r="BT502" i="3"/>
  <c r="H503" i="3"/>
  <c r="BB503" i="3"/>
  <c r="BC503" i="3"/>
  <c r="BD503" i="3"/>
  <c r="BE503" i="3"/>
  <c r="BF503" i="3"/>
  <c r="BG503" i="3"/>
  <c r="BH503" i="3"/>
  <c r="BI503" i="3"/>
  <c r="BJ503" i="3"/>
  <c r="BK503" i="3"/>
  <c r="BM503" i="3"/>
  <c r="BN503" i="3"/>
  <c r="BO503" i="3"/>
  <c r="BP503" i="3"/>
  <c r="BR503" i="3"/>
  <c r="BS503" i="3"/>
  <c r="BT503" i="3"/>
  <c r="H504" i="3"/>
  <c r="BB504" i="3"/>
  <c r="BC504" i="3"/>
  <c r="BD504" i="3"/>
  <c r="BE504" i="3"/>
  <c r="BF504" i="3"/>
  <c r="BG504" i="3"/>
  <c r="BH504" i="3"/>
  <c r="BI504" i="3"/>
  <c r="BJ504" i="3"/>
  <c r="BK504" i="3"/>
  <c r="BM504" i="3"/>
  <c r="BN504" i="3"/>
  <c r="BO504" i="3"/>
  <c r="BP504" i="3"/>
  <c r="BQ504" i="3"/>
  <c r="BR504" i="3"/>
  <c r="BS504" i="3"/>
  <c r="BT504" i="3"/>
  <c r="H505" i="3"/>
  <c r="BB505" i="3"/>
  <c r="BC505" i="3"/>
  <c r="BD505" i="3"/>
  <c r="BE505" i="3"/>
  <c r="BF505" i="3"/>
  <c r="BG505" i="3"/>
  <c r="BH505" i="3"/>
  <c r="BI505" i="3"/>
  <c r="BJ505" i="3"/>
  <c r="BK505" i="3"/>
  <c r="BM505" i="3"/>
  <c r="BN505" i="3"/>
  <c r="BO505" i="3"/>
  <c r="BP505" i="3"/>
  <c r="BR505" i="3"/>
  <c r="BS505" i="3"/>
  <c r="BT505" i="3"/>
  <c r="H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BB510" i="3"/>
  <c r="BC510" i="3"/>
  <c r="BD510" i="3"/>
  <c r="BE510" i="3"/>
  <c r="BF510" i="3"/>
  <c r="BG510" i="3"/>
  <c r="BH510" i="3"/>
  <c r="BI510" i="3"/>
  <c r="BJ510" i="3"/>
  <c r="BK510" i="3"/>
  <c r="BM510" i="3"/>
  <c r="BN510" i="3"/>
  <c r="BO510" i="3"/>
  <c r="BP510" i="3"/>
  <c r="BQ510" i="3"/>
  <c r="BR510" i="3"/>
  <c r="BS510" i="3"/>
  <c r="BT510" i="3"/>
  <c r="H511" i="3"/>
  <c r="BB511" i="3"/>
  <c r="BC511" i="3"/>
  <c r="BD511" i="3"/>
  <c r="BE511" i="3"/>
  <c r="BF511" i="3"/>
  <c r="BG511" i="3"/>
  <c r="BH511" i="3"/>
  <c r="BI511" i="3"/>
  <c r="BJ511" i="3"/>
  <c r="BK511" i="3"/>
  <c r="BM511" i="3"/>
  <c r="BN511" i="3"/>
  <c r="BO511" i="3"/>
  <c r="BP511" i="3"/>
  <c r="BR511" i="3"/>
  <c r="BS511" i="3"/>
  <c r="BT511" i="3"/>
  <c r="H512" i="3"/>
  <c r="BB512" i="3"/>
  <c r="BC512" i="3"/>
  <c r="BD512" i="3"/>
  <c r="BE512" i="3"/>
  <c r="BF512" i="3"/>
  <c r="BG512" i="3"/>
  <c r="BH512" i="3"/>
  <c r="BI512" i="3"/>
  <c r="BJ512" i="3"/>
  <c r="BK512" i="3"/>
  <c r="BM512" i="3"/>
  <c r="BN512" i="3"/>
  <c r="BO512" i="3"/>
  <c r="BP512" i="3"/>
  <c r="BQ512" i="3"/>
  <c r="BR512" i="3"/>
  <c r="BS512" i="3"/>
  <c r="BT512" i="3"/>
  <c r="H513" i="3"/>
  <c r="BB513" i="3"/>
  <c r="BC513" i="3"/>
  <c r="BD513" i="3"/>
  <c r="BE513" i="3"/>
  <c r="BF513" i="3"/>
  <c r="BG513" i="3"/>
  <c r="BH513" i="3"/>
  <c r="BI513" i="3"/>
  <c r="BJ513" i="3"/>
  <c r="BK513" i="3"/>
  <c r="BM513" i="3"/>
  <c r="BN513" i="3"/>
  <c r="BO513" i="3"/>
  <c r="BP513" i="3"/>
  <c r="BR513" i="3"/>
  <c r="BS513" i="3"/>
  <c r="BT513" i="3"/>
  <c r="H514" i="3"/>
  <c r="BB514" i="3"/>
  <c r="BC514" i="3"/>
  <c r="BD514" i="3"/>
  <c r="BE514" i="3"/>
  <c r="BF514" i="3"/>
  <c r="BG514" i="3"/>
  <c r="BH514" i="3"/>
  <c r="BI514" i="3"/>
  <c r="BJ514" i="3"/>
  <c r="BK514" i="3"/>
  <c r="BM514" i="3"/>
  <c r="BN514" i="3"/>
  <c r="BO514" i="3"/>
  <c r="BP514" i="3"/>
  <c r="BQ514" i="3"/>
  <c r="BR514" i="3"/>
  <c r="BS514" i="3"/>
  <c r="BT514" i="3"/>
  <c r="H515" i="3"/>
  <c r="BB515" i="3"/>
  <c r="BC515" i="3"/>
  <c r="BD515" i="3"/>
  <c r="BE515" i="3"/>
  <c r="BF515" i="3"/>
  <c r="BG515" i="3"/>
  <c r="BH515" i="3"/>
  <c r="BI515" i="3"/>
  <c r="BJ515" i="3"/>
  <c r="BK515" i="3"/>
  <c r="BM515" i="3"/>
  <c r="BN515" i="3"/>
  <c r="BO515" i="3"/>
  <c r="BP515" i="3"/>
  <c r="BR515" i="3"/>
  <c r="BS515" i="3"/>
  <c r="BT515" i="3"/>
  <c r="H516" i="3"/>
  <c r="BB516" i="3"/>
  <c r="BC516" i="3"/>
  <c r="BD516" i="3"/>
  <c r="BE516" i="3"/>
  <c r="BF516" i="3"/>
  <c r="BG516" i="3"/>
  <c r="BH516" i="3"/>
  <c r="BI516" i="3"/>
  <c r="BJ516" i="3"/>
  <c r="BK516" i="3"/>
  <c r="BM516" i="3"/>
  <c r="BN516" i="3"/>
  <c r="BO516" i="3"/>
  <c r="BP516" i="3"/>
  <c r="BQ516" i="3"/>
  <c r="BR516" i="3"/>
  <c r="BS516" i="3"/>
  <c r="BT516" i="3"/>
  <c r="H517" i="3"/>
  <c r="BB517" i="3"/>
  <c r="BC517" i="3"/>
  <c r="BD517" i="3"/>
  <c r="BE517" i="3"/>
  <c r="BF517" i="3"/>
  <c r="BG517" i="3"/>
  <c r="BH517" i="3"/>
  <c r="BI517" i="3"/>
  <c r="BJ517" i="3"/>
  <c r="BK517" i="3"/>
  <c r="BM517" i="3"/>
  <c r="BN517" i="3"/>
  <c r="BO517" i="3"/>
  <c r="BP517" i="3"/>
  <c r="BR517" i="3"/>
  <c r="BS517" i="3"/>
  <c r="BT517" i="3"/>
  <c r="H518" i="3"/>
  <c r="BB518" i="3"/>
  <c r="BC518" i="3"/>
  <c r="BD518" i="3"/>
  <c r="BE518" i="3"/>
  <c r="BF518" i="3"/>
  <c r="BG518" i="3"/>
  <c r="BH518" i="3"/>
  <c r="BI518" i="3"/>
  <c r="BJ518" i="3"/>
  <c r="BK518" i="3"/>
  <c r="BM518" i="3"/>
  <c r="BN518" i="3"/>
  <c r="BO518" i="3"/>
  <c r="BP518" i="3"/>
  <c r="BQ518" i="3"/>
  <c r="BR518" i="3"/>
  <c r="BS518" i="3"/>
  <c r="BT518" i="3"/>
  <c r="H519" i="3"/>
  <c r="BB519" i="3"/>
  <c r="BC519" i="3"/>
  <c r="BD519" i="3"/>
  <c r="BE519" i="3"/>
  <c r="BF519" i="3"/>
  <c r="BG519" i="3"/>
  <c r="BH519" i="3"/>
  <c r="BI519" i="3"/>
  <c r="BJ519" i="3"/>
  <c r="BK519" i="3"/>
  <c r="BM519" i="3"/>
  <c r="BN519" i="3"/>
  <c r="BO519" i="3"/>
  <c r="BP519" i="3"/>
  <c r="BR519" i="3"/>
  <c r="BS519" i="3"/>
  <c r="BT519" i="3"/>
  <c r="H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BB522" i="3"/>
  <c r="BC522" i="3"/>
  <c r="BD522" i="3"/>
  <c r="BE522" i="3"/>
  <c r="BF522" i="3"/>
  <c r="BG522" i="3"/>
  <c r="BH522" i="3"/>
  <c r="BI522" i="3"/>
  <c r="BJ522" i="3"/>
  <c r="BK522" i="3"/>
  <c r="BM522" i="3"/>
  <c r="BN522" i="3"/>
  <c r="BO522" i="3"/>
  <c r="BP522" i="3"/>
  <c r="BQ522" i="3"/>
  <c r="BR522" i="3"/>
  <c r="BS522" i="3"/>
  <c r="BT522" i="3"/>
  <c r="H523" i="3"/>
  <c r="BB523" i="3"/>
  <c r="BC523" i="3"/>
  <c r="BD523" i="3"/>
  <c r="BE523" i="3"/>
  <c r="BF523" i="3"/>
  <c r="BG523" i="3"/>
  <c r="BH523" i="3"/>
  <c r="BI523" i="3"/>
  <c r="BJ523" i="3"/>
  <c r="BK523" i="3"/>
  <c r="BM523" i="3"/>
  <c r="BN523" i="3"/>
  <c r="BO523" i="3"/>
  <c r="BP523" i="3"/>
  <c r="BR523" i="3"/>
  <c r="BS523" i="3"/>
  <c r="BT523" i="3"/>
  <c r="H524" i="3"/>
  <c r="BB524" i="3"/>
  <c r="BC524" i="3"/>
  <c r="BD524" i="3"/>
  <c r="BE524" i="3"/>
  <c r="BF524" i="3"/>
  <c r="BG524" i="3"/>
  <c r="BH524" i="3"/>
  <c r="BI524" i="3"/>
  <c r="BJ524" i="3"/>
  <c r="BK524" i="3"/>
  <c r="BM524" i="3"/>
  <c r="BN524" i="3"/>
  <c r="BO524" i="3"/>
  <c r="BP524" i="3"/>
  <c r="BQ524" i="3"/>
  <c r="BR524" i="3"/>
  <c r="BS524" i="3"/>
  <c r="BT524" i="3"/>
  <c r="H525" i="3"/>
  <c r="BB525" i="3"/>
  <c r="BC525" i="3"/>
  <c r="BD525" i="3"/>
  <c r="BE525" i="3"/>
  <c r="BF525" i="3"/>
  <c r="BG525" i="3"/>
  <c r="BH525" i="3"/>
  <c r="BI525" i="3"/>
  <c r="BJ525" i="3"/>
  <c r="BK525" i="3"/>
  <c r="BM525" i="3"/>
  <c r="BN525" i="3"/>
  <c r="BO525" i="3"/>
  <c r="BP525" i="3"/>
  <c r="BR525" i="3"/>
  <c r="BS525" i="3"/>
  <c r="BT525" i="3"/>
  <c r="H526" i="3"/>
  <c r="G526" i="3"/>
  <c r="BB526" i="3"/>
  <c r="BC526" i="3"/>
  <c r="BD526" i="3"/>
  <c r="BE526" i="3"/>
  <c r="BF526" i="3"/>
  <c r="BG526" i="3"/>
  <c r="BH526" i="3"/>
  <c r="BI526" i="3"/>
  <c r="BJ526" i="3"/>
  <c r="BK526" i="3"/>
  <c r="BM526" i="3"/>
  <c r="BN526" i="3"/>
  <c r="BO526" i="3"/>
  <c r="BP526" i="3"/>
  <c r="BQ526" i="3"/>
  <c r="BR526" i="3"/>
  <c r="BS526" i="3"/>
  <c r="BT526" i="3"/>
  <c r="H527" i="3"/>
  <c r="BB527" i="3"/>
  <c r="BC527" i="3"/>
  <c r="BD527" i="3"/>
  <c r="BE527" i="3"/>
  <c r="BF527" i="3"/>
  <c r="BG527" i="3"/>
  <c r="BH527" i="3"/>
  <c r="BI527" i="3"/>
  <c r="BJ527" i="3"/>
  <c r="BK527" i="3"/>
  <c r="BM527" i="3"/>
  <c r="BN527" i="3"/>
  <c r="BO527" i="3"/>
  <c r="BP527" i="3"/>
  <c r="BR527" i="3"/>
  <c r="BS527" i="3"/>
  <c r="BT527" i="3"/>
  <c r="H528" i="3"/>
  <c r="BB528" i="3"/>
  <c r="BC528" i="3"/>
  <c r="BD528" i="3"/>
  <c r="BE528" i="3"/>
  <c r="BF528" i="3"/>
  <c r="BG528" i="3"/>
  <c r="BH528" i="3"/>
  <c r="BI528" i="3"/>
  <c r="BJ528" i="3"/>
  <c r="BK528" i="3"/>
  <c r="BM528" i="3"/>
  <c r="BN528" i="3"/>
  <c r="BO528" i="3"/>
  <c r="BP528" i="3"/>
  <c r="BQ528" i="3"/>
  <c r="BR528" i="3"/>
  <c r="BS528" i="3"/>
  <c r="BT528" i="3"/>
  <c r="H529" i="3"/>
  <c r="BB529" i="3"/>
  <c r="BC529" i="3"/>
  <c r="BD529" i="3"/>
  <c r="BE529" i="3"/>
  <c r="BF529" i="3"/>
  <c r="BG529" i="3"/>
  <c r="BH529" i="3"/>
  <c r="BI529" i="3"/>
  <c r="BJ529" i="3"/>
  <c r="BK529" i="3"/>
  <c r="BM529" i="3"/>
  <c r="BN529" i="3"/>
  <c r="BO529" i="3"/>
  <c r="BP529" i="3"/>
  <c r="BR529" i="3"/>
  <c r="BS529" i="3"/>
  <c r="BT529" i="3"/>
  <c r="H530" i="3"/>
  <c r="BB530" i="3"/>
  <c r="BC530" i="3"/>
  <c r="BD530" i="3"/>
  <c r="BE530" i="3"/>
  <c r="BF530" i="3"/>
  <c r="BG530" i="3"/>
  <c r="BH530" i="3"/>
  <c r="BI530" i="3"/>
  <c r="BJ530" i="3"/>
  <c r="BK530" i="3"/>
  <c r="BM530" i="3"/>
  <c r="BN530" i="3"/>
  <c r="BO530" i="3"/>
  <c r="BP530" i="3"/>
  <c r="BQ530" i="3"/>
  <c r="BR530" i="3"/>
  <c r="BS530" i="3"/>
  <c r="BT530" i="3"/>
  <c r="H531" i="3"/>
  <c r="BB531" i="3"/>
  <c r="BC531" i="3"/>
  <c r="BD531" i="3"/>
  <c r="BE531" i="3"/>
  <c r="BF531" i="3"/>
  <c r="BG531" i="3"/>
  <c r="BH531" i="3"/>
  <c r="BI531" i="3"/>
  <c r="BJ531" i="3"/>
  <c r="BK531" i="3"/>
  <c r="BM531" i="3"/>
  <c r="BN531" i="3"/>
  <c r="BO531" i="3"/>
  <c r="BP531" i="3"/>
  <c r="BR531" i="3"/>
  <c r="BS531" i="3"/>
  <c r="BT531" i="3"/>
  <c r="H532" i="3"/>
  <c r="BB532" i="3"/>
  <c r="BC532" i="3"/>
  <c r="BD532" i="3"/>
  <c r="BE532" i="3"/>
  <c r="BF532" i="3"/>
  <c r="BG532" i="3"/>
  <c r="BH532" i="3"/>
  <c r="BI532" i="3"/>
  <c r="BJ532" i="3"/>
  <c r="BK532" i="3"/>
  <c r="BM532" i="3"/>
  <c r="BN532" i="3"/>
  <c r="BO532" i="3"/>
  <c r="BP532" i="3"/>
  <c r="BQ532" i="3"/>
  <c r="BR532" i="3"/>
  <c r="BS532" i="3"/>
  <c r="BT532" i="3"/>
  <c r="H533" i="3"/>
  <c r="BB533" i="3"/>
  <c r="BC533" i="3"/>
  <c r="BD533" i="3"/>
  <c r="BE533" i="3"/>
  <c r="BF533" i="3"/>
  <c r="BG533" i="3"/>
  <c r="BH533" i="3"/>
  <c r="BI533" i="3"/>
  <c r="BJ533" i="3"/>
  <c r="BK533" i="3"/>
  <c r="BM533" i="3"/>
  <c r="BN533" i="3"/>
  <c r="BO533" i="3"/>
  <c r="BP533" i="3"/>
  <c r="BR533" i="3"/>
  <c r="BS533" i="3"/>
  <c r="BT533" i="3"/>
  <c r="H534" i="3"/>
  <c r="BB534" i="3"/>
  <c r="BC534" i="3"/>
  <c r="BD534" i="3"/>
  <c r="BE534" i="3"/>
  <c r="BF534" i="3"/>
  <c r="BG534" i="3"/>
  <c r="BH534" i="3"/>
  <c r="BI534" i="3"/>
  <c r="BJ534" i="3"/>
  <c r="BK534" i="3"/>
  <c r="BM534" i="3"/>
  <c r="BN534" i="3"/>
  <c r="BO534" i="3"/>
  <c r="BP534" i="3"/>
  <c r="BQ534" i="3"/>
  <c r="BR534" i="3"/>
  <c r="BS534" i="3"/>
  <c r="BT534" i="3"/>
  <c r="H535" i="3"/>
  <c r="BB535" i="3"/>
  <c r="BC535" i="3"/>
  <c r="BD535" i="3"/>
  <c r="BE535" i="3"/>
  <c r="BF535" i="3"/>
  <c r="BG535" i="3"/>
  <c r="BH535" i="3"/>
  <c r="BI535" i="3"/>
  <c r="BJ535" i="3"/>
  <c r="BK535" i="3"/>
  <c r="BM535" i="3"/>
  <c r="BN535" i="3"/>
  <c r="BO535" i="3"/>
  <c r="BP535" i="3"/>
  <c r="BR535" i="3"/>
  <c r="BS535" i="3"/>
  <c r="BT535" i="3"/>
  <c r="H536" i="3"/>
  <c r="BB536" i="3"/>
  <c r="BC536" i="3"/>
  <c r="BD536" i="3"/>
  <c r="BE536" i="3"/>
  <c r="BF536" i="3"/>
  <c r="BG536" i="3"/>
  <c r="BH536" i="3"/>
  <c r="BI536" i="3"/>
  <c r="BJ536" i="3"/>
  <c r="BK536" i="3"/>
  <c r="BM536" i="3"/>
  <c r="BN536" i="3"/>
  <c r="BO536" i="3"/>
  <c r="BP536" i="3"/>
  <c r="BQ536" i="3"/>
  <c r="BR536" i="3"/>
  <c r="BS536" i="3"/>
  <c r="BT536" i="3"/>
  <c r="H537" i="3"/>
  <c r="BB537" i="3"/>
  <c r="BC537" i="3"/>
  <c r="BD537" i="3"/>
  <c r="BE537" i="3"/>
  <c r="BF537" i="3"/>
  <c r="BG537" i="3"/>
  <c r="BH537" i="3"/>
  <c r="BI537" i="3"/>
  <c r="BJ537" i="3"/>
  <c r="BK537" i="3"/>
  <c r="BM537" i="3"/>
  <c r="BN537" i="3"/>
  <c r="BO537" i="3"/>
  <c r="BP537" i="3"/>
  <c r="BR537" i="3"/>
  <c r="BS537" i="3"/>
  <c r="BT537" i="3"/>
  <c r="H538" i="3"/>
  <c r="BB538" i="3"/>
  <c r="BC538" i="3"/>
  <c r="BD538" i="3"/>
  <c r="BE538" i="3"/>
  <c r="BF538" i="3"/>
  <c r="BG538" i="3"/>
  <c r="BH538" i="3"/>
  <c r="BI538" i="3"/>
  <c r="BJ538" i="3"/>
  <c r="BK538" i="3"/>
  <c r="BM538" i="3"/>
  <c r="BN538" i="3"/>
  <c r="BO538" i="3"/>
  <c r="BP538" i="3"/>
  <c r="BQ538" i="3"/>
  <c r="BR538" i="3"/>
  <c r="BS538" i="3"/>
  <c r="BT538" i="3"/>
  <c r="H539" i="3"/>
  <c r="BB539" i="3"/>
  <c r="BC539" i="3"/>
  <c r="BD539" i="3"/>
  <c r="BE539" i="3"/>
  <c r="BF539" i="3"/>
  <c r="BG539" i="3"/>
  <c r="BH539" i="3"/>
  <c r="BI539" i="3"/>
  <c r="BJ539" i="3"/>
  <c r="BK539" i="3"/>
  <c r="BM539" i="3"/>
  <c r="BN539" i="3"/>
  <c r="BO539" i="3"/>
  <c r="BP539" i="3"/>
  <c r="BR539" i="3"/>
  <c r="BS539" i="3"/>
  <c r="BT539" i="3"/>
  <c r="H540" i="3"/>
  <c r="BB540" i="3"/>
  <c r="BC540" i="3"/>
  <c r="BD540" i="3"/>
  <c r="BE540" i="3"/>
  <c r="BF540" i="3"/>
  <c r="BG540" i="3"/>
  <c r="BH540" i="3"/>
  <c r="BI540" i="3"/>
  <c r="BJ540" i="3"/>
  <c r="BK540" i="3"/>
  <c r="BM540" i="3"/>
  <c r="BN540" i="3"/>
  <c r="BO540" i="3"/>
  <c r="BP540" i="3"/>
  <c r="BQ540" i="3"/>
  <c r="BR540" i="3"/>
  <c r="BS540" i="3"/>
  <c r="BT540" i="3"/>
  <c r="H541" i="3"/>
  <c r="BB541" i="3"/>
  <c r="BC541" i="3"/>
  <c r="BD541" i="3"/>
  <c r="BE541" i="3"/>
  <c r="BF541" i="3"/>
  <c r="BG541" i="3"/>
  <c r="BH541" i="3"/>
  <c r="BI541" i="3"/>
  <c r="BJ541" i="3"/>
  <c r="BK541" i="3"/>
  <c r="BM541" i="3"/>
  <c r="BN541" i="3"/>
  <c r="BO541" i="3"/>
  <c r="BP541" i="3"/>
  <c r="BR541" i="3"/>
  <c r="BS541" i="3"/>
  <c r="BT541" i="3"/>
  <c r="H542" i="3"/>
  <c r="G542" i="3"/>
  <c r="BB542" i="3"/>
  <c r="BC542" i="3"/>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N543" i="3"/>
  <c r="BO543" i="3"/>
  <c r="BP543" i="3"/>
  <c r="BR543" i="3"/>
  <c r="BS543" i="3"/>
  <c r="BT543" i="3"/>
  <c r="H544" i="3"/>
  <c r="BB544" i="3"/>
  <c r="BC544" i="3"/>
  <c r="BD544" i="3"/>
  <c r="BE544" i="3"/>
  <c r="BF544" i="3"/>
  <c r="BG544" i="3"/>
  <c r="BH544" i="3"/>
  <c r="BI544" i="3"/>
  <c r="BJ544" i="3"/>
  <c r="BK544" i="3"/>
  <c r="BM544" i="3"/>
  <c r="BN544" i="3"/>
  <c r="BO544" i="3"/>
  <c r="BP544" i="3"/>
  <c r="BQ544" i="3"/>
  <c r="BR544" i="3"/>
  <c r="BS544" i="3"/>
  <c r="BT544" i="3"/>
  <c r="H545" i="3"/>
  <c r="BB545" i="3"/>
  <c r="BC545" i="3"/>
  <c r="BD545" i="3"/>
  <c r="BE545" i="3"/>
  <c r="BF545" i="3"/>
  <c r="BG545" i="3"/>
  <c r="BH545" i="3"/>
  <c r="BI545" i="3"/>
  <c r="BJ545" i="3"/>
  <c r="BK545" i="3"/>
  <c r="BM545" i="3"/>
  <c r="BN545" i="3"/>
  <c r="BO545" i="3"/>
  <c r="BP545" i="3"/>
  <c r="BR545" i="3"/>
  <c r="BS545" i="3"/>
  <c r="BT545" i="3"/>
  <c r="H546" i="3"/>
  <c r="BB546" i="3"/>
  <c r="BC546" i="3"/>
  <c r="BD546" i="3"/>
  <c r="BE546" i="3"/>
  <c r="BF546" i="3"/>
  <c r="BG546" i="3"/>
  <c r="BH546" i="3"/>
  <c r="BI546" i="3"/>
  <c r="BJ546" i="3"/>
  <c r="BK546" i="3"/>
  <c r="BM546" i="3"/>
  <c r="BN546" i="3"/>
  <c r="BO546" i="3"/>
  <c r="BP546" i="3"/>
  <c r="BQ546" i="3"/>
  <c r="BR546" i="3"/>
  <c r="BS546" i="3"/>
  <c r="BT546" i="3"/>
  <c r="H547" i="3"/>
  <c r="BB547" i="3"/>
  <c r="BC547" i="3"/>
  <c r="BD547" i="3"/>
  <c r="BE547" i="3"/>
  <c r="BF547" i="3"/>
  <c r="BG547" i="3"/>
  <c r="BH547" i="3"/>
  <c r="BI547" i="3"/>
  <c r="BJ547" i="3"/>
  <c r="BK547" i="3"/>
  <c r="BM547" i="3"/>
  <c r="BN547" i="3"/>
  <c r="BO547" i="3"/>
  <c r="BP547" i="3"/>
  <c r="BR547" i="3"/>
  <c r="BS547" i="3"/>
  <c r="BT547" i="3"/>
  <c r="H548" i="3"/>
  <c r="BB548" i="3"/>
  <c r="BC548" i="3"/>
  <c r="BD548" i="3"/>
  <c r="BE548" i="3"/>
  <c r="BF548" i="3"/>
  <c r="BG548" i="3"/>
  <c r="BH548" i="3"/>
  <c r="BI548" i="3"/>
  <c r="BJ548" i="3"/>
  <c r="BK548" i="3"/>
  <c r="BM548" i="3"/>
  <c r="BN548" i="3"/>
  <c r="BO548" i="3"/>
  <c r="BP548" i="3"/>
  <c r="BQ548" i="3"/>
  <c r="BR548" i="3"/>
  <c r="BS548" i="3"/>
  <c r="BT548" i="3"/>
  <c r="BL548" i="3"/>
  <c r="BA548" i="3"/>
  <c r="AZ548" i="3"/>
  <c r="H549" i="3"/>
  <c r="BB549" i="3"/>
  <c r="BC549" i="3"/>
  <c r="BD549" i="3"/>
  <c r="BE549" i="3"/>
  <c r="BF549" i="3"/>
  <c r="BG549" i="3"/>
  <c r="BH549" i="3"/>
  <c r="BI549" i="3"/>
  <c r="BJ549" i="3"/>
  <c r="BK549" i="3"/>
  <c r="BM549" i="3"/>
  <c r="BN549" i="3"/>
  <c r="BO549" i="3"/>
  <c r="BP549" i="3"/>
  <c r="BR549" i="3"/>
  <c r="BS549" i="3"/>
  <c r="BT549" i="3"/>
  <c r="H550" i="3"/>
  <c r="BB550" i="3"/>
  <c r="BC550" i="3"/>
  <c r="BD550" i="3"/>
  <c r="BE550" i="3"/>
  <c r="BF550" i="3"/>
  <c r="BG550" i="3"/>
  <c r="BH550" i="3"/>
  <c r="BI550" i="3"/>
  <c r="BJ550" i="3"/>
  <c r="BK550" i="3"/>
  <c r="BA550" i="3"/>
  <c r="BM550" i="3"/>
  <c r="BN550" i="3"/>
  <c r="BO550" i="3"/>
  <c r="BP550" i="3"/>
  <c r="BQ550" i="3"/>
  <c r="BR550" i="3"/>
  <c r="BS550" i="3"/>
  <c r="BT550" i="3"/>
  <c r="BL550" i="3"/>
  <c r="H551" i="3"/>
  <c r="G551" i="3"/>
  <c r="BB551" i="3"/>
  <c r="BC551" i="3"/>
  <c r="BD551" i="3"/>
  <c r="BE551" i="3"/>
  <c r="BF551" i="3"/>
  <c r="BG551" i="3"/>
  <c r="BH551" i="3"/>
  <c r="BI551" i="3"/>
  <c r="BJ551" i="3"/>
  <c r="BK551" i="3"/>
  <c r="BA551" i="3"/>
  <c r="BM551" i="3"/>
  <c r="BN551" i="3"/>
  <c r="BO551" i="3"/>
  <c r="BP551" i="3"/>
  <c r="BR551" i="3"/>
  <c r="BS551" i="3"/>
  <c r="BT551" i="3"/>
  <c r="H552" i="3"/>
  <c r="G552" i="3"/>
  <c r="BB552" i="3"/>
  <c r="BC552" i="3"/>
  <c r="BD552" i="3"/>
  <c r="BE552" i="3"/>
  <c r="BF552" i="3"/>
  <c r="BG552" i="3"/>
  <c r="BH552" i="3"/>
  <c r="BI552" i="3"/>
  <c r="BJ552" i="3"/>
  <c r="BK552" i="3"/>
  <c r="BM552" i="3"/>
  <c r="BN552" i="3"/>
  <c r="BO552" i="3"/>
  <c r="BP552" i="3"/>
  <c r="BQ552" i="3"/>
  <c r="BR552" i="3"/>
  <c r="BS552" i="3"/>
  <c r="BT552" i="3"/>
  <c r="H553" i="3"/>
  <c r="BB553" i="3"/>
  <c r="BC553" i="3"/>
  <c r="BD553" i="3"/>
  <c r="BE553" i="3"/>
  <c r="BF553" i="3"/>
  <c r="BG553" i="3"/>
  <c r="BH553" i="3"/>
  <c r="BI553" i="3"/>
  <c r="BJ553" i="3"/>
  <c r="BK553" i="3"/>
  <c r="BM553" i="3"/>
  <c r="BN553" i="3"/>
  <c r="BO553" i="3"/>
  <c r="BP553" i="3"/>
  <c r="BR553" i="3"/>
  <c r="BS553" i="3"/>
  <c r="BT553" i="3"/>
  <c r="H554" i="3"/>
  <c r="BB554" i="3"/>
  <c r="BC554" i="3"/>
  <c r="BD554" i="3"/>
  <c r="BE554" i="3"/>
  <c r="BF554" i="3"/>
  <c r="BG554" i="3"/>
  <c r="BH554" i="3"/>
  <c r="BI554" i="3"/>
  <c r="BJ554" i="3"/>
  <c r="BK554" i="3"/>
  <c r="BM554" i="3"/>
  <c r="BN554" i="3"/>
  <c r="BO554" i="3"/>
  <c r="BP554" i="3"/>
  <c r="BQ554" i="3"/>
  <c r="BR554" i="3"/>
  <c r="BS554" i="3"/>
  <c r="BT554" i="3"/>
  <c r="H555" i="3"/>
  <c r="BB555" i="3"/>
  <c r="BC555" i="3"/>
  <c r="BD555" i="3"/>
  <c r="BE555" i="3"/>
  <c r="BF555" i="3"/>
  <c r="BG555" i="3"/>
  <c r="BH555" i="3"/>
  <c r="BI555" i="3"/>
  <c r="BJ555" i="3"/>
  <c r="BK555" i="3"/>
  <c r="BM555" i="3"/>
  <c r="BN555" i="3"/>
  <c r="BO555" i="3"/>
  <c r="BP555" i="3"/>
  <c r="BR555" i="3"/>
  <c r="BS555" i="3"/>
  <c r="BT555" i="3"/>
  <c r="H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BB558" i="3"/>
  <c r="BC558" i="3"/>
  <c r="BD558" i="3"/>
  <c r="BE558" i="3"/>
  <c r="BF558" i="3"/>
  <c r="BG558" i="3"/>
  <c r="BH558" i="3"/>
  <c r="BI558" i="3"/>
  <c r="BJ558" i="3"/>
  <c r="BK558" i="3"/>
  <c r="BM558" i="3"/>
  <c r="BN558" i="3"/>
  <c r="BO558" i="3"/>
  <c r="BP558" i="3"/>
  <c r="BQ558" i="3"/>
  <c r="BR558" i="3"/>
  <c r="BS558" i="3"/>
  <c r="BT558" i="3"/>
  <c r="H559" i="3"/>
  <c r="BB559" i="3"/>
  <c r="BC559" i="3"/>
  <c r="BD559" i="3"/>
  <c r="BE559" i="3"/>
  <c r="BF559" i="3"/>
  <c r="BG559" i="3"/>
  <c r="BH559" i="3"/>
  <c r="BI559" i="3"/>
  <c r="BJ559" i="3"/>
  <c r="BK559" i="3"/>
  <c r="BM559" i="3"/>
  <c r="BN559" i="3"/>
  <c r="BO559" i="3"/>
  <c r="BP559" i="3"/>
  <c r="BR559" i="3"/>
  <c r="BS559" i="3"/>
  <c r="BT559" i="3"/>
  <c r="H560" i="3"/>
  <c r="BB560" i="3"/>
  <c r="BC560" i="3"/>
  <c r="BD560" i="3"/>
  <c r="BE560" i="3"/>
  <c r="BF560" i="3"/>
  <c r="BG560" i="3"/>
  <c r="BH560" i="3"/>
  <c r="BI560" i="3"/>
  <c r="BJ560" i="3"/>
  <c r="BK560" i="3"/>
  <c r="BM560" i="3"/>
  <c r="BN560" i="3"/>
  <c r="BO560" i="3"/>
  <c r="BP560" i="3"/>
  <c r="BQ560" i="3"/>
  <c r="BR560" i="3"/>
  <c r="BS560" i="3"/>
  <c r="BT560" i="3"/>
  <c r="H561" i="3"/>
  <c r="BB561" i="3"/>
  <c r="BC561" i="3"/>
  <c r="BD561" i="3"/>
  <c r="BE561" i="3"/>
  <c r="BF561" i="3"/>
  <c r="BG561" i="3"/>
  <c r="BH561" i="3"/>
  <c r="BI561" i="3"/>
  <c r="BJ561" i="3"/>
  <c r="BK561" i="3"/>
  <c r="BM561" i="3"/>
  <c r="BN561" i="3"/>
  <c r="BO561" i="3"/>
  <c r="BP561" i="3"/>
  <c r="BR561" i="3"/>
  <c r="BS561" i="3"/>
  <c r="BT561" i="3"/>
  <c r="H562" i="3"/>
  <c r="G562" i="3"/>
  <c r="BB562" i="3"/>
  <c r="BC562" i="3"/>
  <c r="BD562" i="3"/>
  <c r="BE562" i="3"/>
  <c r="BF562" i="3"/>
  <c r="BG562" i="3"/>
  <c r="BH562" i="3"/>
  <c r="BI562" i="3"/>
  <c r="BJ562" i="3"/>
  <c r="BK562" i="3"/>
  <c r="BM562" i="3"/>
  <c r="BN562" i="3"/>
  <c r="BO562" i="3"/>
  <c r="BP562" i="3"/>
  <c r="BQ562" i="3"/>
  <c r="BR562" i="3"/>
  <c r="BS562" i="3"/>
  <c r="BT562" i="3"/>
  <c r="H563" i="3"/>
  <c r="BB563" i="3"/>
  <c r="BC563" i="3"/>
  <c r="BD563" i="3"/>
  <c r="BE563" i="3"/>
  <c r="BF563" i="3"/>
  <c r="BG563" i="3"/>
  <c r="BH563" i="3"/>
  <c r="BI563" i="3"/>
  <c r="BJ563" i="3"/>
  <c r="BK563" i="3"/>
  <c r="BM563" i="3"/>
  <c r="BN563" i="3"/>
  <c r="BO563" i="3"/>
  <c r="BP563" i="3"/>
  <c r="BR563" i="3"/>
  <c r="BS563" i="3"/>
  <c r="BT563" i="3"/>
  <c r="H564" i="3"/>
  <c r="BB564" i="3"/>
  <c r="BC564" i="3"/>
  <c r="BD564" i="3"/>
  <c r="BE564" i="3"/>
  <c r="BF564" i="3"/>
  <c r="BG564" i="3"/>
  <c r="BH564" i="3"/>
  <c r="BI564" i="3"/>
  <c r="BJ564" i="3"/>
  <c r="BK564" i="3"/>
  <c r="BM564" i="3"/>
  <c r="BN564" i="3"/>
  <c r="BO564" i="3"/>
  <c r="BP564" i="3"/>
  <c r="BQ564" i="3"/>
  <c r="BR564" i="3"/>
  <c r="BS564" i="3"/>
  <c r="BT564" i="3"/>
  <c r="H565" i="3"/>
  <c r="BB565" i="3"/>
  <c r="BC565" i="3"/>
  <c r="BD565" i="3"/>
  <c r="BE565" i="3"/>
  <c r="BF565" i="3"/>
  <c r="BG565" i="3"/>
  <c r="BH565" i="3"/>
  <c r="BI565" i="3"/>
  <c r="BJ565" i="3"/>
  <c r="BK565" i="3"/>
  <c r="BM565" i="3"/>
  <c r="BN565" i="3"/>
  <c r="BO565" i="3"/>
  <c r="BP565" i="3"/>
  <c r="BR565" i="3"/>
  <c r="BS565" i="3"/>
  <c r="BT565" i="3"/>
  <c r="H566" i="3"/>
  <c r="G566" i="3"/>
  <c r="BB566" i="3"/>
  <c r="BC566" i="3"/>
  <c r="BD566" i="3"/>
  <c r="BE566" i="3"/>
  <c r="BF566" i="3"/>
  <c r="BG566" i="3"/>
  <c r="BH566" i="3"/>
  <c r="BI566" i="3"/>
  <c r="BJ566" i="3"/>
  <c r="BK566" i="3"/>
  <c r="BM566" i="3"/>
  <c r="BN566" i="3"/>
  <c r="BO566" i="3"/>
  <c r="BP566" i="3"/>
  <c r="BQ566" i="3"/>
  <c r="BR566" i="3"/>
  <c r="BS566" i="3"/>
  <c r="BT566" i="3"/>
  <c r="H567" i="3"/>
  <c r="BB567" i="3"/>
  <c r="BC567" i="3"/>
  <c r="BD567" i="3"/>
  <c r="BE567" i="3"/>
  <c r="BF567" i="3"/>
  <c r="BG567" i="3"/>
  <c r="BH567" i="3"/>
  <c r="BI567" i="3"/>
  <c r="BJ567" i="3"/>
  <c r="BK567" i="3"/>
  <c r="BM567" i="3"/>
  <c r="BN567" i="3"/>
  <c r="BO567" i="3"/>
  <c r="BP567" i="3"/>
  <c r="BR567" i="3"/>
  <c r="BS567" i="3"/>
  <c r="BT567" i="3"/>
  <c r="H568" i="3"/>
  <c r="BB568" i="3"/>
  <c r="BC568" i="3"/>
  <c r="BD568" i="3"/>
  <c r="BE568" i="3"/>
  <c r="BF568" i="3"/>
  <c r="BG568" i="3"/>
  <c r="BH568" i="3"/>
  <c r="BI568" i="3"/>
  <c r="BJ568" i="3"/>
  <c r="BK568" i="3"/>
  <c r="BM568" i="3"/>
  <c r="BN568" i="3"/>
  <c r="BO568" i="3"/>
  <c r="BP568" i="3"/>
  <c r="BQ568" i="3"/>
  <c r="BR568" i="3"/>
  <c r="BS568" i="3"/>
  <c r="BT568" i="3"/>
  <c r="H569" i="3"/>
  <c r="BB569" i="3"/>
  <c r="BC569" i="3"/>
  <c r="BD569" i="3"/>
  <c r="BE569" i="3"/>
  <c r="BF569" i="3"/>
  <c r="BG569" i="3"/>
  <c r="BH569" i="3"/>
  <c r="BI569" i="3"/>
  <c r="BJ569" i="3"/>
  <c r="BK569" i="3"/>
  <c r="BM569" i="3"/>
  <c r="BN569" i="3"/>
  <c r="BO569" i="3"/>
  <c r="BP569" i="3"/>
  <c r="BR569" i="3"/>
  <c r="BS569" i="3"/>
  <c r="BT569" i="3"/>
  <c r="H570" i="3"/>
  <c r="G570" i="3"/>
  <c r="BB570" i="3"/>
  <c r="BC570" i="3"/>
  <c r="BD570" i="3"/>
  <c r="BE570" i="3"/>
  <c r="BF570" i="3"/>
  <c r="BG570" i="3"/>
  <c r="BH570" i="3"/>
  <c r="BI570" i="3"/>
  <c r="BJ570" i="3"/>
  <c r="BK570" i="3"/>
  <c r="BM570" i="3"/>
  <c r="BN570" i="3"/>
  <c r="BO570" i="3"/>
  <c r="BP570" i="3"/>
  <c r="BQ570" i="3"/>
  <c r="BR570" i="3"/>
  <c r="BS570" i="3"/>
  <c r="BT570" i="3"/>
  <c r="H571" i="3"/>
  <c r="BB571" i="3"/>
  <c r="BC571" i="3"/>
  <c r="BD571" i="3"/>
  <c r="BE571" i="3"/>
  <c r="BF571" i="3"/>
  <c r="BG571" i="3"/>
  <c r="BH571" i="3"/>
  <c r="BI571" i="3"/>
  <c r="BJ571" i="3"/>
  <c r="BK571" i="3"/>
  <c r="BM571" i="3"/>
  <c r="BN571" i="3"/>
  <c r="BO571" i="3"/>
  <c r="BP571" i="3"/>
  <c r="BR571" i="3"/>
  <c r="BS571" i="3"/>
  <c r="BT571" i="3"/>
  <c r="H572" i="3"/>
  <c r="BB572" i="3"/>
  <c r="BC572" i="3"/>
  <c r="BD572" i="3"/>
  <c r="BE572" i="3"/>
  <c r="BF572" i="3"/>
  <c r="BG572" i="3"/>
  <c r="BH572" i="3"/>
  <c r="BI572" i="3"/>
  <c r="BJ572" i="3"/>
  <c r="BK572" i="3"/>
  <c r="BM572" i="3"/>
  <c r="BN572" i="3"/>
  <c r="BO572" i="3"/>
  <c r="BP572" i="3"/>
  <c r="BQ572" i="3"/>
  <c r="BR572" i="3"/>
  <c r="BS572" i="3"/>
  <c r="BT572" i="3"/>
  <c r="H573" i="3"/>
  <c r="BB573" i="3"/>
  <c r="BC573" i="3"/>
  <c r="BD573" i="3"/>
  <c r="BE573" i="3"/>
  <c r="BF573" i="3"/>
  <c r="BG573" i="3"/>
  <c r="BH573" i="3"/>
  <c r="BI573" i="3"/>
  <c r="BJ573" i="3"/>
  <c r="BK573" i="3"/>
  <c r="BM573" i="3"/>
  <c r="BN573" i="3"/>
  <c r="BO573" i="3"/>
  <c r="BP573" i="3"/>
  <c r="BR573" i="3"/>
  <c r="BS573" i="3"/>
  <c r="BT573" i="3"/>
  <c r="H574" i="3"/>
  <c r="G574" i="3"/>
  <c r="BB574" i="3"/>
  <c r="BC574" i="3"/>
  <c r="BD574" i="3"/>
  <c r="BE574" i="3"/>
  <c r="BF574" i="3"/>
  <c r="BG574" i="3"/>
  <c r="BH574" i="3"/>
  <c r="BI574" i="3"/>
  <c r="BJ574" i="3"/>
  <c r="BK574" i="3"/>
  <c r="BM574" i="3"/>
  <c r="BN574" i="3"/>
  <c r="BO574" i="3"/>
  <c r="BP574" i="3"/>
  <c r="BQ574" i="3"/>
  <c r="BR574" i="3"/>
  <c r="BS574" i="3"/>
  <c r="BT574" i="3"/>
  <c r="H575" i="3"/>
  <c r="BB575" i="3"/>
  <c r="BC575" i="3"/>
  <c r="BD575" i="3"/>
  <c r="BE575" i="3"/>
  <c r="BF575" i="3"/>
  <c r="BG575" i="3"/>
  <c r="BH575" i="3"/>
  <c r="BI575" i="3"/>
  <c r="BJ575" i="3"/>
  <c r="BK575" i="3"/>
  <c r="BM575" i="3"/>
  <c r="BN575" i="3"/>
  <c r="BO575" i="3"/>
  <c r="BP575" i="3"/>
  <c r="BR575" i="3"/>
  <c r="BS575" i="3"/>
  <c r="BT575" i="3"/>
  <c r="H576" i="3"/>
  <c r="BB576" i="3"/>
  <c r="BC576" i="3"/>
  <c r="BD576" i="3"/>
  <c r="BE576" i="3"/>
  <c r="BF576" i="3"/>
  <c r="BG576" i="3"/>
  <c r="BH576" i="3"/>
  <c r="BI576" i="3"/>
  <c r="BJ576" i="3"/>
  <c r="BK576" i="3"/>
  <c r="BM576" i="3"/>
  <c r="BN576" i="3"/>
  <c r="BO576" i="3"/>
  <c r="BP576" i="3"/>
  <c r="BQ576" i="3"/>
  <c r="BR576" i="3"/>
  <c r="BS576" i="3"/>
  <c r="BT576" i="3"/>
  <c r="H577" i="3"/>
  <c r="BB577" i="3"/>
  <c r="BC577" i="3"/>
  <c r="BD577" i="3"/>
  <c r="BE577" i="3"/>
  <c r="BF577" i="3"/>
  <c r="BG577" i="3"/>
  <c r="BH577" i="3"/>
  <c r="BI577" i="3"/>
  <c r="BJ577" i="3"/>
  <c r="BK577" i="3"/>
  <c r="BM577" i="3"/>
  <c r="BN577" i="3"/>
  <c r="BO577" i="3"/>
  <c r="BP577" i="3"/>
  <c r="BR577" i="3"/>
  <c r="BS577" i="3"/>
  <c r="BT577" i="3"/>
  <c r="H578" i="3"/>
  <c r="G578" i="3"/>
  <c r="BB578" i="3"/>
  <c r="BC578" i="3"/>
  <c r="BD578" i="3"/>
  <c r="BE578" i="3"/>
  <c r="BF578" i="3"/>
  <c r="BG578" i="3"/>
  <c r="BH578" i="3"/>
  <c r="BI578" i="3"/>
  <c r="BJ578" i="3"/>
  <c r="BK578" i="3"/>
  <c r="BM578" i="3"/>
  <c r="BN578" i="3"/>
  <c r="BO578" i="3"/>
  <c r="BP578" i="3"/>
  <c r="BQ578" i="3"/>
  <c r="BR578" i="3"/>
  <c r="BS578" i="3"/>
  <c r="BT578" i="3"/>
  <c r="H579" i="3"/>
  <c r="BB579" i="3"/>
  <c r="BC579" i="3"/>
  <c r="BD579" i="3"/>
  <c r="BE579" i="3"/>
  <c r="BF579" i="3"/>
  <c r="BG579" i="3"/>
  <c r="BH579" i="3"/>
  <c r="BI579" i="3"/>
  <c r="BJ579" i="3"/>
  <c r="BK579" i="3"/>
  <c r="BM579" i="3"/>
  <c r="BN579" i="3"/>
  <c r="BO579" i="3"/>
  <c r="BP579" i="3"/>
  <c r="BR579" i="3"/>
  <c r="BS579" i="3"/>
  <c r="BT579" i="3"/>
  <c r="H580" i="3"/>
  <c r="BB580" i="3"/>
  <c r="BC580" i="3"/>
  <c r="BD580" i="3"/>
  <c r="BE580" i="3"/>
  <c r="BF580" i="3"/>
  <c r="BG580" i="3"/>
  <c r="BH580" i="3"/>
  <c r="BI580" i="3"/>
  <c r="BJ580" i="3"/>
  <c r="BK580" i="3"/>
  <c r="BM580" i="3"/>
  <c r="BN580" i="3"/>
  <c r="BO580" i="3"/>
  <c r="BP580" i="3"/>
  <c r="BQ580" i="3"/>
  <c r="BR580" i="3"/>
  <c r="BS580" i="3"/>
  <c r="BT580" i="3"/>
  <c r="H581" i="3"/>
  <c r="BB581" i="3"/>
  <c r="BC581" i="3"/>
  <c r="BD581" i="3"/>
  <c r="BE581" i="3"/>
  <c r="BF581" i="3"/>
  <c r="BG581" i="3"/>
  <c r="BH581" i="3"/>
  <c r="BI581" i="3"/>
  <c r="BJ581" i="3"/>
  <c r="BK581" i="3"/>
  <c r="BM581" i="3"/>
  <c r="BN581" i="3"/>
  <c r="BO581" i="3"/>
  <c r="BP581" i="3"/>
  <c r="BR581" i="3"/>
  <c r="BS581" i="3"/>
  <c r="BT581" i="3"/>
  <c r="H582" i="3"/>
  <c r="G582" i="3"/>
  <c r="BB582" i="3"/>
  <c r="BC582" i="3"/>
  <c r="BD582" i="3"/>
  <c r="BE582" i="3"/>
  <c r="BF582" i="3"/>
  <c r="BG582" i="3"/>
  <c r="BH582" i="3"/>
  <c r="BI582" i="3"/>
  <c r="BJ582" i="3"/>
  <c r="BK582" i="3"/>
  <c r="BM582" i="3"/>
  <c r="BN582" i="3"/>
  <c r="BO582" i="3"/>
  <c r="BP582" i="3"/>
  <c r="BQ582" i="3"/>
  <c r="BR582" i="3"/>
  <c r="BS582" i="3"/>
  <c r="BT582" i="3"/>
  <c r="H583" i="3"/>
  <c r="BB583" i="3"/>
  <c r="BC583" i="3"/>
  <c r="BD583" i="3"/>
  <c r="BE583" i="3"/>
  <c r="BF583" i="3"/>
  <c r="BG583" i="3"/>
  <c r="BH583" i="3"/>
  <c r="BI583" i="3"/>
  <c r="BJ583" i="3"/>
  <c r="BK583" i="3"/>
  <c r="BM583" i="3"/>
  <c r="BN583" i="3"/>
  <c r="BO583" i="3"/>
  <c r="BP583" i="3"/>
  <c r="BR583" i="3"/>
  <c r="BS583" i="3"/>
  <c r="BT583" i="3"/>
  <c r="H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F70" i="43"/>
  <c r="H73" i="43"/>
  <c r="M11"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BA13" i="3"/>
  <c r="BL13" i="3"/>
  <c r="AZ13" i="3"/>
  <c r="BL17" i="3"/>
  <c r="AZ17" i="3"/>
  <c r="AZ19" i="3"/>
  <c r="AZ26" i="3"/>
  <c r="AZ35" i="3"/>
  <c r="AZ41" i="3"/>
  <c r="AZ80" i="3"/>
  <c r="AZ84" i="3"/>
  <c r="AZ88" i="3"/>
  <c r="AZ107" i="3"/>
  <c r="AZ111" i="3"/>
  <c r="AZ149" i="3"/>
  <c r="AZ157" i="3"/>
  <c r="AZ165" i="3"/>
  <c r="AZ173" i="3"/>
  <c r="AZ181" i="3"/>
  <c r="AZ189" i="3"/>
  <c r="AZ197" i="3"/>
  <c r="AZ213" i="3"/>
  <c r="AZ224" i="3"/>
  <c r="AZ234" i="3"/>
  <c r="AZ238" i="3"/>
  <c r="AZ250" i="3"/>
  <c r="AZ254" i="3"/>
  <c r="AZ281" i="3"/>
  <c r="AZ286" i="3"/>
  <c r="AZ297" i="3"/>
  <c r="AZ367" i="3"/>
  <c r="AZ5" i="3"/>
  <c r="S12" i="1"/>
  <c r="R12" i="1"/>
  <c r="B12" i="1"/>
  <c r="E12" i="1"/>
  <c r="S10" i="1"/>
  <c r="AQ10" i="1"/>
  <c r="R10" i="1"/>
  <c r="B10" i="1"/>
  <c r="E10" i="1"/>
  <c r="K12" i="1"/>
  <c r="M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25" i="3"/>
  <c r="E10" i="6"/>
  <c r="BA5" i="3"/>
  <c r="E11" i="6"/>
  <c r="E61" i="39"/>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48" i="43"/>
  <c r="B46" i="43"/>
  <c r="C24"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C46" i="36"/>
  <c r="D46" i="36"/>
  <c r="C59" i="34"/>
  <c r="D59" i="34"/>
  <c r="E59" i="34"/>
  <c r="F59" i="34"/>
  <c r="G59" i="34"/>
  <c r="C52" i="37"/>
  <c r="D52" i="37"/>
  <c r="A4" i="51"/>
  <c r="B6" i="72"/>
  <c r="H66" i="43"/>
  <c r="H65" i="43"/>
  <c r="H64" i="43"/>
  <c r="H63" i="43"/>
  <c r="H72" i="43"/>
  <c r="L20" i="6"/>
  <c r="L27" i="6"/>
  <c r="E62"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30" i="11"/>
  <c r="C48" i="11"/>
  <c r="E63" i="39"/>
  <c r="T11" i="1"/>
  <c r="D9" i="69"/>
  <c r="C9" i="69"/>
  <c r="AQ9" i="1"/>
  <c r="AR11" i="1"/>
  <c r="E59" i="40"/>
  <c r="E30" i="6"/>
  <c r="K15" i="1"/>
  <c r="T9" i="1"/>
  <c r="T13" i="1"/>
  <c r="E217" i="3"/>
  <c r="E526" i="3"/>
  <c r="E268" i="3"/>
  <c r="E322" i="3"/>
  <c r="AJ6" i="3"/>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c r="BL5"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C36" i="69"/>
  <c r="Q16" i="1"/>
  <c r="F27" i="69"/>
  <c r="C47" i="69"/>
  <c r="D45" i="69"/>
  <c r="AB45" i="21"/>
  <c r="AC33" i="21"/>
  <c r="W33" i="21"/>
  <c r="S33" i="21"/>
  <c r="AA33" i="21"/>
  <c r="W32" i="21"/>
  <c r="AC32" i="21"/>
  <c r="AB9" i="21"/>
  <c r="U9" i="21"/>
  <c r="AA32" i="21"/>
  <c r="S32" i="21"/>
  <c r="W9" i="21"/>
  <c r="AC9" i="21"/>
  <c r="AB32" i="21"/>
  <c r="U32" i="21"/>
  <c r="AA10" i="21"/>
  <c r="S10" i="21"/>
  <c r="E27" i="6"/>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8" i="69"/>
  <c r="AE7" i="1"/>
  <c r="AE8" i="1"/>
  <c r="AG6" i="1"/>
  <c r="H112" i="9"/>
  <c r="D21" i="53"/>
  <c r="B39" i="72"/>
  <c r="H111" i="9"/>
  <c r="D126" i="9"/>
  <c r="I14" i="74"/>
  <c r="B8" i="74"/>
  <c r="D59" i="9"/>
  <c r="M55" i="9"/>
  <c r="J1" i="73"/>
  <c r="C13" i="12"/>
  <c r="C77" i="9"/>
  <c r="H77" i="43"/>
  <c r="H76" i="43"/>
  <c r="H67" i="43"/>
  <c r="H59" i="43"/>
  <c r="H60" i="43"/>
  <c r="H61" i="43"/>
  <c r="M4" i="43"/>
  <c r="M5" i="43"/>
  <c r="N12" i="43"/>
  <c r="N11" i="43"/>
  <c r="M10" i="43"/>
  <c r="M2" i="43"/>
  <c r="M7" i="43"/>
  <c r="C6" i="43"/>
  <c r="H70" i="43"/>
  <c r="N9" i="43"/>
  <c r="M8" i="43"/>
  <c r="N10" i="43"/>
  <c r="H74" i="43"/>
  <c r="M6" i="43"/>
  <c r="N4" i="43"/>
  <c r="N2" i="43"/>
  <c r="N17" i="43"/>
  <c r="L17" i="43"/>
  <c r="O17" i="43"/>
  <c r="M17" i="43"/>
  <c r="E17" i="43"/>
  <c r="U13" i="71"/>
  <c r="S13" i="71"/>
  <c r="T13" i="71"/>
  <c r="S9" i="71"/>
  <c r="E7" i="49"/>
  <c r="E10" i="49"/>
  <c r="P24" i="43"/>
  <c r="B66" i="40"/>
  <c r="P21" i="43"/>
  <c r="P22" i="43"/>
  <c r="B13" i="49"/>
  <c r="E4" i="4"/>
  <c r="E6" i="49"/>
  <c r="E4" i="49"/>
  <c r="B22" i="49"/>
  <c r="H59" i="34"/>
  <c r="I59" i="34"/>
  <c r="J59" i="34"/>
  <c r="V9" i="71"/>
  <c r="P23" i="43"/>
  <c r="B71" i="39"/>
  <c r="P25" i="43"/>
  <c r="T9" i="71"/>
  <c r="M20" i="43"/>
  <c r="C19" i="43"/>
  <c r="U9" i="71"/>
  <c r="E9" i="49"/>
  <c r="B11" i="49"/>
  <c r="E8" i="49"/>
  <c r="E11" i="49"/>
  <c r="B4" i="49"/>
  <c r="L48" i="67"/>
  <c r="D2" i="34"/>
  <c r="D2" i="33"/>
  <c r="F40" i="15"/>
  <c r="M27" i="67"/>
  <c r="B8" i="76"/>
  <c r="AO7" i="1"/>
  <c r="D2" i="21"/>
  <c r="E11" i="76"/>
  <c r="F43" i="15"/>
  <c r="F36" i="67"/>
  <c r="AO12" i="1"/>
  <c r="F8" i="15"/>
  <c r="F40" i="67"/>
  <c r="M21" i="67"/>
  <c r="F35" i="67"/>
  <c r="J15" i="15"/>
  <c r="F7" i="67"/>
  <c r="M24" i="67"/>
  <c r="AO13" i="1"/>
  <c r="F7" i="15"/>
  <c r="B9" i="76"/>
  <c r="M28" i="67"/>
  <c r="F13" i="15"/>
  <c r="M23" i="15"/>
  <c r="J15" i="67"/>
  <c r="F3" i="73"/>
  <c r="L47" i="67"/>
  <c r="M29" i="15"/>
  <c r="M22" i="67"/>
  <c r="M8" i="67"/>
  <c r="M6" i="15"/>
  <c r="AO9" i="1"/>
  <c r="F37" i="67"/>
  <c r="F37" i="15"/>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31" i="15"/>
  <c r="D5" i="73"/>
  <c r="E7" i="76"/>
  <c r="M23" i="67"/>
  <c r="F42" i="15"/>
  <c r="D2" i="35"/>
  <c r="F26" i="15"/>
  <c r="F43" i="67"/>
  <c r="M27" i="15"/>
  <c r="F8" i="67"/>
  <c r="E10" i="76"/>
  <c r="E12" i="76"/>
  <c r="E8" i="76"/>
  <c r="F4" i="73"/>
  <c r="B12" i="76"/>
  <c r="F31" i="67"/>
  <c r="B6" i="49"/>
  <c r="E22" i="49"/>
  <c r="B10" i="49"/>
  <c r="E21" i="49"/>
  <c r="E13" i="49"/>
  <c r="B14" i="49"/>
  <c r="B8" i="49"/>
  <c r="B9" i="49"/>
  <c r="E14" i="49"/>
  <c r="D1" i="66"/>
  <c r="G7" i="1"/>
  <c r="I20" i="78"/>
  <c r="T8" i="1"/>
  <c r="E20" i="78"/>
  <c r="H52" i="78"/>
  <c r="H51" i="78"/>
  <c r="H56" i="78"/>
  <c r="H55" i="78"/>
  <c r="H54" i="78"/>
  <c r="H53" i="78"/>
  <c r="H50" i="78"/>
  <c r="H49" i="78"/>
  <c r="H48" i="78"/>
  <c r="G17"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22" i="78"/>
  <c r="C21"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c r="K118" i="78"/>
  <c r="L118" i="78"/>
  <c r="M118" i="78"/>
  <c r="G118" i="78"/>
  <c r="H118" i="78"/>
  <c r="I117" i="78"/>
  <c r="J117" i="78"/>
  <c r="K117" i="78"/>
  <c r="L117" i="78"/>
  <c r="M117" i="78"/>
  <c r="D118" i="78"/>
  <c r="E118" i="78"/>
  <c r="F118" i="78"/>
  <c r="B118" i="78"/>
  <c r="C118" i="78"/>
  <c r="D117" i="78"/>
  <c r="E117" i="78"/>
  <c r="F117" i="78"/>
  <c r="G117" i="78"/>
  <c r="H117" i="78"/>
  <c r="B117" i="78"/>
  <c r="C117" i="78"/>
  <c r="D116" i="78"/>
  <c r="E116" i="78"/>
  <c r="F116" i="78"/>
  <c r="G116" i="78"/>
  <c r="H116" i="78"/>
  <c r="B116" i="78"/>
  <c r="C116" i="78"/>
  <c r="D115" i="78"/>
  <c r="E115" i="78"/>
  <c r="F115" i="78"/>
  <c r="G115" i="78"/>
  <c r="H115" i="78"/>
  <c r="B115" i="78"/>
  <c r="C115" i="78"/>
  <c r="I116" i="78"/>
  <c r="J116" i="78"/>
  <c r="K116" i="78"/>
  <c r="L116" i="78"/>
  <c r="M116" i="78"/>
  <c r="I115" i="78"/>
  <c r="J115" i="78"/>
  <c r="K115" i="78"/>
  <c r="L115" i="78"/>
  <c r="M115" i="78"/>
  <c r="E10" i="43"/>
  <c r="E8" i="43"/>
  <c r="E11" i="43"/>
  <c r="E9" i="43"/>
  <c r="J17" i="43"/>
  <c r="I17" i="43"/>
  <c r="D17" i="43"/>
  <c r="H113" i="43"/>
  <c r="C15" i="39"/>
  <c r="C27" i="39"/>
  <c r="C94" i="9"/>
  <c r="C92" i="9"/>
  <c r="F30" i="69"/>
  <c r="C30" i="69"/>
  <c r="F52" i="9"/>
  <c r="D68" i="9"/>
  <c r="F28" i="15"/>
  <c r="F32" i="67"/>
  <c r="F60" i="67"/>
  <c r="F28" i="67"/>
  <c r="C28" i="67"/>
  <c r="C24" i="12"/>
  <c r="C74" i="9"/>
  <c r="C30" i="11"/>
  <c r="F54" i="9"/>
  <c r="M18" i="15"/>
  <c r="F32" i="15"/>
  <c r="F60" i="15"/>
  <c r="M18" i="67"/>
  <c r="F31" i="12"/>
  <c r="F30" i="68"/>
  <c r="F27" i="68"/>
  <c r="C29" i="68"/>
  <c r="D27" i="68"/>
  <c r="E2" i="70"/>
  <c r="H16" i="1"/>
  <c r="AY6" i="3"/>
  <c r="E3" i="6"/>
  <c r="E495" i="3"/>
  <c r="E385" i="3"/>
  <c r="E353" i="3"/>
  <c r="E128" i="3"/>
  <c r="E165" i="3"/>
  <c r="E205" i="3"/>
  <c r="E227" i="3"/>
  <c r="E352" i="3"/>
  <c r="E461" i="3"/>
  <c r="E510" i="3"/>
  <c r="E567" i="3"/>
  <c r="E545" i="3"/>
  <c r="E539" i="3"/>
  <c r="E329" i="3"/>
  <c r="D9" i="68"/>
  <c r="C9" i="68"/>
  <c r="N6" i="3"/>
  <c r="E282" i="3"/>
  <c r="E553" i="3"/>
  <c r="E366" i="3"/>
  <c r="D19" i="12"/>
  <c r="C19" i="12"/>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66" i="39"/>
  <c r="E328" i="3"/>
  <c r="E508" i="3"/>
  <c r="E426" i="3"/>
  <c r="E305" i="3"/>
  <c r="E153" i="3"/>
  <c r="E343" i="3"/>
  <c r="E501" i="3"/>
  <c r="E530" i="3"/>
  <c r="E319" i="3"/>
  <c r="E175" i="3"/>
  <c r="E53" i="3"/>
  <c r="E31" i="6"/>
  <c r="E16" i="6"/>
  <c r="K16" i="1"/>
  <c r="C35" i="69"/>
  <c r="F27" i="11"/>
  <c r="F28" i="12"/>
  <c r="C29" i="12"/>
  <c r="D28" i="12"/>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85" i="3"/>
  <c r="AY89" i="3"/>
  <c r="AY555" i="3"/>
  <c r="AY533" i="3"/>
  <c r="AY549" i="3"/>
  <c r="AY420" i="3"/>
  <c r="AY310" i="3"/>
  <c r="AY372" i="3"/>
  <c r="AY260" i="3"/>
  <c r="AY26" i="3"/>
  <c r="AY441" i="3"/>
  <c r="AY473" i="3"/>
  <c r="AY366" i="3"/>
  <c r="AY236" i="3"/>
  <c r="AY168" i="3"/>
  <c r="AY281" i="3"/>
  <c r="AY42" i="3"/>
  <c r="AY124" i="3"/>
  <c r="AY207" i="3"/>
  <c r="D3" i="34"/>
  <c r="D3" i="33"/>
  <c r="E6" i="6"/>
  <c r="L18" i="9"/>
  <c r="D3" i="37"/>
  <c r="D3" i="21"/>
  <c r="D19" i="11"/>
  <c r="C19" i="11"/>
  <c r="C20" i="11"/>
  <c r="D37" i="11"/>
  <c r="M18" i="9"/>
  <c r="B118" i="9"/>
  <c r="B14" i="74"/>
  <c r="B1" i="74"/>
  <c r="C8"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Q7" i="1"/>
  <c r="T7" i="1"/>
  <c r="O11" i="1"/>
  <c r="P11" i="1"/>
  <c r="O9" i="1"/>
  <c r="P9" i="1"/>
  <c r="M16" i="1"/>
  <c r="O8" i="1"/>
  <c r="P8" i="1"/>
  <c r="O14" i="1"/>
  <c r="P14" i="1"/>
  <c r="P6" i="1"/>
  <c r="O12" i="1"/>
  <c r="P12"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C29" i="69"/>
  <c r="D27" i="69"/>
  <c r="D19" i="53"/>
  <c r="D12" i="52"/>
  <c r="D127" i="9"/>
  <c r="D13" i="52"/>
  <c r="K4" i="4"/>
  <c r="B46" i="48"/>
  <c r="B4" i="72"/>
  <c r="B5" i="62"/>
  <c r="B73" i="72"/>
  <c r="D68" i="39"/>
  <c r="C70" i="39"/>
  <c r="G16" i="1"/>
  <c r="J10" i="39"/>
  <c r="K59" i="34"/>
  <c r="L59" i="34"/>
  <c r="M59" i="34"/>
  <c r="N59" i="34"/>
  <c r="O59" i="34"/>
  <c r="H7" i="34"/>
  <c r="E52" i="37"/>
  <c r="F52" i="37"/>
  <c r="G52" i="37"/>
  <c r="H52" i="37"/>
  <c r="I52" i="37"/>
  <c r="J52" i="37"/>
  <c r="K52" i="37"/>
  <c r="L52" i="37"/>
  <c r="M52" i="37"/>
  <c r="N52" i="37"/>
  <c r="O52" i="37"/>
  <c r="F7" i="37"/>
  <c r="E46" i="36"/>
  <c r="F46" i="36"/>
  <c r="G46" i="36"/>
  <c r="H46" i="36"/>
  <c r="I46" i="36"/>
  <c r="J46" i="36"/>
  <c r="K46" i="36"/>
  <c r="L46" i="36"/>
  <c r="M46" i="36"/>
  <c r="N46" i="36"/>
  <c r="O46" i="36"/>
  <c r="D58" i="21"/>
  <c r="E48" i="35"/>
  <c r="F48" i="35"/>
  <c r="G48" i="35"/>
  <c r="H48" i="35"/>
  <c r="I48" i="35"/>
  <c r="J48" i="35"/>
  <c r="K48" i="35"/>
  <c r="L48" i="35"/>
  <c r="M48" i="35"/>
  <c r="N48" i="35"/>
  <c r="O48" i="35"/>
  <c r="H7" i="35"/>
  <c r="J7" i="35"/>
  <c r="F7" i="35"/>
  <c r="C65" i="40"/>
  <c r="D63" i="40"/>
  <c r="D58" i="33"/>
  <c r="E58" i="33"/>
  <c r="F58" i="33"/>
  <c r="G58" i="33"/>
  <c r="H58" i="33"/>
  <c r="I58" i="33"/>
  <c r="J58" i="33"/>
  <c r="K58" i="33"/>
  <c r="L58" i="33"/>
  <c r="M58" i="33"/>
  <c r="N58" i="33"/>
  <c r="O58" i="33"/>
  <c r="J7" i="33"/>
  <c r="F7" i="33"/>
  <c r="H7" i="33"/>
  <c r="C28" i="15"/>
  <c r="I1" i="73"/>
  <c r="B39" i="1"/>
  <c r="F51" i="67"/>
  <c r="F71" i="67"/>
  <c r="C27" i="15"/>
  <c r="K1" i="73"/>
  <c r="C6" i="15"/>
  <c r="F69" i="67"/>
  <c r="E20" i="43"/>
  <c r="F66" i="67"/>
  <c r="B10" i="70"/>
  <c r="B11" i="70"/>
  <c r="N59" i="15"/>
  <c r="M59" i="15"/>
  <c r="L59" i="15"/>
  <c r="L58" i="15"/>
  <c r="B8" i="70"/>
  <c r="F66" i="15"/>
  <c r="Q71" i="67"/>
  <c r="Q71" i="15"/>
  <c r="F64" i="15"/>
  <c r="F70" i="67"/>
  <c r="C6" i="67"/>
  <c r="B20" i="31"/>
  <c r="C27" i="67"/>
  <c r="J53" i="15"/>
  <c r="L56" i="15"/>
  <c r="J57" i="15"/>
  <c r="J55" i="15"/>
  <c r="J58" i="15"/>
  <c r="Q50" i="15"/>
  <c r="I54" i="15"/>
  <c r="F65" i="15"/>
  <c r="F65" i="67"/>
  <c r="B9" i="70"/>
  <c r="M59" i="67"/>
  <c r="N59" i="67"/>
  <c r="L58" i="67"/>
  <c r="L59" i="67"/>
  <c r="F50" i="15"/>
  <c r="M7" i="15"/>
  <c r="B13" i="70"/>
  <c r="M7" i="67"/>
  <c r="F50" i="67"/>
  <c r="F63" i="67"/>
  <c r="C62" i="67"/>
  <c r="C34" i="67"/>
  <c r="J20" i="67"/>
  <c r="F68" i="67"/>
  <c r="F51" i="15"/>
  <c r="B12" i="70"/>
  <c r="F64" i="67"/>
  <c r="F71" i="15"/>
  <c r="B7" i="70"/>
  <c r="F68" i="15"/>
  <c r="J53" i="67"/>
  <c r="I54" i="67"/>
  <c r="J57" i="67"/>
  <c r="J55" i="67"/>
  <c r="J58" i="67"/>
  <c r="Q50" i="67"/>
  <c r="L56" i="67"/>
  <c r="T6" i="1"/>
  <c r="C14" i="15"/>
  <c r="C17" i="67"/>
  <c r="C16" i="67"/>
  <c r="F59" i="15"/>
  <c r="F59" i="67"/>
  <c r="C14" i="67"/>
  <c r="G1" i="73"/>
  <c r="C16" i="15"/>
  <c r="M17" i="15"/>
  <c r="M17" i="67"/>
  <c r="C17" i="15"/>
  <c r="D113" i="78"/>
  <c r="M48" i="78"/>
  <c r="N48" i="78"/>
  <c r="K48" i="78"/>
  <c r="J48" i="78"/>
  <c r="M50" i="78"/>
  <c r="K50" i="78"/>
  <c r="J50" i="78"/>
  <c r="M54" i="78"/>
  <c r="N54" i="78"/>
  <c r="K54" i="78"/>
  <c r="J54" i="78"/>
  <c r="M56" i="78"/>
  <c r="N56" i="78"/>
  <c r="K56" i="78"/>
  <c r="J56" i="78"/>
  <c r="K52" i="78"/>
  <c r="M52" i="78"/>
  <c r="N52" i="78"/>
  <c r="M49" i="78"/>
  <c r="N49" i="78"/>
  <c r="K49" i="78"/>
  <c r="M53" i="78"/>
  <c r="N53" i="78"/>
  <c r="K53" i="78"/>
  <c r="M55" i="78"/>
  <c r="N55" i="78"/>
  <c r="K55" i="78"/>
  <c r="K51" i="78"/>
  <c r="M51" i="78"/>
  <c r="N51" i="78"/>
  <c r="P28" i="78"/>
  <c r="N28" i="78"/>
  <c r="O28" i="78"/>
  <c r="M28" i="78"/>
  <c r="G20" i="78"/>
  <c r="G17" i="43"/>
  <c r="C16" i="43"/>
  <c r="D5" i="43"/>
  <c r="D22" i="43"/>
  <c r="C48" i="69"/>
  <c r="C48" i="68"/>
  <c r="C30" i="68"/>
  <c r="H10" i="39"/>
  <c r="AB10" i="39"/>
  <c r="C47" i="68"/>
  <c r="D45" i="68"/>
  <c r="F31" i="6"/>
  <c r="C15" i="15"/>
  <c r="C18" i="15"/>
  <c r="H6" i="3"/>
  <c r="E6" i="3"/>
  <c r="D14" i="12"/>
  <c r="C17" i="4"/>
  <c r="B4" i="52"/>
  <c r="B43" i="72"/>
  <c r="AY51" i="3"/>
  <c r="AY34" i="3"/>
  <c r="AY95" i="3"/>
  <c r="AY111" i="3"/>
  <c r="AY382" i="3"/>
  <c r="AY460" i="3"/>
  <c r="AY300" i="3"/>
  <c r="AY327" i="3"/>
  <c r="AY401"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87" i="3"/>
  <c r="AY152" i="3"/>
  <c r="AY303" i="3"/>
  <c r="AY217" i="3"/>
  <c r="AY544" i="3"/>
  <c r="AY69" i="3"/>
  <c r="AY198" i="3"/>
  <c r="AY141" i="3"/>
  <c r="AY255" i="3"/>
  <c r="AY384"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463" i="3"/>
  <c r="AY129" i="3"/>
  <c r="AY426" i="3"/>
  <c r="AY565" i="3"/>
  <c r="AY46" i="3"/>
  <c r="AY135" i="3"/>
  <c r="AY232" i="3"/>
  <c r="AY362" i="3"/>
  <c r="AY469" i="3"/>
  <c r="AY437" i="3"/>
  <c r="AY560" i="3"/>
  <c r="AY55" i="3"/>
  <c r="AY200" i="3"/>
  <c r="AY175" i="3"/>
  <c r="AY293" i="3"/>
  <c r="AY272" i="3"/>
  <c r="AY208" i="3"/>
  <c r="AY351" i="3"/>
  <c r="AY322" i="3"/>
  <c r="AY474" i="3"/>
  <c r="AY432" i="3"/>
  <c r="AY413" i="3"/>
  <c r="AY15" i="3"/>
  <c r="BT6" i="3"/>
  <c r="AY144" i="3"/>
  <c r="AY529" i="3"/>
  <c r="AY105" i="3"/>
  <c r="AY162" i="3"/>
  <c r="AY238" i="3"/>
  <c r="AY104" i="3"/>
  <c r="AY177" i="3"/>
  <c r="AY210" i="3"/>
  <c r="AY332" i="3"/>
  <c r="AY446" i="3"/>
  <c r="BM6" i="3"/>
  <c r="AY510" i="3"/>
  <c r="AY519" i="3"/>
  <c r="AY189" i="3"/>
  <c r="AY266" i="3"/>
  <c r="AY364" i="3"/>
  <c r="AY344" i="3"/>
  <c r="AY471" i="3"/>
  <c r="AY458" i="3"/>
  <c r="AY439" i="3"/>
  <c r="AY506" i="3"/>
  <c r="AY524" i="3"/>
  <c r="AY542" i="3"/>
  <c r="AY578" i="3"/>
  <c r="AY63"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3" i="3"/>
  <c r="AY52" i="3"/>
  <c r="AY291" i="3"/>
  <c r="AY368" i="3"/>
  <c r="AY24" i="3"/>
  <c r="AY290" i="3"/>
  <c r="AY349" i="3"/>
  <c r="AY488" i="3"/>
  <c r="AY427" i="3"/>
  <c r="BF6" i="3"/>
  <c r="AY584" i="3"/>
  <c r="AY80" i="3"/>
  <c r="AY380" i="3"/>
  <c r="AY329" i="3"/>
  <c r="AY312" i="3"/>
  <c r="AY468" i="3"/>
  <c r="AY407" i="3"/>
  <c r="AY14" i="3"/>
  <c r="AY570" i="3"/>
  <c r="AY99" i="3"/>
  <c r="AY192" i="3"/>
  <c r="AY156" i="3"/>
  <c r="AY285" i="3"/>
  <c r="AY249" i="3"/>
  <c r="AY378" i="3"/>
  <c r="AY346" i="3"/>
  <c r="AY456" i="3"/>
  <c r="AY558" i="3"/>
  <c r="BL6" i="3"/>
  <c r="AY91" i="3"/>
  <c r="AY54" i="3"/>
  <c r="AY22" i="3"/>
  <c r="AY195" i="3"/>
  <c r="AY164" i="3"/>
  <c r="AY143" i="3"/>
  <c r="AY136" i="3"/>
  <c r="AY288" i="3"/>
  <c r="AY257" i="3"/>
  <c r="AY240" i="3"/>
  <c r="AY386" i="3"/>
  <c r="AY375" i="3"/>
  <c r="AY339" i="3"/>
  <c r="AY307" i="3"/>
  <c r="AY477" i="3"/>
  <c r="AY443" i="3"/>
  <c r="AY400" i="3"/>
  <c r="AY521" i="3"/>
  <c r="AY566" i="3"/>
  <c r="AY583" i="3"/>
  <c r="AY567" i="3"/>
  <c r="F10" i="40"/>
  <c r="S10" i="40"/>
  <c r="J10" i="40"/>
  <c r="W10" i="40"/>
  <c r="K20" i="6"/>
  <c r="M20" i="6"/>
  <c r="I20" i="6"/>
  <c r="K24" i="6"/>
  <c r="M24" i="6"/>
  <c r="I24" i="6"/>
  <c r="K21" i="6"/>
  <c r="M21" i="6"/>
  <c r="I21" i="6"/>
  <c r="K26" i="6"/>
  <c r="M26" i="6"/>
  <c r="I26" i="6"/>
  <c r="K25" i="6"/>
  <c r="M25" i="6"/>
  <c r="I25" i="6"/>
  <c r="K22" i="6"/>
  <c r="M22" i="6"/>
  <c r="I22" i="6"/>
  <c r="K23" i="6"/>
  <c r="M23" i="6"/>
  <c r="I23" i="6"/>
  <c r="C28" i="11"/>
  <c r="C27" i="11"/>
  <c r="C47" i="11"/>
  <c r="D45" i="11"/>
  <c r="C29" i="11"/>
  <c r="D27" i="11"/>
  <c r="D10" i="68"/>
  <c r="D20" i="12"/>
  <c r="C20" i="12"/>
  <c r="D6" i="6"/>
  <c r="D10" i="69"/>
  <c r="D10" i="11"/>
  <c r="C10" i="11"/>
  <c r="O16" i="1"/>
  <c r="N16" i="1"/>
  <c r="L16" i="1"/>
  <c r="P16" i="1"/>
  <c r="C11" i="12"/>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H10" i="40"/>
  <c r="U10" i="40"/>
  <c r="F10" i="39"/>
  <c r="S10" i="39"/>
  <c r="B38" i="72"/>
  <c r="D20" i="53"/>
  <c r="B40" i="72"/>
  <c r="E68" i="39"/>
  <c r="D70" i="39"/>
  <c r="AB7" i="33"/>
  <c r="T48" i="33"/>
  <c r="G48" i="33"/>
  <c r="U7" i="33"/>
  <c r="AA10" i="40"/>
  <c r="S7" i="33"/>
  <c r="AA7" i="33"/>
  <c r="R48" i="33"/>
  <c r="AC7" i="35"/>
  <c r="V38" i="35"/>
  <c r="I38" i="35"/>
  <c r="W7" i="35"/>
  <c r="H7" i="36"/>
  <c r="F7" i="36"/>
  <c r="H7" i="37"/>
  <c r="J7" i="37"/>
  <c r="J7" i="34"/>
  <c r="F7" i="34"/>
  <c r="AA10" i="39"/>
  <c r="AC10" i="39"/>
  <c r="W10" i="39"/>
  <c r="W7" i="33"/>
  <c r="AC7" i="33"/>
  <c r="V48" i="33"/>
  <c r="I48" i="33"/>
  <c r="E63" i="40"/>
  <c r="D65" i="40"/>
  <c r="AA7" i="35"/>
  <c r="R38" i="35"/>
  <c r="S7" i="35"/>
  <c r="AB7" i="35"/>
  <c r="T38" i="35"/>
  <c r="G38" i="35"/>
  <c r="U7" i="35"/>
  <c r="E58" i="21"/>
  <c r="J7" i="36"/>
  <c r="S7" i="37"/>
  <c r="AA7" i="37"/>
  <c r="R42" i="37"/>
  <c r="AB7" i="34"/>
  <c r="T49" i="34"/>
  <c r="G49" i="34"/>
  <c r="U7" i="34"/>
  <c r="B40" i="1"/>
  <c r="C15" i="67"/>
  <c r="C18" i="67"/>
  <c r="C49" i="15"/>
  <c r="Q61" i="67"/>
  <c r="Q74" i="67"/>
  <c r="J6" i="15"/>
  <c r="C32" i="67"/>
  <c r="Q60" i="15"/>
  <c r="Q73" i="15"/>
  <c r="Q74" i="15"/>
  <c r="Q61" i="15"/>
  <c r="M28" i="43"/>
  <c r="G20" i="43"/>
  <c r="P28" i="43"/>
  <c r="N28" i="43"/>
  <c r="O28" i="43"/>
  <c r="M11" i="67"/>
  <c r="J10" i="67"/>
  <c r="M11" i="15"/>
  <c r="F11" i="67"/>
  <c r="F11" i="15"/>
  <c r="F1" i="67"/>
  <c r="Q52" i="67"/>
  <c r="Q60" i="67"/>
  <c r="Q73" i="67"/>
  <c r="F1" i="15"/>
  <c r="Q52" i="15"/>
  <c r="J6" i="67"/>
  <c r="C32" i="15"/>
  <c r="C49" i="67"/>
  <c r="AE6" i="1"/>
  <c r="F41" i="15"/>
  <c r="F69" i="15"/>
  <c r="F11" i="12"/>
  <c r="F34" i="11"/>
  <c r="F34" i="68"/>
  <c r="E41" i="78"/>
  <c r="C41" i="78"/>
  <c r="C20" i="78"/>
  <c r="J55" i="78"/>
  <c r="D55" i="78"/>
  <c r="J53" i="78"/>
  <c r="D53" i="78"/>
  <c r="J49" i="78"/>
  <c r="D49" i="78"/>
  <c r="D51" i="78"/>
  <c r="J51" i="78"/>
  <c r="D52" i="78"/>
  <c r="J52" i="78"/>
  <c r="N50" i="78"/>
  <c r="D50" i="78"/>
  <c r="C5" i="43"/>
  <c r="E41" i="43"/>
  <c r="C41" i="43"/>
  <c r="C39" i="43"/>
  <c r="C20" i="43"/>
  <c r="C33" i="43"/>
  <c r="C19" i="15"/>
  <c r="C20" i="15"/>
  <c r="U10" i="39"/>
  <c r="AC10" i="40"/>
  <c r="AQ6" i="1"/>
  <c r="AR6" i="1"/>
  <c r="T16" i="1"/>
  <c r="S16" i="1"/>
  <c r="D17" i="12"/>
  <c r="C17" i="12"/>
  <c r="D9" i="6"/>
  <c r="D13" i="6"/>
  <c r="D28" i="6"/>
  <c r="E61" i="40"/>
  <c r="M19" i="9"/>
  <c r="C118" i="9"/>
  <c r="C14" i="74"/>
  <c r="B2" i="74"/>
  <c r="D8" i="74"/>
  <c r="D15" i="6"/>
  <c r="D21" i="6"/>
  <c r="D20" i="6"/>
  <c r="D12" i="6"/>
  <c r="D11" i="6"/>
  <c r="L19" i="9"/>
  <c r="D29" i="6"/>
  <c r="D25" i="6"/>
  <c r="D22" i="6"/>
  <c r="D24" i="6"/>
  <c r="D19" i="6"/>
  <c r="C18" i="4"/>
  <c r="D23" i="6"/>
  <c r="D5" i="6"/>
  <c r="D10" i="6"/>
  <c r="D26" i="6"/>
  <c r="D8" i="6"/>
  <c r="D14" i="6"/>
  <c r="S22" i="6"/>
  <c r="H22" i="6"/>
  <c r="K27" i="6"/>
  <c r="M19" i="6"/>
  <c r="S21" i="6"/>
  <c r="H21" i="6"/>
  <c r="R21" i="6"/>
  <c r="S20" i="6"/>
  <c r="H20" i="6"/>
  <c r="S23" i="6"/>
  <c r="H23" i="6"/>
  <c r="S25" i="6"/>
  <c r="H25" i="6"/>
  <c r="R25" i="6"/>
  <c r="H26" i="6"/>
  <c r="S26" i="6"/>
  <c r="S24" i="6"/>
  <c r="H24" i="6"/>
  <c r="R24" i="6"/>
  <c r="AB10" i="40"/>
  <c r="C10" i="69"/>
  <c r="C8" i="69"/>
  <c r="C5" i="69"/>
  <c r="D19" i="69"/>
  <c r="C10" i="68"/>
  <c r="B29" i="1"/>
  <c r="D19" i="68"/>
  <c r="C15" i="12"/>
  <c r="C12" i="12"/>
  <c r="F50" i="11"/>
  <c r="F50" i="68"/>
  <c r="F50" i="69"/>
  <c r="C115" i="43"/>
  <c r="D113" i="43"/>
  <c r="S7" i="43"/>
  <c r="C23" i="43"/>
  <c r="C21" i="43"/>
  <c r="S5" i="43"/>
  <c r="S4" i="43"/>
  <c r="S3" i="43"/>
  <c r="S2" i="43"/>
  <c r="S6" i="43"/>
  <c r="F68" i="39"/>
  <c r="E70" i="39"/>
  <c r="C19" i="67"/>
  <c r="C20" i="67"/>
  <c r="C26" i="67"/>
  <c r="I52" i="33"/>
  <c r="J52" i="33"/>
  <c r="W7" i="37"/>
  <c r="AC7" i="37"/>
  <c r="V42" i="37"/>
  <c r="I42" i="37"/>
  <c r="E42" i="37"/>
  <c r="R43" i="37"/>
  <c r="W7" i="36"/>
  <c r="AC7" i="36"/>
  <c r="V36" i="36"/>
  <c r="I36" i="36"/>
  <c r="F58" i="21"/>
  <c r="G42" i="35"/>
  <c r="H42" i="35"/>
  <c r="G43" i="35"/>
  <c r="H43" i="35"/>
  <c r="R39" i="35"/>
  <c r="E38" i="35"/>
  <c r="F63" i="40"/>
  <c r="E65" i="40"/>
  <c r="AC7" i="34"/>
  <c r="V49" i="34"/>
  <c r="I49" i="34"/>
  <c r="W7" i="34"/>
  <c r="U7" i="37"/>
  <c r="AB7" i="37"/>
  <c r="T42" i="37"/>
  <c r="G42" i="37"/>
  <c r="U7" i="36"/>
  <c r="AB7" i="36"/>
  <c r="T36" i="36"/>
  <c r="G36" i="36"/>
  <c r="I42" i="35"/>
  <c r="J42" i="35"/>
  <c r="I43" i="35"/>
  <c r="J43" i="35"/>
  <c r="E48" i="33"/>
  <c r="R49" i="33"/>
  <c r="G52" i="33"/>
  <c r="H52" i="33"/>
  <c r="G53" i="33"/>
  <c r="H53" i="33"/>
  <c r="G53" i="34"/>
  <c r="H53" i="34"/>
  <c r="G54" i="34"/>
  <c r="H54" i="34"/>
  <c r="AA7" i="34"/>
  <c r="R49" i="34"/>
  <c r="S7" i="34"/>
  <c r="AA7" i="36"/>
  <c r="R36" i="36"/>
  <c r="S7" i="36"/>
  <c r="C53" i="15"/>
  <c r="C10" i="15"/>
  <c r="C5" i="15"/>
  <c r="J5" i="67"/>
  <c r="J18" i="67"/>
  <c r="C10" i="67"/>
  <c r="C5" i="67"/>
  <c r="C53" i="67"/>
  <c r="C48" i="67"/>
  <c r="J10" i="15"/>
  <c r="J5" i="15"/>
  <c r="J18" i="15"/>
  <c r="F24" i="67"/>
  <c r="C24" i="67"/>
  <c r="F25" i="12"/>
  <c r="F22" i="11"/>
  <c r="F24" i="15"/>
  <c r="C24" i="15"/>
  <c r="F22" i="68"/>
  <c r="F22" i="69"/>
  <c r="C48" i="15"/>
  <c r="C14" i="12"/>
  <c r="C16" i="12"/>
  <c r="C36" i="11"/>
  <c r="C37" i="11"/>
  <c r="C34" i="11"/>
  <c r="C36" i="68"/>
  <c r="C34" i="68"/>
  <c r="E48" i="78"/>
  <c r="B46" i="78"/>
  <c r="C24" i="78"/>
  <c r="T6" i="43"/>
  <c r="V6" i="43"/>
  <c r="T3" i="43"/>
  <c r="V3" i="43"/>
  <c r="T5" i="43"/>
  <c r="V5" i="43"/>
  <c r="T7" i="43"/>
  <c r="V7" i="43"/>
  <c r="T12" i="43"/>
  <c r="V12" i="43"/>
  <c r="C34" i="43"/>
  <c r="G34" i="43"/>
  <c r="I34" i="43"/>
  <c r="C35" i="43"/>
  <c r="G35" i="43"/>
  <c r="I35" i="43"/>
  <c r="C36" i="43"/>
  <c r="G36" i="43"/>
  <c r="I36" i="43"/>
  <c r="T14" i="43"/>
  <c r="V14" i="43"/>
  <c r="T2" i="43"/>
  <c r="V2" i="43"/>
  <c r="T4" i="43"/>
  <c r="V4" i="43"/>
  <c r="C29" i="43"/>
  <c r="E29" i="43"/>
  <c r="C37" i="43"/>
  <c r="G37" i="43"/>
  <c r="I37" i="43"/>
  <c r="T8" i="43"/>
  <c r="V8" i="43"/>
  <c r="C38" i="43"/>
  <c r="G38" i="43"/>
  <c r="I38" i="43"/>
  <c r="E39" i="43"/>
  <c r="G39" i="43"/>
  <c r="I39" i="43"/>
  <c r="E34" i="43"/>
  <c r="E35" i="43"/>
  <c r="E33" i="43"/>
  <c r="G33" i="43"/>
  <c r="I33" i="43"/>
  <c r="T9" i="43"/>
  <c r="V9" i="43"/>
  <c r="T10" i="43"/>
  <c r="V10" i="43"/>
  <c r="T15" i="43"/>
  <c r="V15" i="43"/>
  <c r="T16" i="43"/>
  <c r="V16" i="43"/>
  <c r="T13" i="43"/>
  <c r="V13" i="43"/>
  <c r="T11" i="43"/>
  <c r="V11" i="43"/>
  <c r="R23" i="6"/>
  <c r="R20" i="6"/>
  <c r="R22" i="6"/>
  <c r="D30" i="6"/>
  <c r="R26" i="6"/>
  <c r="D16" i="6"/>
  <c r="D27" i="6"/>
  <c r="D31" i="6"/>
  <c r="C4" i="52"/>
  <c r="B45" i="72"/>
  <c r="A7" i="51"/>
  <c r="B7" i="72"/>
  <c r="A10" i="51"/>
  <c r="B9" i="72"/>
  <c r="I19" i="6"/>
  <c r="M27" i="6"/>
  <c r="C19" i="68"/>
  <c r="D37" i="68"/>
  <c r="C37" i="68"/>
  <c r="D37" i="69"/>
  <c r="C37" i="69"/>
  <c r="C33" i="69"/>
  <c r="C39" i="69"/>
  <c r="C46" i="69"/>
  <c r="C45" i="69"/>
  <c r="C19" i="69"/>
  <c r="C20" i="69"/>
  <c r="C28" i="69"/>
  <c r="C27" i="69"/>
  <c r="F70" i="39"/>
  <c r="G68" i="39"/>
  <c r="E36" i="36"/>
  <c r="R37" i="36"/>
  <c r="E49" i="34"/>
  <c r="R50" i="34"/>
  <c r="E53" i="33"/>
  <c r="F53" i="33"/>
  <c r="E52" i="33"/>
  <c r="F52" i="33"/>
  <c r="G40" i="36"/>
  <c r="H40" i="36"/>
  <c r="G41" i="36"/>
  <c r="H41" i="36"/>
  <c r="G46" i="37"/>
  <c r="H46" i="37"/>
  <c r="G47" i="37"/>
  <c r="H47" i="37"/>
  <c r="E43" i="35"/>
  <c r="F43" i="35"/>
  <c r="E42" i="35"/>
  <c r="F42" i="35"/>
  <c r="C23" i="15"/>
  <c r="C49" i="33"/>
  <c r="B2" i="33"/>
  <c r="B3" i="33"/>
  <c r="C48" i="33"/>
  <c r="I53" i="34"/>
  <c r="J53" i="34"/>
  <c r="I54" i="34"/>
  <c r="J54" i="34"/>
  <c r="F65" i="40"/>
  <c r="G63" i="40"/>
  <c r="C39" i="35"/>
  <c r="B2" i="35"/>
  <c r="B3" i="35"/>
  <c r="C38" i="35"/>
  <c r="G58" i="21"/>
  <c r="E47" i="37"/>
  <c r="F47" i="37"/>
  <c r="E46" i="37"/>
  <c r="F46" i="37"/>
  <c r="I40" i="36"/>
  <c r="J40" i="36"/>
  <c r="I41" i="36"/>
  <c r="J41" i="36"/>
  <c r="C42" i="37"/>
  <c r="C43" i="37"/>
  <c r="B2" i="37"/>
  <c r="B3" i="37"/>
  <c r="I47" i="37"/>
  <c r="J47" i="37"/>
  <c r="I46" i="37"/>
  <c r="J46" i="37"/>
  <c r="I53" i="33"/>
  <c r="J53" i="33"/>
  <c r="C26" i="15"/>
  <c r="J26" i="15"/>
  <c r="J29" i="15"/>
  <c r="J24" i="15"/>
  <c r="C44" i="69"/>
  <c r="D41" i="69"/>
  <c r="C26" i="69"/>
  <c r="D22" i="69"/>
  <c r="C23" i="69"/>
  <c r="C26" i="12"/>
  <c r="D25" i="12"/>
  <c r="C38" i="15"/>
  <c r="C23" i="67"/>
  <c r="C29" i="67"/>
  <c r="C66" i="15"/>
  <c r="C60" i="15"/>
  <c r="C66" i="67"/>
  <c r="C60" i="67"/>
  <c r="C44" i="68"/>
  <c r="D41" i="68"/>
  <c r="C26" i="68"/>
  <c r="D22" i="68"/>
  <c r="C24" i="68"/>
  <c r="C25" i="11"/>
  <c r="C44" i="11"/>
  <c r="D41" i="11"/>
  <c r="C26" i="11"/>
  <c r="D22" i="11"/>
  <c r="C23" i="11"/>
  <c r="C24" i="11"/>
  <c r="C38" i="67"/>
  <c r="J26" i="67"/>
  <c r="J29" i="67"/>
  <c r="J24" i="67"/>
  <c r="C35" i="68"/>
  <c r="C38" i="68"/>
  <c r="C35" i="11"/>
  <c r="C38" i="11"/>
  <c r="C43" i="69"/>
  <c r="C42" i="69"/>
  <c r="E37" i="43"/>
  <c r="C24" i="69"/>
  <c r="C30" i="43"/>
  <c r="E30" i="43"/>
  <c r="C27" i="43"/>
  <c r="E36" i="43"/>
  <c r="E38" i="43"/>
  <c r="C25" i="69"/>
  <c r="I6" i="6"/>
  <c r="I5" i="6"/>
  <c r="I27" i="6"/>
  <c r="H19" i="6"/>
  <c r="S19" i="6"/>
  <c r="S27" i="6"/>
  <c r="H68" i="39"/>
  <c r="G70" i="39"/>
  <c r="C29" i="15"/>
  <c r="Q49" i="15"/>
  <c r="H63" i="40"/>
  <c r="G65" i="40"/>
  <c r="C49" i="34"/>
  <c r="C50" i="34"/>
  <c r="B2" i="34"/>
  <c r="B3" i="34"/>
  <c r="C36" i="36"/>
  <c r="C37" i="36"/>
  <c r="B2" i="36"/>
  <c r="B3" i="36"/>
  <c r="H58" i="21"/>
  <c r="E54" i="34"/>
  <c r="F54" i="34"/>
  <c r="E53" i="34"/>
  <c r="F53" i="34"/>
  <c r="E40" i="36"/>
  <c r="F40" i="36"/>
  <c r="E41" i="36"/>
  <c r="F41" i="36"/>
  <c r="H107" i="9"/>
  <c r="C22" i="11"/>
  <c r="C31" i="11"/>
  <c r="J19" i="67"/>
  <c r="J17" i="67"/>
  <c r="C33" i="67"/>
  <c r="C31" i="67"/>
  <c r="C13" i="67"/>
  <c r="Q49" i="67"/>
  <c r="J14" i="67"/>
  <c r="C57" i="67"/>
  <c r="C36" i="67"/>
  <c r="J59" i="67"/>
  <c r="J60" i="67"/>
  <c r="C41" i="69"/>
  <c r="C49" i="69"/>
  <c r="C51" i="69"/>
  <c r="C33" i="11"/>
  <c r="C33" i="68"/>
  <c r="C39" i="68"/>
  <c r="C39" i="11"/>
  <c r="C42" i="11"/>
  <c r="C26" i="43"/>
  <c r="C22" i="69"/>
  <c r="C31" i="69"/>
  <c r="J19" i="15"/>
  <c r="R19" i="6"/>
  <c r="H27" i="6"/>
  <c r="C57" i="15"/>
  <c r="C36" i="15"/>
  <c r="J14" i="15"/>
  <c r="C13" i="15"/>
  <c r="C33" i="15"/>
  <c r="J59" i="15"/>
  <c r="J60" i="15"/>
  <c r="I68" i="39"/>
  <c r="H70" i="39"/>
  <c r="I58" i="21"/>
  <c r="I63" i="40"/>
  <c r="H65" i="40"/>
  <c r="J13" i="67"/>
  <c r="J23" i="67"/>
  <c r="J22" i="67"/>
  <c r="C75" i="67"/>
  <c r="Q70" i="67"/>
  <c r="C56" i="67"/>
  <c r="C65" i="67"/>
  <c r="C37" i="67"/>
  <c r="C30" i="67"/>
  <c r="C39" i="67"/>
  <c r="H108" i="9"/>
  <c r="D15" i="53"/>
  <c r="B31" i="72"/>
  <c r="D13" i="53"/>
  <c r="D122" i="9"/>
  <c r="Q48" i="67"/>
  <c r="C64" i="67"/>
  <c r="C61" i="67"/>
  <c r="C59" i="67"/>
  <c r="E6" i="76"/>
  <c r="C52" i="69"/>
  <c r="B2" i="69"/>
  <c r="B3" i="69"/>
  <c r="C42" i="68"/>
  <c r="C46" i="68"/>
  <c r="C45" i="68"/>
  <c r="C43" i="68"/>
  <c r="C41" i="68"/>
  <c r="C46" i="11"/>
  <c r="C45" i="11"/>
  <c r="C43" i="11"/>
  <c r="C41" i="11"/>
  <c r="E2" i="76"/>
  <c r="B2" i="43"/>
  <c r="R27" i="6"/>
  <c r="R6" i="1"/>
  <c r="J16" i="67"/>
  <c r="J25" i="67"/>
  <c r="C64" i="15"/>
  <c r="C61" i="15"/>
  <c r="C56" i="15"/>
  <c r="C65" i="15"/>
  <c r="C75" i="15"/>
  <c r="Q70" i="15"/>
  <c r="C37" i="15"/>
  <c r="J22" i="15"/>
  <c r="J13" i="15"/>
  <c r="J23" i="15"/>
  <c r="I70" i="39"/>
  <c r="J68" i="39"/>
  <c r="Q48" i="15"/>
  <c r="J63" i="40"/>
  <c r="I65" i="40"/>
  <c r="J58" i="21"/>
  <c r="K58" i="21"/>
  <c r="L58" i="21"/>
  <c r="M58" i="21"/>
  <c r="N58" i="21"/>
  <c r="O58" i="21"/>
  <c r="F7" i="21"/>
  <c r="J7" i="21"/>
  <c r="C58" i="67"/>
  <c r="C67" i="67"/>
  <c r="C68" i="67"/>
  <c r="C71" i="67"/>
  <c r="G14" i="74"/>
  <c r="B6" i="74"/>
  <c r="D123" i="9"/>
  <c r="D9" i="52"/>
  <c r="D8" i="52"/>
  <c r="C80" i="67"/>
  <c r="C79" i="67"/>
  <c r="Q69" i="67"/>
  <c r="Q68" i="67"/>
  <c r="C40" i="67"/>
  <c r="D14" i="53"/>
  <c r="B32" i="72"/>
  <c r="B30" i="72"/>
  <c r="F35" i="15"/>
  <c r="M21" i="15"/>
  <c r="B6" i="76"/>
  <c r="L51" i="67"/>
  <c r="C57" i="69"/>
  <c r="C56" i="69"/>
  <c r="J20" i="15"/>
  <c r="J17" i="15"/>
  <c r="J16" i="15"/>
  <c r="J25" i="15"/>
  <c r="C34" i="15"/>
  <c r="C31" i="15"/>
  <c r="C30" i="15"/>
  <c r="C39" i="15"/>
  <c r="Q69" i="15"/>
  <c r="Q68" i="15"/>
  <c r="F63" i="15"/>
  <c r="C62" i="15"/>
  <c r="C59" i="15"/>
  <c r="C58" i="15"/>
  <c r="C67" i="15"/>
  <c r="C68" i="15"/>
  <c r="C71" i="15"/>
  <c r="R16" i="1"/>
  <c r="C49" i="11"/>
  <c r="C51" i="11"/>
  <c r="C49" i="68"/>
  <c r="C51" i="68"/>
  <c r="B2" i="76"/>
  <c r="B3" i="76"/>
  <c r="B3" i="43"/>
  <c r="J70" i="39"/>
  <c r="K68" i="39"/>
  <c r="AA7" i="21"/>
  <c r="R48" i="21"/>
  <c r="S7" i="21"/>
  <c r="K63" i="40"/>
  <c r="J65" i="40"/>
  <c r="AC7" i="21"/>
  <c r="V48" i="21"/>
  <c r="I48" i="21"/>
  <c r="W7" i="21"/>
  <c r="H7" i="21"/>
  <c r="C45" i="67"/>
  <c r="C46" i="67"/>
  <c r="Q67" i="67"/>
  <c r="L57" i="67"/>
  <c r="L60" i="67"/>
  <c r="L46" i="67"/>
  <c r="D2" i="67"/>
  <c r="D6" i="74"/>
  <c r="C6" i="74"/>
  <c r="C43" i="67"/>
  <c r="Q56" i="67"/>
  <c r="Q47" i="67"/>
  <c r="Q53" i="67"/>
  <c r="Q65" i="67"/>
  <c r="C83" i="67"/>
  <c r="C82" i="67"/>
  <c r="L51" i="15"/>
  <c r="C40" i="15"/>
  <c r="Q47" i="15"/>
  <c r="Q53" i="15"/>
  <c r="C80" i="15"/>
  <c r="C79" i="15"/>
  <c r="L57" i="15"/>
  <c r="L60" i="15"/>
  <c r="L46" i="15"/>
  <c r="B2" i="15"/>
  <c r="C8" i="12"/>
  <c r="C4" i="12"/>
  <c r="Q67" i="15"/>
  <c r="C52" i="11"/>
  <c r="B2" i="11"/>
  <c r="B3" i="11"/>
  <c r="L68" i="39"/>
  <c r="K70" i="39"/>
  <c r="L63" i="40"/>
  <c r="K65" i="40"/>
  <c r="U7" i="21"/>
  <c r="AB7" i="21"/>
  <c r="T48" i="21"/>
  <c r="G48" i="21"/>
  <c r="I52" i="21"/>
  <c r="J52" i="21"/>
  <c r="R49" i="21"/>
  <c r="E48" i="21"/>
  <c r="B2" i="67"/>
  <c r="B3" i="67"/>
  <c r="Q66" i="67"/>
  <c r="Q75" i="67"/>
  <c r="Q57" i="67"/>
  <c r="Q62" i="67"/>
  <c r="AO6" i="1"/>
  <c r="Q65" i="15"/>
  <c r="Q66" i="15"/>
  <c r="Q75" i="15"/>
  <c r="C31" i="12"/>
  <c r="C23" i="12"/>
  <c r="C43" i="15"/>
  <c r="C83" i="15"/>
  <c r="C82" i="15"/>
  <c r="Q56" i="15"/>
  <c r="C46" i="15"/>
  <c r="Q57" i="15"/>
  <c r="B6" i="70"/>
  <c r="B2" i="70"/>
  <c r="B3" i="70"/>
  <c r="B3" i="15"/>
  <c r="C6" i="12"/>
  <c r="C56" i="11"/>
  <c r="C57" i="11"/>
  <c r="Q62" i="15"/>
  <c r="M68" i="39"/>
  <c r="L70" i="39"/>
  <c r="E52" i="21"/>
  <c r="F52" i="21"/>
  <c r="E53" i="21"/>
  <c r="F53" i="21"/>
  <c r="I53" i="21"/>
  <c r="J53" i="21"/>
  <c r="G52" i="21"/>
  <c r="H52" i="21"/>
  <c r="G53" i="21"/>
  <c r="H53" i="21"/>
  <c r="C49" i="21"/>
  <c r="B2" i="21"/>
  <c r="B3" i="21"/>
  <c r="C48" i="21"/>
  <c r="M63" i="40"/>
  <c r="L65" i="40"/>
  <c r="N68" i="39"/>
  <c r="M70" i="39"/>
  <c r="N63" i="40"/>
  <c r="M65" i="40"/>
  <c r="C8" i="68"/>
  <c r="C18" i="12"/>
  <c r="C21" i="12"/>
  <c r="N70" i="39"/>
  <c r="O68" i="39"/>
  <c r="O70" i="39"/>
  <c r="J7" i="39"/>
  <c r="H7" i="39"/>
  <c r="O63" i="40"/>
  <c r="O65" i="40"/>
  <c r="N65" i="40"/>
  <c r="C22" i="12"/>
  <c r="C30" i="12"/>
  <c r="C28" i="12"/>
  <c r="AC7" i="39"/>
  <c r="V47" i="39"/>
  <c r="I47" i="39"/>
  <c r="W7" i="39"/>
  <c r="AB7" i="39"/>
  <c r="T47" i="39"/>
  <c r="G47" i="39"/>
  <c r="U7" i="39"/>
  <c r="F7" i="39"/>
  <c r="J7" i="40"/>
  <c r="F7" i="40"/>
  <c r="H7" i="40"/>
  <c r="C27" i="12"/>
  <c r="C25" i="12"/>
  <c r="C32" i="12"/>
  <c r="B2" i="12"/>
  <c r="AA7" i="39"/>
  <c r="R47" i="39"/>
  <c r="S7" i="39"/>
  <c r="G51" i="39"/>
  <c r="H51" i="39"/>
  <c r="G52" i="39"/>
  <c r="H52" i="39"/>
  <c r="I51" i="39"/>
  <c r="J51" i="39"/>
  <c r="AB7" i="40"/>
  <c r="T42" i="40"/>
  <c r="G42" i="40"/>
  <c r="U7" i="40"/>
  <c r="S7" i="40"/>
  <c r="AA7" i="40"/>
  <c r="R42" i="40"/>
  <c r="W7" i="40"/>
  <c r="AC7" i="40"/>
  <c r="V42" i="40"/>
  <c r="I42" i="40"/>
  <c r="D19" i="9"/>
  <c r="D102" i="9"/>
  <c r="D21" i="9"/>
  <c r="B3" i="12"/>
  <c r="E47" i="39"/>
  <c r="R48" i="39"/>
  <c r="G47" i="40"/>
  <c r="H47" i="40"/>
  <c r="G46" i="40"/>
  <c r="H46" i="40"/>
  <c r="I46" i="40"/>
  <c r="J46" i="40"/>
  <c r="R43" i="40"/>
  <c r="E42" i="40"/>
  <c r="I47" i="40"/>
  <c r="J47" i="40"/>
  <c r="D20" i="9"/>
  <c r="D103" i="9"/>
  <c r="E51" i="39"/>
  <c r="F51" i="39"/>
  <c r="E52" i="39"/>
  <c r="F52" i="39"/>
  <c r="I52" i="39"/>
  <c r="J52" i="39"/>
  <c r="C48" i="39"/>
  <c r="C47" i="39"/>
  <c r="C43" i="40"/>
  <c r="C42" i="40"/>
  <c r="E47" i="40"/>
  <c r="F47" i="40"/>
  <c r="E46" i="40"/>
  <c r="F46" i="40"/>
  <c r="B56" i="39"/>
  <c r="F56" i="39"/>
  <c r="F66" i="39"/>
  <c r="B2" i="39"/>
  <c r="B3" i="39"/>
  <c r="B65" i="39"/>
  <c r="F65" i="39"/>
  <c r="B60" i="39"/>
  <c r="F60" i="39"/>
  <c r="B64" i="39"/>
  <c r="F64" i="39"/>
  <c r="B62" i="39"/>
  <c r="F62" i="39"/>
  <c r="B61" i="39"/>
  <c r="F61" i="39"/>
  <c r="B59" i="39"/>
  <c r="F59" i="39"/>
  <c r="B63" i="39"/>
  <c r="F63" i="39"/>
  <c r="B58" i="39"/>
  <c r="F58" i="39"/>
  <c r="B57" i="39"/>
  <c r="F57" i="39"/>
  <c r="B55" i="40"/>
  <c r="F55" i="40"/>
  <c r="B57" i="40"/>
  <c r="F57" i="40"/>
  <c r="B56" i="40"/>
  <c r="F56" i="40"/>
  <c r="B53" i="40"/>
  <c r="F53" i="40"/>
  <c r="B58" i="40"/>
  <c r="F58" i="40"/>
  <c r="B51" i="40"/>
  <c r="F51" i="40"/>
  <c r="B60" i="40"/>
  <c r="F60" i="40"/>
  <c r="B52" i="40"/>
  <c r="F52" i="40"/>
  <c r="B59" i="40"/>
  <c r="F59" i="40"/>
  <c r="B54" i="40"/>
  <c r="F54" i="40"/>
  <c r="F61" i="40"/>
  <c r="B2" i="40"/>
  <c r="B3" i="40"/>
  <c r="E17" i="78"/>
  <c r="C16" i="78"/>
  <c r="C5" i="78"/>
  <c r="C29" i="78"/>
  <c r="E29" i="78"/>
  <c r="D5" i="78"/>
  <c r="C33" i="78"/>
  <c r="E33" i="78"/>
  <c r="C34" i="78"/>
  <c r="E34" i="78"/>
  <c r="C35" i="78"/>
  <c r="E35" i="78"/>
  <c r="C36" i="78"/>
  <c r="E36" i="78"/>
  <c r="C37" i="78"/>
  <c r="E37" i="78"/>
  <c r="C38" i="78"/>
  <c r="E38" i="78"/>
  <c r="C39" i="78"/>
  <c r="E39" i="78"/>
  <c r="C26" i="78"/>
  <c r="B2" i="78"/>
  <c r="C6" i="68"/>
  <c r="C7" i="68"/>
  <c r="C5" i="68"/>
  <c r="C20" i="68"/>
  <c r="C23" i="68"/>
  <c r="C25" i="68"/>
  <c r="C22" i="68"/>
  <c r="C28" i="68"/>
  <c r="C27" i="68"/>
  <c r="C31" i="68"/>
  <c r="C52" i="68"/>
  <c r="B2" i="68"/>
  <c r="C19" i="9"/>
  <c r="G19" i="9"/>
  <c r="C32" i="9"/>
  <c r="H118" i="9"/>
  <c r="H101" i="9"/>
  <c r="H109" i="9"/>
  <c r="M49" i="9"/>
  <c r="D45" i="9"/>
  <c r="D55" i="9"/>
  <c r="M53" i="9"/>
  <c r="C85" i="9"/>
  <c r="C93" i="9"/>
  <c r="C86" i="9"/>
  <c r="C95" i="9"/>
  <c r="C96" i="9"/>
  <c r="C97" i="9"/>
  <c r="D58" i="9"/>
  <c r="D56" i="9"/>
  <c r="M54" i="9"/>
  <c r="N57" i="9"/>
  <c r="N59" i="9"/>
  <c r="N60" i="9"/>
  <c r="N61" i="9"/>
  <c r="N58" i="9"/>
  <c r="P57" i="9"/>
  <c r="D124" i="9"/>
  <c r="H14" i="74"/>
  <c r="B7" i="74"/>
  <c r="D7" i="74"/>
  <c r="C7" i="74"/>
  <c r="E96" i="9"/>
  <c r="E97" i="9"/>
  <c r="C72" i="9"/>
  <c r="C78" i="9"/>
  <c r="C73" i="9"/>
  <c r="C79" i="9"/>
  <c r="C80" i="9"/>
  <c r="C81" i="9"/>
  <c r="L63" i="9"/>
  <c r="M63" i="9"/>
  <c r="L64" i="9"/>
  <c r="M64" i="9"/>
  <c r="L65" i="9"/>
  <c r="M65" i="9"/>
  <c r="L66" i="9"/>
  <c r="M66" i="9"/>
  <c r="L67" i="9"/>
  <c r="M67" i="9"/>
  <c r="L68" i="9"/>
  <c r="M68" i="9"/>
  <c r="M69" i="9"/>
  <c r="N69" i="9"/>
  <c r="D16" i="53"/>
  <c r="B34" i="72"/>
  <c r="D17" i="53"/>
  <c r="B36" i="72"/>
  <c r="D10" i="52"/>
  <c r="D125" i="9"/>
  <c r="D11" i="52"/>
  <c r="E80" i="9"/>
  <c r="E81" i="9"/>
  <c r="H110" i="9"/>
  <c r="D18" i="53"/>
  <c r="B35" i="72"/>
  <c r="D14" i="74"/>
  <c r="B5" i="74"/>
  <c r="C5" i="74"/>
  <c r="D5" i="74"/>
  <c r="D5" i="53"/>
  <c r="B20" i="72"/>
  <c r="D6" i="53"/>
  <c r="B22" i="72"/>
  <c r="D53" i="9"/>
  <c r="C64" i="9"/>
  <c r="C63" i="9"/>
  <c r="C67" i="9"/>
  <c r="C68" i="9"/>
  <c r="D54" i="9"/>
  <c r="D52" i="9"/>
  <c r="I118" i="9"/>
  <c r="H102" i="9"/>
  <c r="D7" i="53"/>
  <c r="B21" i="72"/>
  <c r="I4" i="52"/>
  <c r="B3" i="68"/>
  <c r="C57" i="68"/>
  <c r="D35" i="9"/>
  <c r="C35" i="9"/>
  <c r="F118" i="9"/>
  <c r="G118" i="9"/>
  <c r="E118" i="9"/>
  <c r="E4" i="52"/>
  <c r="B48" i="72"/>
  <c r="C105" i="9"/>
  <c r="M48" i="9"/>
  <c r="F14" i="74"/>
  <c r="E14" i="74"/>
  <c r="C34" i="9"/>
  <c r="D118" i="9"/>
  <c r="D4" i="52"/>
  <c r="B47" i="72"/>
  <c r="H4" i="52"/>
  <c r="C104" i="9"/>
  <c r="H119" i="9"/>
  <c r="H5" i="52"/>
  <c r="G4" i="52"/>
  <c r="B52" i="72"/>
  <c r="F4" i="52"/>
  <c r="B51" i="72"/>
  <c r="F119" i="9"/>
  <c r="F5" i="52"/>
  <c r="B53" i="72"/>
  <c r="D119" i="9"/>
  <c r="D5" i="52"/>
  <c r="B49" i="72"/>
  <c r="G21" i="9"/>
  <c r="C20" i="9"/>
  <c r="G20" i="9"/>
  <c r="C103" i="9"/>
  <c r="C56" i="68"/>
  <c r="D34" i="9"/>
  <c r="C21" i="9"/>
  <c r="C102" i="9"/>
  <c r="D22" i="9"/>
  <c r="B3" i="78"/>
  <c r="C30" i="78"/>
  <c r="E30" i="78"/>
  <c r="G33" i="78"/>
  <c r="I33" i="78"/>
  <c r="G34" i="78"/>
  <c r="I34" i="78"/>
  <c r="G35" i="78"/>
  <c r="I35" i="78"/>
  <c r="G36" i="78"/>
  <c r="I36" i="78"/>
  <c r="G37" i="78"/>
  <c r="I37" i="78"/>
  <c r="G38" i="78"/>
  <c r="I38" i="78"/>
  <c r="G39" i="78"/>
  <c r="I39" i="78"/>
  <c r="C27" i="78"/>
  <c r="T12" i="78"/>
  <c r="V12" i="78"/>
  <c r="T5" i="78"/>
  <c r="V5" i="78"/>
  <c r="T11" i="78"/>
  <c r="V11" i="78"/>
  <c r="T15" i="78"/>
  <c r="V15" i="78"/>
  <c r="T9" i="78"/>
  <c r="V9" i="78"/>
  <c r="T3" i="78"/>
  <c r="V3" i="78"/>
  <c r="T10" i="78"/>
  <c r="V10" i="78"/>
  <c r="T8" i="78"/>
  <c r="V8" i="78"/>
  <c r="T7" i="78"/>
  <c r="V7" i="78"/>
  <c r="T6" i="78"/>
  <c r="V6" i="78"/>
  <c r="T14" i="78"/>
  <c r="V14" i="78"/>
  <c r="T13" i="78"/>
  <c r="V13" i="78"/>
  <c r="T4" i="78"/>
  <c r="V4" i="78"/>
  <c r="T2" i="78"/>
  <c r="V2" i="78"/>
  <c r="T16" i="78"/>
  <c r="V16"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16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8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8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800-000005000000}">
      <text>
        <r>
          <rPr>
            <sz val="11"/>
            <color rgb="FF000000"/>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8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9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F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F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15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<sst xmlns="http://schemas.openxmlformats.org/spreadsheetml/2006/main" count="7721" uniqueCount="3141">
  <si>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</si>
  <si>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</si>
  <si>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</si>
  <si>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</si>
  <si>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</si>
  <si>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</si>
  <si>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</si>
  <si>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</si>
  <si>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</si>
  <si>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</si>
  <si>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</si>
  <si>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</si>
  <si>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</si>
  <si>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</si>
  <si>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</si>
  <si>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</si>
  <si>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</si>
  <si>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</si>
  <si>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</si>
  <si>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</si>
  <si>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</si>
  <si>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</si>
  <si>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</si>
  <si>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</si>
  <si>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</si>
  <si>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</si>
  <si>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</si>
  <si>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</si>
  <si>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</si>
  <si>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</si>
  <si>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</si>
  <si>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</si>
  <si>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</si>
  <si>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</si>
  <si>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</si>
  <si>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</si>
  <si>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</si>
  <si>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</si>
  <si>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</si>
  <si>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</si>
  <si>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</si>
  <si>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</si>
  <si>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</si>
  <si>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</si>
  <si>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</si>
  <si>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</si>
  <si>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</si>
  <si>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</si>
  <si>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</si>
  <si>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</si>
  <si>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</si>
  <si>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</si>
  <si>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</si>
  <si>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</si>
  <si>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</si>
  <si>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</si>
  <si>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</si>
  <si>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</si>
  <si>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</si>
  <si>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</si>
  <si>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</si>
  <si>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</si>
  <si>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</si>
  <si>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</si>
  <si>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</si>
  <si>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</si>
  <si>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</si>
  <si>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</si>
  <si>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</si>
  <si>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</si>
  <si>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</si>
  <si>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</si>
  <si>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</si>
  <si>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</si>
  <si>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</si>
  <si>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</si>
  <si>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</si>
  <si>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</si>
  <si>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</si>
  <si>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</si>
  <si>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</si>
  <si>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</si>
  <si>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</si>
  <si>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</si>
  <si>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</si>
  <si>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</si>
  <si>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</si>
  <si>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</si>
  <si>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</si>
  <si>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</si>
  <si>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</si>
  <si>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</si>
  <si>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</si>
  <si>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</si>
  <si>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</si>
  <si>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</si>
  <si>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</si>
  <si>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</si>
  <si>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</si>
  <si>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</si>
  <si>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</si>
  <si>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</si>
  <si>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</si>
  <si>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</si>
  <si>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</si>
  <si>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</si>
  <si>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</si>
  <si>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</si>
  <si>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</si>
  <si>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</si>
  <si>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</si>
  <si>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</si>
  <si>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</si>
  <si>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</si>
  <si>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</si>
  <si>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</si>
  <si>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</si>
  <si>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</si>
  <si>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</si>
  <si>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</si>
  <si>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</si>
  <si>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</si>
  <si>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</si>
  <si>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</si>
  <si>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</si>
  <si>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</si>
  <si>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</si>
  <si>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</si>
  <si>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</si>
  <si>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</si>
  <si>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</si>
  <si>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</si>
  <si>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</si>
  <si>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</si>
  <si>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</si>
  <si>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</si>
  <si>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</si>
  <si>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</si>
  <si>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</si>
  <si>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</si>
  <si>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</si>
  <si>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</si>
  <si>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</si>
  <si>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</si>
  <si>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</si>
  <si>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</si>
  <si>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</si>
  <si>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</si>
  <si>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</si>
  <si>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</si>
  <si>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</si>
  <si>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</si>
  <si>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</si>
  <si>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</si>
  <si>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</si>
  <si>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</si>
  <si>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</si>
  <si>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</si>
  <si>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</si>
  <si>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</si>
  <si>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</si>
  <si>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</si>
  <si>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</si>
  <si>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</si>
  <si>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</si>
  <si>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</si>
  <si>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</si>
  <si>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</si>
  <si>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</si>
  <si>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</si>
  <si>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</si>
  <si>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</si>
  <si>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</si>
  <si>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</si>
  <si>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</si>
  <si>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</si>
  <si>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</si>
  <si>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</si>
  <si>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</si>
  <si>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</si>
  <si>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</si>
  <si>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</si>
  <si>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</si>
  <si>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</si>
  <si>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</si>
  <si>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</si>
  <si>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</si>
  <si>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</si>
  <si>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</si>
  <si>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</si>
  <si>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</si>
  <si>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</si>
  <si>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</si>
  <si>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</si>
  <si>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</si>
  <si>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</si>
  <si>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</si>
  <si>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</si>
  <si>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</si>
  <si>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</si>
  <si>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</si>
  <si>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</si>
  <si>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</si>
  <si>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</si>
  <si>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</si>
  <si>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</si>
  <si>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</si>
  <si>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</si>
  <si>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</si>
  <si>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</si>
  <si>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</si>
  <si>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</si>
  <si>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</si>
  <si>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</si>
  <si>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</si>
  <si>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</si>
  <si>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</si>
  <si>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</si>
  <si>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</si>
  <si>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</si>
  <si>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</si>
  <si>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</si>
  <si>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</si>
  <si>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</si>
  <si>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</si>
  <si>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</si>
  <si>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</si>
  <si>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</si>
  <si>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</si>
  <si>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</si>
  <si>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</si>
  <si>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</si>
  <si>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</si>
  <si>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</si>
  <si>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</si>
  <si>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</si>
  <si>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</si>
  <si>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</si>
  <si>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</si>
  <si>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</si>
  <si>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</si>
  <si>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</si>
  <si>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</si>
  <si>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</si>
  <si>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</si>
  <si>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</si>
  <si>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</si>
  <si>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</si>
  <si>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</si>
  <si>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</si>
  <si>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</si>
  <si>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</si>
  <si>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</si>
  <si>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</si>
  <si>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</si>
  <si>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</si>
  <si>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</si>
  <si>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</si>
  <si>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</si>
  <si>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</si>
  <si>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</si>
  <si>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</si>
  <si>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</si>
  <si>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</si>
  <si>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</si>
  <si>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</si>
  <si>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</si>
  <si>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</si>
  <si>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</si>
  <si>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</si>
  <si>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</si>
  <si>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</si>
  <si>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</si>
  <si>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</si>
  <si>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</si>
  <si>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</si>
  <si>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</si>
  <si>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</si>
  <si>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</si>
  <si>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</si>
  <si>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</si>
  <si>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</si>
  <si>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</si>
  <si>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</si>
  <si>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</si>
  <si>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</si>
  <si>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</si>
  <si>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</si>
  <si>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</si>
  <si>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</si>
  <si>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</si>
  <si>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</si>
  <si>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</si>
  <si>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</si>
  <si>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</si>
  <si>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</si>
  <si>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</si>
  <si>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</si>
  <si>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</si>
  <si>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</si>
  <si>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</si>
  <si>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</si>
  <si>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</si>
  <si>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</si>
  <si>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</si>
  <si>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</si>
  <si>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</si>
  <si>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</si>
  <si>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</si>
  <si>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</si>
  <si>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</si>
  <si>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</si>
  <si>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</si>
  <si>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</si>
  <si>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</si>
  <si>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</si>
  <si>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</si>
  <si>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</si>
  <si>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</si>
  <si>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</si>
  <si>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</si>
  <si>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</si>
  <si>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</si>
  <si>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</si>
  <si>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</si>
  <si>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</si>
  <si>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</si>
  <si>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</si>
  <si>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</si>
  <si>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</si>
  <si>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</si>
  <si>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</si>
  <si>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</si>
  <si>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</si>
  <si>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</si>
  <si>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</si>
  <si>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</si>
  <si>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</si>
  <si>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</si>
  <si>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</si>
  <si>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</si>
  <si>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</si>
  <si>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</si>
  <si>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</si>
  <si>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</si>
  <si>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</si>
  <si>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</si>
  <si>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</si>
  <si>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</si>
  <si>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</si>
  <si>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</si>
  <si>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</si>
  <si>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</si>
  <si>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</si>
  <si>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</si>
  <si>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</si>
  <si>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</si>
  <si>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</si>
  <si>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</si>
  <si>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</si>
  <si>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</si>
  <si>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</si>
  <si>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</si>
  <si>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</si>
  <si>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</si>
  <si>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</si>
  <si>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</si>
  <si>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</si>
  <si>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</si>
  <si>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</si>
  <si>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</si>
  <si>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</si>
  <si>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</si>
  <si>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</si>
  <si>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</si>
  <si>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</si>
  <si>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</si>
  <si>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</si>
  <si>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</si>
  <si>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</si>
  <si>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</si>
  <si>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</si>
  <si>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</si>
  <si>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</si>
  <si>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</si>
  <si>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</si>
  <si>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</si>
  <si>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</si>
  <si>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</si>
  <si>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</si>
  <si>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</si>
  <si>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</si>
  <si>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</si>
  <si>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</si>
  <si>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</si>
  <si>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</si>
  <si>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</si>
  <si>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</si>
  <si>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</si>
  <si>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</si>
  <si>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</si>
  <si>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</si>
  <si>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</si>
  <si>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</si>
  <si>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</si>
  <si>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</si>
  <si>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</si>
  <si>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</si>
  <si>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</si>
  <si>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</si>
  <si>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</si>
  <si>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</si>
  <si>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</si>
  <si>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</si>
  <si>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</si>
  <si>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</si>
  <si>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</si>
  <si>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</si>
  <si>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</si>
  <si>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</si>
  <si>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</si>
  <si>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</si>
  <si>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</si>
  <si>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</si>
  <si>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</si>
  <si>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</si>
  <si>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</si>
  <si>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</si>
  <si>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</si>
  <si>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</si>
  <si>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</si>
  <si>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</si>
  <si>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</si>
  <si>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</si>
  <si>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</si>
  <si>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</si>
  <si>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</si>
  <si>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</si>
  <si>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</si>
  <si>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</si>
  <si>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</si>
  <si>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</si>
  <si>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</si>
  <si>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</si>
  <si>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</si>
  <si>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</si>
  <si>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</si>
  <si>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</si>
  <si>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</si>
  <si>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</si>
  <si>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</si>
  <si>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</si>
  <si>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</si>
  <si>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</si>
  <si>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</si>
  <si>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</si>
  <si>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</si>
  <si>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</si>
  <si>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</si>
  <si>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</si>
  <si>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</si>
  <si>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</si>
  <si>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</si>
  <si>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</si>
  <si>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</si>
  <si>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</si>
  <si>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</si>
  <si>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</si>
  <si>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</si>
  <si>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</si>
  <si>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</si>
  <si>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</si>
  <si>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</si>
  <si>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</si>
  <si>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</si>
  <si>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</si>
  <si>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</si>
  <si>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</si>
  <si>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</si>
  <si>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</si>
  <si>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</si>
  <si>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</si>
  <si>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</si>
  <si>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</si>
  <si>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</si>
  <si>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</si>
  <si>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</si>
  <si>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</si>
  <si>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</si>
  <si>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</si>
  <si>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</si>
  <si>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</si>
  <si>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</si>
  <si>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</si>
  <si>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</si>
  <si>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</si>
  <si>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</si>
  <si>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</si>
  <si>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</si>
  <si>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</si>
  <si>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</si>
  <si>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</si>
  <si>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</si>
  <si>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</si>
  <si>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</si>
  <si>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</si>
  <si>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</si>
  <si>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</si>
  <si>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</si>
  <si>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</si>
  <si>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</si>
  <si>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</si>
  <si>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</si>
  <si>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</si>
  <si>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</si>
  <si>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</si>
  <si>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</si>
  <si>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</si>
  <si>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</si>
  <si>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</si>
  <si>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</si>
  <si>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</si>
  <si>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</si>
  <si>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</si>
  <si>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</si>
  <si>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</si>
  <si>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</si>
  <si>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</si>
  <si>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</si>
  <si>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</si>
  <si>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</si>
  <si>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</si>
  <si>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</si>
  <si>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</si>
  <si>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</si>
  <si>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</si>
  <si>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</si>
  <si>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</si>
  <si>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</si>
  <si>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</si>
  <si>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</si>
  <si>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</si>
  <si>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</si>
  <si>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</si>
  <si>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</si>
  <si>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</si>
  <si>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</si>
  <si>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</si>
  <si>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</si>
  <si>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</si>
  <si>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</si>
  <si>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</si>
  <si>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</si>
  <si>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</si>
  <si>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</si>
  <si>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</si>
  <si>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</si>
  <si>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</si>
  <si>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</si>
  <si>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</si>
  <si>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</si>
  <si>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</si>
  <si>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</si>
  <si>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</si>
  <si>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</si>
  <si>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</si>
  <si>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</si>
  <si>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</si>
  <si>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</si>
  <si>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</si>
  <si>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</si>
  <si>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</si>
  <si>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</si>
  <si>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</si>
  <si>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</si>
  <si>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</si>
  <si>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</si>
  <si>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</si>
  <si>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</si>
  <si>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</si>
  <si>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</si>
  <si>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</si>
  <si>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</si>
  <si>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</si>
  <si>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</si>
  <si>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</si>
  <si>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</si>
  <si>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</si>
  <si>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</si>
  <si>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</si>
  <si>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</si>
  <si>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</si>
  <si>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</si>
  <si>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</si>
  <si>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</si>
  <si>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</si>
  <si>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</si>
  <si>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</si>
  <si>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</si>
  <si>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</si>
  <si>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</si>
  <si>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</si>
  <si>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</si>
  <si>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</si>
  <si>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</si>
  <si>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</si>
  <si>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</si>
  <si>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</si>
  <si>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</si>
  <si>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</si>
  <si>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</si>
  <si>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</si>
  <si>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</si>
  <si>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</si>
  <si>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</si>
  <si>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</si>
  <si>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</si>
  <si>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</si>
  <si>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</si>
  <si>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</si>
  <si>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</si>
  <si>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</si>
  <si>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</si>
  <si>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</si>
  <si>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</si>
  <si>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</si>
  <si>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</si>
  <si>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</si>
  <si>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</si>
  <si>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</si>
  <si>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</si>
  <si>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</si>
  <si>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</si>
  <si>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</si>
  <si>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</si>
  <si>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</si>
  <si>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</si>
  <si>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</si>
  <si>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</si>
  <si>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</si>
  <si>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</si>
  <si>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</si>
  <si>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</si>
  <si>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</si>
  <si>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</si>
  <si>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</si>
  <si>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</si>
  <si>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</si>
  <si>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</si>
  <si>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</si>
  <si>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</si>
  <si>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</si>
  <si>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</si>
  <si>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</si>
  <si>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</si>
  <si>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</si>
  <si>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</si>
  <si>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</si>
  <si>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</si>
  <si>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</si>
  <si>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</si>
  <si>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</si>
  <si>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</si>
  <si>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</si>
  <si>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</si>
  <si>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</si>
  <si>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</si>
  <si>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</si>
  <si>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</si>
  <si>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</si>
  <si>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</si>
  <si>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</si>
  <si>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</si>
  <si>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</si>
  <si>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</si>
  <si>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</si>
  <si>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</si>
  <si>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</si>
  <si>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</si>
  <si>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</si>
  <si>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</si>
  <si>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</si>
  <si>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</si>
  <si>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</si>
  <si>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</si>
  <si>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</si>
  <si>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</si>
  <si>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</si>
  <si>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</si>
  <si>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</si>
  <si>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</si>
  <si>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</si>
  <si>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</si>
  <si>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</si>
  <si>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</si>
  <si>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</si>
  <si>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</si>
  <si>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</si>
  <si>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</si>
  <si>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</si>
  <si>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</si>
  <si>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</si>
  <si>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</si>
  <si>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</si>
  <si>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</si>
  <si>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</si>
  <si>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</si>
  <si>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</si>
  <si>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</si>
  <si>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</si>
  <si>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</si>
  <si>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</si>
  <si>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</si>
  <si>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</si>
  <si>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</si>
  <si>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</si>
  <si>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</si>
  <si>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</si>
  <si>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</si>
  <si>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</si>
  <si>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</si>
  <si>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</si>
  <si>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</si>
  <si>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</si>
  <si>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</si>
  <si>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</si>
  <si>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</si>
  <si>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</si>
  <si>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</si>
  <si>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</si>
  <si>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</si>
  <si>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</si>
  <si>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</si>
  <si>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</si>
  <si>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</si>
  <si>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</si>
  <si>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</si>
  <si>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</si>
  <si>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</si>
  <si>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</si>
  <si>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</si>
  <si>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</si>
  <si>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</si>
  <si>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</si>
  <si>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</si>
  <si>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</si>
  <si>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</si>
  <si>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</si>
  <si>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</si>
  <si>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</si>
  <si>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</si>
  <si>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</si>
  <si>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</si>
  <si>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</si>
  <si>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</si>
  <si>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</si>
  <si>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</si>
  <si>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</si>
  <si>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</si>
  <si>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</si>
  <si>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</si>
  <si>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</si>
  <si>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</si>
  <si>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</si>
  <si>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</si>
  <si>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</si>
  <si>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</si>
  <si>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</si>
  <si>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</si>
  <si>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</si>
  <si>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</si>
  <si>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</si>
  <si>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</si>
  <si>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</si>
  <si>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</si>
  <si>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</si>
  <si>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</si>
  <si>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</si>
  <si>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</si>
  <si>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</si>
  <si>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</si>
  <si>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</si>
  <si>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</si>
  <si>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</si>
  <si>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</si>
  <si>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</si>
  <si>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</si>
  <si>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</si>
  <si>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</si>
  <si>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</si>
  <si>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</si>
  <si>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</si>
  <si>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</si>
  <si>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</si>
  <si>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</si>
  <si>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</si>
  <si>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</si>
  <si>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</si>
  <si>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</si>
  <si>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</si>
  <si>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</si>
  <si>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</si>
  <si>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</si>
  <si>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</si>
  <si>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</si>
  <si>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</si>
  <si>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</si>
  <si>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</si>
  <si>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</si>
  <si>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</si>
  <si>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</si>
  <si>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</si>
  <si>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</si>
  <si>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</si>
  <si>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</si>
  <si>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</si>
  <si>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</si>
  <si>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</si>
  <si>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</si>
  <si>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</si>
  <si>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</si>
  <si>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</si>
  <si>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</si>
  <si>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</si>
  <si>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</si>
  <si>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</si>
  <si>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</si>
  <si>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</si>
  <si>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</si>
  <si>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</si>
  <si>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</si>
  <si>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</si>
  <si>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</si>
  <si>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</si>
  <si>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</si>
  <si>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</si>
  <si>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</si>
  <si>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</si>
  <si>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</si>
  <si>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</si>
  <si>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</si>
  <si>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</si>
  <si>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</si>
  <si>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</si>
  <si>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</si>
  <si>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</si>
  <si>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</si>
  <si>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</si>
  <si>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</si>
  <si>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</si>
  <si>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</si>
  <si>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</si>
  <si>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</si>
  <si>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</si>
  <si>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</si>
  <si>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</si>
  <si>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</si>
  <si>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</si>
  <si>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</si>
  <si>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</si>
  <si>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</si>
  <si>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</si>
  <si>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</si>
  <si>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</si>
  <si>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</si>
  <si>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</si>
  <si>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</si>
  <si>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</si>
  <si>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</si>
  <si>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</si>
  <si>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</si>
  <si>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</si>
  <si>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</si>
  <si>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</si>
  <si>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</si>
  <si>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</si>
  <si>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</si>
  <si>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</si>
  <si>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</si>
  <si>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</si>
  <si>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</si>
  <si>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</si>
  <si>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</si>
  <si>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</si>
  <si>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</si>
  <si>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</si>
  <si>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</si>
  <si>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</si>
  <si>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</si>
  <si>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</si>
  <si>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</si>
  <si>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</si>
  <si>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</si>
  <si>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</si>
  <si>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</si>
  <si>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</si>
  <si>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</si>
  <si>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</si>
  <si>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</si>
  <si>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</si>
  <si>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</si>
  <si>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</si>
  <si>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</si>
  <si>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</si>
  <si>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</si>
  <si>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</si>
  <si>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</si>
  <si>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</si>
  <si>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</si>
  <si>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</si>
  <si>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</si>
  <si>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</si>
  <si>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</si>
  <si>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</si>
  <si>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</si>
  <si>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</si>
  <si>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</si>
  <si>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</si>
  <si>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</si>
  <si>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</si>
  <si>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</si>
  <si>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</si>
  <si>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</si>
  <si>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</si>
  <si>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</si>
  <si>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</si>
  <si>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</si>
  <si>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</si>
  <si>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</si>
  <si>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</si>
  <si>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</si>
  <si>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</si>
  <si>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</si>
  <si>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</si>
  <si>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</si>
  <si>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</si>
  <si>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</si>
  <si>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</si>
  <si>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</si>
  <si>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</si>
  <si>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</si>
  <si>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</si>
  <si>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</si>
  <si>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</si>
  <si>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</si>
  <si>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</si>
  <si>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</si>
  <si>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</si>
  <si>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</si>
  <si>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</si>
  <si>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</si>
  <si>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</si>
  <si>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</si>
  <si>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</si>
  <si>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</si>
  <si>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</si>
  <si>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</si>
  <si>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</si>
  <si>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</si>
  <si>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</si>
  <si>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</si>
  <si>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</si>
  <si>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</si>
  <si>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</si>
  <si>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</si>
  <si>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</si>
  <si>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</si>
  <si>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</si>
  <si>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</si>
  <si>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</si>
  <si>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</si>
  <si>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</si>
  <si>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</si>
  <si>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</si>
  <si>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</si>
  <si>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</si>
  <si>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</si>
  <si>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</si>
  <si>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</si>
  <si>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</si>
  <si>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</si>
  <si>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</si>
  <si>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</si>
  <si>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</si>
  <si>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</si>
  <si>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</si>
  <si>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</si>
  <si>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</si>
  <si>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</si>
  <si>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</si>
  <si>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</si>
  <si>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</si>
  <si>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</si>
  <si>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</si>
  <si>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</si>
  <si>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</si>
  <si>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</si>
  <si>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</si>
  <si>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</si>
  <si>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</si>
  <si>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</si>
  <si>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</si>
  <si>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</si>
  <si>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</si>
  <si>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</si>
  <si>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</si>
  <si>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</si>
  <si>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</si>
  <si>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</si>
  <si>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</si>
  <si>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</si>
  <si>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</si>
  <si>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</si>
  <si>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</si>
  <si>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</si>
  <si>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</si>
  <si>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</si>
  <si>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</si>
  <si>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</si>
  <si>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</si>
  <si>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</si>
  <si>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</si>
  <si>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</si>
  <si>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</si>
  <si>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</si>
  <si>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</si>
  <si>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</si>
  <si>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</si>
  <si>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</si>
  <si>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</si>
  <si>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</si>
  <si>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</si>
  <si>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</si>
  <si>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</si>
  <si>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</si>
  <si>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</si>
  <si>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</si>
  <si>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</si>
  <si>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</si>
  <si>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</si>
  <si>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</si>
  <si>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</si>
  <si>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</si>
  <si>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</si>
  <si>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</si>
  <si>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</si>
  <si>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</si>
  <si>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</si>
  <si>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</si>
  <si>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</si>
  <si>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</si>
  <si>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</si>
  <si>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</si>
  <si>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</si>
  <si>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</si>
  <si>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</si>
  <si>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</si>
  <si>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</si>
  <si>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</si>
  <si>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</si>
  <si>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</si>
  <si>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</si>
  <si>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</si>
  <si>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</si>
  <si>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</si>
  <si>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</si>
  <si>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</si>
  <si>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</si>
  <si>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</si>
  <si>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</si>
  <si>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</si>
  <si>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</si>
  <si>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</si>
  <si>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</si>
  <si>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</si>
  <si>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</si>
  <si>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</si>
  <si>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</si>
  <si>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</si>
  <si>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</si>
  <si>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</si>
  <si>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</si>
  <si>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</si>
  <si>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</si>
  <si>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</si>
  <si>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</si>
  <si>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</si>
  <si>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</si>
  <si>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</si>
  <si>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</si>
  <si>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</si>
  <si>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</si>
  <si>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</si>
  <si>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</si>
  <si>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</si>
  <si>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</si>
  <si>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</si>
  <si>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</si>
  <si>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</si>
  <si>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</si>
  <si>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</si>
  <si>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</si>
  <si>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</si>
  <si>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</si>
  <si>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</si>
  <si>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</si>
  <si>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</si>
  <si>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</si>
  <si>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</si>
  <si>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</si>
  <si>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</si>
  <si>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</si>
  <si>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</si>
  <si>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</si>
  <si>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</si>
  <si>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</si>
  <si>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</si>
  <si>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</si>
  <si>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</si>
  <si>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</si>
  <si>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</si>
  <si>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</si>
  <si>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</si>
  <si>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</si>
  <si>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</si>
  <si>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</si>
  <si>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</si>
  <si>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</si>
  <si>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</si>
  <si>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</si>
  <si>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</si>
  <si>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</si>
  <si>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</si>
  <si>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</si>
  <si>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</si>
  <si>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</si>
  <si>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</si>
  <si>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</si>
  <si>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</si>
  <si>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</si>
  <si>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</si>
  <si>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</si>
  <si>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</si>
  <si>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</si>
  <si>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</si>
  <si>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</si>
  <si>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</si>
  <si>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</si>
  <si>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</si>
  <si>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</si>
  <si>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</si>
  <si>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</si>
  <si>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</si>
  <si>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</si>
  <si>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</si>
  <si>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</si>
  <si>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</si>
  <si>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</si>
  <si>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</si>
  <si>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</si>
  <si>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</si>
  <si>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</si>
  <si>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</si>
  <si>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</si>
  <si>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</si>
  <si>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</si>
  <si>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</si>
  <si>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</si>
  <si>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</si>
  <si>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</si>
  <si>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</si>
  <si>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</si>
  <si>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</si>
  <si>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</si>
  <si>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</si>
  <si>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</si>
  <si>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</si>
  <si>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</si>
  <si>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</si>
  <si>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</si>
  <si>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</si>
  <si>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</si>
  <si>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</si>
  <si>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</si>
  <si>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</si>
  <si>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</si>
  <si>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</si>
  <si>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</si>
  <si>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</si>
  <si>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</si>
  <si>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</si>
  <si>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</si>
  <si>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</si>
  <si>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</si>
  <si>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</si>
  <si>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</si>
  <si>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</si>
  <si>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</si>
  <si>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</si>
  <si>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</si>
  <si>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</si>
  <si>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</si>
  <si>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</si>
  <si>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</si>
  <si>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</si>
  <si>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</si>
  <si>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</si>
  <si>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</si>
  <si>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</si>
  <si>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</si>
  <si>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</si>
  <si>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</si>
  <si>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</si>
  <si>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</si>
  <si>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</si>
  <si>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</si>
  <si>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</si>
  <si>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</si>
  <si>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</si>
  <si>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</si>
  <si>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</si>
  <si>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</si>
  <si>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</si>
  <si>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</si>
  <si>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</si>
  <si>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</si>
  <si>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</si>
  <si>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</si>
  <si>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</si>
  <si>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</si>
  <si>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</si>
  <si>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</si>
  <si>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</si>
  <si>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</si>
  <si>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</si>
  <si>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</si>
  <si>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</si>
  <si>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</si>
  <si>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</si>
  <si>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</si>
  <si>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</si>
  <si>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</si>
  <si>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</si>
  <si>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</si>
  <si>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</si>
  <si>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</si>
  <si>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</si>
  <si>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</si>
  <si>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</si>
  <si>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</si>
  <si>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</si>
  <si>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</si>
  <si>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</si>
  <si>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</si>
  <si>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</si>
  <si>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</si>
  <si>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</si>
  <si>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</si>
  <si>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</si>
  <si>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</si>
  <si>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</si>
  <si>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</si>
  <si>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</si>
  <si>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</si>
  <si>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</si>
  <si>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</si>
  <si>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</si>
  <si>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</si>
  <si>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</si>
  <si>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</si>
  <si>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</si>
  <si>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</si>
  <si>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</si>
  <si>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</si>
  <si>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</si>
  <si>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</si>
  <si>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</si>
  <si>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</si>
  <si>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</si>
  <si>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</si>
  <si>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</si>
  <si>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</si>
  <si>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</si>
  <si>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</si>
  <si>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</si>
  <si>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</si>
  <si>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</si>
  <si>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</si>
  <si>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</si>
  <si>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</si>
  <si>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</si>
  <si>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</si>
  <si>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</si>
  <si>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</si>
  <si>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</si>
  <si>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</si>
  <si>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</si>
  <si>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</si>
  <si>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</si>
  <si>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</si>
  <si>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</si>
  <si>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</si>
  <si>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</si>
  <si>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</si>
  <si>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</si>
  <si>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</si>
  <si>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</si>
  <si>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</si>
  <si>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</si>
  <si>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</si>
  <si>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</si>
  <si>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</si>
  <si>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</si>
  <si>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</si>
  <si>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</si>
  <si>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</si>
  <si>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</si>
  <si>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</si>
  <si>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</si>
  <si>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</si>
  <si>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</si>
  <si>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</si>
  <si>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</si>
  <si>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</si>
  <si>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</si>
  <si>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</si>
  <si>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</si>
  <si>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</si>
  <si>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</si>
  <si>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</si>
  <si>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</si>
  <si>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</si>
  <si>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</si>
  <si>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</si>
  <si>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</si>
  <si>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</si>
  <si>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</si>
  <si>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</si>
  <si>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</si>
  <si>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</si>
  <si>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</si>
  <si>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</si>
  <si>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</si>
  <si>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</si>
  <si>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</si>
  <si>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</si>
  <si>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</si>
  <si>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</si>
  <si>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</si>
  <si>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</si>
  <si>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</si>
  <si>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</si>
  <si>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</si>
  <si>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</si>
  <si>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</si>
  <si>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</si>
  <si>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</si>
  <si>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</si>
  <si>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</si>
  <si>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</si>
  <si>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</si>
  <si>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</si>
  <si>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</si>
  <si>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</si>
  <si>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</si>
  <si>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</si>
  <si>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</si>
  <si>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</si>
  <si>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</si>
  <si>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</si>
  <si>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</si>
  <si>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</si>
  <si>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</si>
  <si>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</si>
  <si>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</si>
  <si>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</si>
  <si>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</si>
  <si>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</si>
  <si>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</si>
  <si>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</si>
  <si>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</si>
  <si>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</si>
  <si>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</si>
  <si>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</si>
  <si>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</si>
  <si>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</si>
  <si>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</si>
  <si>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</si>
  <si>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</si>
  <si>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</si>
  <si>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</si>
  <si>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</si>
  <si>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</si>
  <si>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</si>
  <si>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</si>
  <si>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</si>
  <si>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</si>
  <si>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</si>
  <si>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</si>
  <si>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</si>
  <si>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</si>
  <si>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</si>
  <si>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</si>
  <si>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</si>
  <si>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</si>
  <si>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</si>
  <si>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</si>
  <si>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</si>
  <si>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</si>
  <si>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</si>
  <si>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</si>
  <si>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</si>
  <si>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</si>
  <si>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</si>
  <si>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</si>
  <si>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</si>
  <si>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</si>
  <si>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</si>
  <si>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</si>
  <si>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</si>
  <si>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</si>
  <si>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</si>
  <si>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</si>
  <si>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</si>
  <si>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</si>
  <si>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</si>
  <si>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</si>
  <si>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</si>
  <si>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</si>
  <si>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</si>
  <si>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</si>
  <si>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</si>
  <si>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</si>
  <si>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</si>
  <si>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</si>
  <si>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</si>
  <si>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</si>
  <si>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</si>
  <si>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</si>
  <si>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</si>
  <si>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</si>
  <si>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</si>
  <si>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</si>
  <si>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</si>
  <si>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</si>
  <si>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</si>
  <si>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</si>
  <si>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</si>
  <si>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</si>
  <si>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</si>
  <si>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</si>
  <si>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</si>
  <si>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</si>
  <si>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</si>
  <si>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</si>
  <si>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</si>
  <si>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</si>
  <si>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</si>
  <si>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</si>
  <si>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</si>
  <si>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</si>
  <si>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</si>
  <si>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</si>
  <si>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</si>
  <si>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</si>
  <si>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</si>
  <si>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</si>
  <si>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</si>
  <si>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</si>
  <si>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</si>
  <si>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</si>
  <si>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</si>
  <si>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</si>
  <si>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</si>
  <si>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</si>
  <si>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</si>
  <si>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</si>
  <si>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</si>
  <si>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</si>
  <si>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</si>
  <si>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</si>
  <si>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</si>
  <si>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</si>
  <si>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</si>
  <si>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</si>
  <si>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</si>
  <si>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</si>
  <si>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</si>
  <si>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</si>
  <si>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</si>
  <si>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</si>
  <si>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</si>
  <si>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</si>
  <si>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</si>
  <si>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</si>
  <si>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</si>
  <si>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</si>
  <si>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</si>
  <si>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</si>
  <si>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</si>
  <si>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</si>
  <si>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</si>
  <si>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</si>
  <si>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</si>
  <si>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</si>
  <si>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</si>
  <si>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</si>
  <si>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</si>
  <si>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</si>
  <si>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</si>
  <si>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</si>
  <si>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</si>
  <si>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</si>
  <si>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</si>
  <si>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</si>
  <si>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</si>
  <si>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</si>
  <si>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</si>
  <si>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</si>
  <si>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</si>
  <si>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</si>
  <si>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</si>
  <si>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</si>
  <si>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</si>
  <si>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</si>
  <si>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</si>
  <si>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</si>
  <si>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</si>
  <si>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</si>
  <si>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</si>
  <si>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</si>
  <si>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</si>
  <si>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</si>
  <si>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</si>
  <si>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</si>
  <si>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</si>
  <si>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</si>
  <si>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</si>
  <si>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</si>
  <si>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</si>
  <si>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</si>
  <si>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</si>
  <si>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</si>
  <si>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</si>
  <si>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</si>
  <si>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</si>
  <si>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</si>
  <si>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</si>
  <si>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</si>
  <si>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</si>
  <si>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</si>
  <si>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</si>
  <si>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</si>
  <si>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</si>
  <si>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</si>
  <si>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</si>
  <si>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</si>
  <si>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</si>
  <si>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</si>
  <si>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</si>
  <si>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</si>
  <si>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</si>
  <si>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</si>
  <si>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</si>
  <si>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</si>
  <si>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</si>
  <si>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</si>
  <si>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</si>
  <si>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</si>
  <si>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</si>
  <si>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</si>
  <si>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</si>
  <si>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</si>
  <si>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</si>
  <si>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</si>
  <si>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</si>
  <si>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</si>
  <si>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</si>
  <si>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</si>
  <si>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</si>
  <si>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</si>
  <si>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</si>
  <si>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</si>
  <si>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</si>
  <si>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</si>
  <si>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</si>
  <si>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</si>
  <si>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</si>
  <si>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</si>
  <si>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</si>
  <si>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</si>
  <si>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</si>
  <si>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</si>
  <si>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</si>
  <si>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</si>
  <si>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</si>
  <si>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</si>
  <si>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</si>
  <si>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</si>
  <si>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</si>
  <si>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</si>
  <si>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</si>
  <si>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</si>
  <si>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</si>
  <si>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</si>
  <si>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</si>
  <si>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</si>
  <si>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</si>
  <si>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</si>
  <si>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</si>
  <si>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</si>
  <si>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</si>
  <si>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</si>
  <si>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</si>
  <si>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</si>
  <si>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</si>
  <si>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</si>
  <si>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</si>
  <si>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</si>
  <si>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</si>
  <si>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</si>
  <si>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</si>
  <si>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</si>
  <si>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</si>
  <si>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</si>
  <si>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</si>
  <si>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</si>
  <si>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</si>
  <si>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</si>
  <si>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</si>
  <si>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</si>
  <si>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</si>
  <si>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</si>
  <si>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</si>
  <si>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</si>
  <si>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</si>
  <si>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</si>
  <si>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</si>
  <si>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</si>
  <si>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</si>
  <si>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</si>
  <si>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</si>
  <si>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</si>
  <si>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</si>
  <si>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</si>
  <si>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</si>
  <si>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</si>
  <si>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</si>
  <si>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</si>
  <si>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</si>
  <si>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</si>
  <si>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</si>
  <si>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</si>
  <si>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</si>
  <si>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</si>
  <si>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</si>
  <si>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</si>
  <si>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</si>
  <si>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</si>
  <si>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</si>
  <si>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</si>
  <si>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</si>
  <si>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</si>
  <si>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</si>
  <si>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</si>
  <si>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</si>
  <si>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</si>
  <si>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</si>
  <si>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</si>
  <si>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</si>
  <si>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</si>
  <si>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</si>
  <si>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</si>
  <si>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</si>
  <si>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</si>
  <si>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</si>
  <si>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</si>
  <si>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</si>
  <si>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</si>
  <si>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</si>
  <si>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</si>
  <si>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</si>
  <si>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</si>
  <si>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</si>
  <si>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</si>
  <si>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</si>
  <si>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</si>
  <si>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</si>
  <si>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</si>
  <si>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</si>
  <si>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</si>
  <si>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</si>
  <si>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</si>
  <si>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</si>
  <si>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</si>
  <si>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</si>
  <si>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</si>
  <si>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</si>
  <si>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</si>
  <si>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</si>
  <si>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</si>
  <si>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</si>
  <si>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</si>
  <si>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</si>
  <si>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</si>
  <si>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</si>
  <si>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</si>
  <si>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</si>
  <si>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</si>
  <si>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</si>
  <si>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</si>
  <si>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</si>
  <si>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</si>
  <si>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</si>
  <si>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</si>
  <si>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</si>
  <si>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</si>
  <si>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</si>
  <si>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</si>
  <si>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</si>
  <si>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</si>
  <si>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</si>
  <si>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</si>
  <si>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</si>
  <si>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</si>
  <si>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</si>
  <si>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</si>
  <si>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</si>
  <si>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</si>
  <si>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</si>
  <si>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</si>
  <si>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</si>
  <si>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</si>
  <si>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</si>
  <si>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</si>
  <si>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</si>
  <si>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</si>
  <si>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</si>
  <si>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</si>
  <si>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</si>
  <si>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</si>
  <si>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</si>
  <si>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</si>
  <si>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</si>
  <si>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</si>
  <si>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</si>
  <si>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</si>
  <si>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</si>
  <si>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</si>
  <si>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</si>
  <si>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</si>
  <si>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</si>
  <si>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</si>
  <si>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</si>
  <si>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</si>
  <si>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</si>
  <si>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</si>
  <si>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</si>
  <si>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</si>
  <si>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</si>
  <si>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</si>
  <si>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</si>
  <si>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</si>
  <si>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</si>
  <si>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</si>
  <si>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</si>
  <si>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</si>
  <si>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</si>
  <si>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</si>
  <si>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</si>
  <si>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</si>
  <si>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</si>
  <si>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</si>
  <si>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</si>
  <si>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</si>
  <si>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</si>
  <si>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</si>
  <si>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</si>
  <si>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</si>
  <si>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</si>
  <si>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</si>
  <si>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</si>
  <si>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</si>
  <si>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</si>
  <si>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</si>
  <si>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</si>
  <si>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</si>
  <si>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</si>
  <si>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</si>
  <si>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</si>
  <si>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</si>
  <si>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</si>
  <si>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</si>
  <si>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</si>
  <si>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</si>
  <si>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</si>
  <si>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</si>
  <si>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</si>
  <si>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</si>
  <si>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</si>
  <si>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</si>
  <si>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</si>
  <si>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</si>
  <si>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</si>
  <si>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</si>
  <si>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</si>
  <si>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</si>
  <si>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</si>
  <si>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</si>
  <si>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</si>
  <si>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</si>
  <si>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</si>
  <si>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</si>
  <si>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</si>
  <si>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</si>
  <si>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</si>
  <si>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</si>
  <si>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</si>
  <si>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</si>
  <si>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</si>
  <si>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</si>
  <si>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</si>
  <si>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</si>
  <si>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</si>
  <si>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</si>
  <si>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</si>
  <si>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</si>
  <si>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</si>
  <si>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</si>
  <si>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</si>
  <si>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</si>
  <si>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</si>
  <si>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</si>
  <si>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</si>
  <si>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</si>
  <si>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</si>
  <si>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</si>
  <si>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</si>
  <si>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</si>
  <si>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</si>
  <si>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</si>
  <si>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</si>
  <si>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</si>
  <si>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</si>
  <si>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</si>
  <si>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</si>
  <si>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</si>
  <si>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</si>
  <si>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</si>
  <si>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</si>
  <si>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</si>
  <si>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</si>
  <si>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</si>
  <si>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</si>
  <si>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</si>
  <si>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</si>
  <si>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</si>
  <si>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</si>
  <si>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</si>
  <si>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</si>
  <si>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</si>
  <si>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</si>
  <si>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</si>
  <si>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</si>
  <si>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</si>
  <si>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</si>
  <si>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</si>
  <si>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</si>
  <si>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</si>
  <si>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</si>
  <si>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</si>
  <si>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</si>
  <si>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</si>
  <si>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</si>
  <si>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</si>
  <si>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</si>
  <si>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</si>
  <si>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</si>
  <si>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</si>
  <si>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</si>
  <si>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</si>
  <si>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</si>
  <si>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</si>
  <si>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</si>
  <si>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</si>
  <si>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</si>
  <si>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</si>
  <si>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</si>
  <si>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</si>
  <si>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</si>
  <si>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</si>
  <si>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</si>
  <si>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</si>
  <si>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</si>
  <si>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</si>
  <si>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</si>
  <si>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</si>
  <si>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</si>
  <si>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</si>
  <si>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</si>
  <si>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</si>
  <si>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</si>
  <si>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</si>
  <si>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</si>
  <si>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</si>
  <si>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</si>
  <si>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</si>
  <si>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</si>
  <si>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</si>
  <si>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</si>
  <si>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</si>
  <si>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</si>
  <si>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</si>
  <si>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</si>
  <si>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</si>
  <si>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</si>
  <si>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</si>
  <si>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</si>
  <si>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</si>
  <si>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</si>
  <si>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</si>
  <si>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</si>
  <si>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</si>
  <si>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</si>
  <si>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</si>
  <si>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</si>
  <si>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</si>
  <si>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</si>
  <si>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</si>
  <si>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</si>
  <si>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</si>
  <si>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</si>
  <si>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</si>
  <si>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</si>
  <si>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</si>
  <si>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</si>
  <si>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</si>
  <si>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</si>
  <si>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</si>
  <si>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</si>
  <si>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</si>
  <si>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</si>
  <si>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</si>
  <si>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</si>
  <si>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</si>
  <si>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</si>
  <si>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</si>
  <si>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</si>
  <si>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</si>
  <si>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</si>
  <si>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</si>
  <si>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</si>
  <si>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</si>
  <si>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</si>
  <si>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</si>
  <si>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</si>
  <si>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</si>
  <si>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</si>
  <si>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</si>
  <si>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</si>
  <si>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</si>
  <si>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</si>
  <si>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</si>
  <si>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</si>
  <si>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</si>
  <si>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</si>
  <si>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</si>
  <si>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</si>
  <si>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</si>
  <si>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</si>
  <si>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</si>
  <si>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</si>
  <si>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</si>
  <si>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</si>
  <si>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</si>
  <si>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</si>
  <si>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</si>
  <si>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</si>
  <si>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</si>
  <si>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</si>
  <si>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</si>
  <si>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</si>
  <si>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</si>
  <si>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</si>
  <si>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</si>
  <si>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</si>
  <si>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</si>
  <si>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</si>
  <si>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</si>
  <si>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</si>
  <si>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</si>
  <si>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</si>
  <si>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</si>
  <si>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</si>
  <si>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</si>
  <si>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</si>
  <si>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</si>
  <si>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</si>
  <si>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</si>
  <si>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</si>
  <si>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</si>
  <si>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</si>
  <si>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</si>
  <si>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</si>
  <si>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</si>
  <si>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</si>
  <si>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</si>
  <si>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</si>
  <si>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</si>
  <si>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</si>
  <si>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</si>
  <si>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</si>
  <si>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</si>
  <si>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</si>
  <si>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</si>
  <si>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</si>
  <si>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</si>
  <si>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</si>
  <si>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</si>
  <si>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</si>
  <si>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</si>
  <si>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</si>
  <si>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</si>
  <si>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</si>
  <si>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</si>
  <si>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</si>
  <si>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</si>
  <si>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</si>
  <si>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</si>
  <si>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</si>
  <si>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</si>
  <si>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</si>
  <si>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</si>
  <si>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</si>
  <si>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</si>
  <si>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</si>
  <si>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</si>
  <si>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</si>
  <si>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</si>
  <si>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</si>
  <si>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</si>
  <si>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</si>
  <si>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</si>
  <si>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</si>
  <si>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</si>
  <si>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</si>
  <si>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</si>
  <si>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</si>
  <si>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</si>
  <si>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</si>
  <si>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</si>
  <si>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</si>
  <si>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</si>
  <si>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</si>
  <si>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</si>
  <si>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</si>
  <si>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</si>
  <si>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</si>
  <si>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</si>
  <si>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</si>
  <si>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</si>
  <si>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</si>
  <si>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</si>
  <si>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</si>
  <si>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</si>
  <si>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</si>
  <si>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</si>
  <si>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</si>
  <si>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</si>
  <si>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</si>
  <si>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</si>
  <si>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</si>
  <si>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</si>
  <si>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</si>
  <si>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</si>
  <si>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</si>
  <si>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</si>
  <si>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</si>
  <si>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</si>
  <si>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</si>
  <si>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</si>
  <si>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</si>
  <si>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</si>
  <si>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</si>
  <si>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</si>
  <si>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</si>
  <si>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</si>
  <si>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</si>
  <si>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</si>
  <si>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</si>
  <si>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</si>
  <si>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</si>
  <si>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</si>
  <si>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</si>
  <si>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</si>
  <si>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</si>
  <si>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</si>
  <si>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</si>
  <si>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</si>
  <si>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</si>
  <si>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</si>
  <si>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</si>
  <si>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</si>
  <si>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</si>
  <si>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</si>
  <si>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</si>
  <si>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</si>
  <si>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</si>
  <si>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</si>
  <si>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</si>
  <si>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</si>
  <si>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</si>
  <si>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</si>
  <si>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</si>
  <si>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</si>
  <si>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</si>
  <si>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</si>
  <si>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</si>
  <si>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</si>
  <si>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</si>
  <si>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</si>
  <si>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</si>
  <si>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</si>
  <si>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</si>
  <si>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</si>
  <si>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</si>
  <si>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</si>
  <si>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</si>
  <si>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</si>
  <si>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</si>
  <si>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</si>
  <si>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</si>
  <si>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</si>
  <si>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</si>
  <si>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</si>
  <si>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</si>
  <si>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</si>
  <si>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</si>
  <si>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</si>
  <si>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</si>
  <si>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</si>
  <si>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</si>
  <si>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</si>
  <si>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</si>
  <si>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</si>
  <si>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</si>
  <si>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</si>
  <si>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</si>
  <si>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</si>
  <si>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</si>
  <si>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</si>
  <si>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</si>
  <si>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</si>
  <si>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</si>
  <si>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</si>
  <si>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</si>
  <si>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</si>
  <si>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</si>
  <si>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</si>
  <si>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</si>
  <si>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</si>
  <si>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</si>
  <si>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</si>
  <si>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</si>
  <si>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</si>
  <si>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</si>
  <si>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</si>
  <si>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</si>
  <si>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</si>
  <si>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</si>
  <si>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</si>
  <si>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</si>
  <si>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</si>
  <si>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</si>
  <si>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</si>
  <si>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</si>
  <si>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</si>
  <si>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</si>
  <si>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</si>
  <si>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</si>
  <si>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</si>
  <si>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</si>
  <si>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</si>
  <si>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</si>
  <si>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</si>
  <si>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</si>
  <si>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</si>
  <si>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</si>
  <si>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</si>
  <si>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</si>
  <si>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</si>
  <si>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</si>
  <si>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</si>
  <si>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</si>
  <si>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</si>
  <si>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</si>
  <si>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</si>
  <si>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</si>
  <si>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</si>
  <si>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</si>
  <si>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</si>
  <si>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</si>
  <si>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</si>
  <si>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</si>
  <si>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</si>
  <si>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</si>
  <si>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</si>
  <si>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</si>
  <si>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</si>
  <si>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</si>
  <si>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</si>
  <si>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</si>
  <si>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</si>
  <si>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</si>
  <si>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</si>
  <si>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</si>
  <si>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</si>
  <si>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</si>
  <si>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</si>
  <si>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</si>
  <si>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</si>
  <si>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</si>
  <si>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</si>
  <si>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</si>
  <si>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</si>
  <si>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</si>
  <si>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</si>
  <si>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</si>
  <si>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</si>
  <si>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</si>
  <si>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</si>
  <si>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</si>
  <si>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</si>
  <si>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</si>
  <si>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</si>
  <si>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</si>
  <si>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</si>
  <si>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</si>
  <si>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</si>
  <si>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</si>
  <si>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</si>
  <si>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</si>
  <si>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</si>
  <si>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</si>
  <si>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</si>
  <si>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</si>
  <si>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</si>
  <si>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</si>
  <si>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</si>
  <si>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</si>
  <si>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</si>
  <si>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</si>
  <si>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</si>
  <si>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</si>
  <si>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</si>
  <si>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</si>
  <si>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</si>
  <si>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</si>
  <si>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</si>
  <si>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</si>
  <si>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</si>
  <si>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</si>
  <si>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</si>
  <si>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</si>
  <si>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</si>
  <si>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</si>
  <si>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</si>
  <si>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</si>
  <si>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</si>
  <si>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</si>
  <si>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</si>
  <si>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</si>
  <si>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</si>
  <si>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</si>
  <si>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</si>
  <si>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</si>
  <si>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</si>
  <si>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</si>
  <si>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</si>
  <si>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</si>
  <si>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</si>
  <si>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</si>
  <si>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</si>
  <si>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</si>
  <si>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</si>
  <si>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</si>
  <si>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</si>
  <si>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</si>
  <si>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</si>
  <si>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</si>
  <si>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</si>
  <si>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</si>
  <si>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</si>
  <si>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</si>
  <si>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</si>
  <si>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</si>
  <si>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</si>
  <si>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</si>
  <si>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</si>
  <si>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</si>
  <si>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</si>
  <si>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</si>
  <si>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</si>
  <si>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</si>
  <si>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</si>
  <si>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</si>
  <si>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</si>
  <si>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</si>
  <si>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</si>
  <si>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</si>
  <si>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</si>
  <si>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</si>
  <si>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</si>
  <si>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</si>
  <si>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</si>
  <si>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</si>
  <si>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</si>
  <si>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</si>
  <si>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</si>
  <si>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</si>
  <si>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</si>
  <si>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</si>
  <si>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</si>
  <si>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</si>
  <si>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</si>
  <si>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</si>
  <si>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</si>
  <si>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</si>
  <si>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</si>
  <si>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</si>
  <si>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</si>
  <si>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</si>
  <si>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</si>
  <si>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</si>
  <si>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</si>
  <si>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</si>
  <si>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</si>
  <si>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</si>
  <si>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</si>
  <si>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</si>
  <si>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</si>
  <si>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</si>
  <si>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</si>
  <si>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</si>
  <si>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</si>
  <si>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</si>
  <si>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</si>
  <si>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</si>
  <si>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</si>
  <si>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</si>
  <si>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</si>
  <si>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</si>
  <si>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</si>
  <si>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</si>
  <si>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</si>
  <si>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</si>
  <si>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</si>
  <si>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</si>
  <si>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</si>
  <si>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</si>
  <si>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</si>
  <si>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</si>
  <si>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</si>
  <si>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</si>
  <si>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</si>
  <si>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</si>
  <si>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</si>
  <si>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</si>
  <si>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</si>
  <si>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</si>
  <si>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</si>
  <si>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</si>
  <si>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</si>
  <si>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</si>
  <si>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</si>
  <si>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</si>
  <si>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</si>
  <si>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</si>
  <si>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</si>
  <si>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</si>
  <si>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</si>
  <si>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</si>
  <si>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</si>
  <si>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</si>
  <si>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</si>
  <si>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</si>
  <si>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</si>
  <si>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</si>
  <si>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</si>
  <si>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</si>
  <si>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</si>
  <si>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</si>
  <si>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</si>
  <si>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</si>
  <si>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</si>
  <si>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</si>
  <si>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</si>
  <si>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</si>
  <si>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</si>
  <si>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</si>
  <si>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</si>
  <si>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</si>
  <si>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</si>
  <si>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</si>
  <si>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</si>
  <si>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</si>
  <si>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</si>
  <si>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</si>
  <si>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</si>
  <si>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</si>
  <si>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</si>
  <si>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</si>
  <si>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</si>
  <si>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</si>
  <si>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</si>
  <si>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</si>
  <si>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</si>
  <si>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</si>
  <si>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</si>
  <si>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</si>
  <si>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</si>
  <si>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</si>
  <si>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</si>
  <si>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</si>
  <si>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</si>
  <si>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</si>
  <si>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</si>
  <si>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</si>
  <si>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</si>
  <si>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</si>
  <si>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</si>
  <si>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</si>
  <si>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</si>
  <si>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</si>
  <si>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</si>
  <si>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</si>
  <si>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</si>
  <si>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</si>
  <si>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</si>
  <si>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</si>
  <si>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</si>
  <si>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</si>
  <si>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</si>
  <si>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</si>
  <si>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</si>
  <si>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</si>
  <si>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</si>
  <si>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</si>
  <si>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</si>
  <si>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</si>
  <si>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</si>
  <si>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</si>
  <si>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</si>
  <si>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</si>
  <si>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</si>
  <si>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</si>
  <si>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</si>
  <si>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</si>
  <si>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</si>
  <si>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</si>
  <si>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</si>
  <si>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</si>
  <si>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</si>
  <si>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</si>
  <si>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</si>
  <si>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</si>
  <si>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</si>
  <si>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</si>
  <si>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</si>
  <si>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</si>
  <si>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</si>
  <si>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</si>
  <si>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</si>
  <si>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</si>
  <si>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</si>
  <si>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</si>
  <si>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</si>
  <si>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</si>
  <si>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</si>
  <si>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</si>
  <si>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</si>
  <si>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</si>
  <si>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</si>
  <si>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</si>
  <si>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</si>
  <si>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</si>
  <si>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</si>
  <si>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</si>
  <si>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</si>
  <si>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</si>
  <si>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</si>
  <si>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</si>
  <si>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</si>
  <si>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</si>
  <si>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</si>
  <si>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</si>
  <si>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</si>
  <si>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</si>
  <si>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</si>
  <si>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</si>
  <si>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</si>
  <si>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</si>
  <si>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</si>
  <si>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</si>
  <si>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</si>
  <si>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</si>
  <si>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</si>
  <si>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</si>
  <si>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</si>
  <si>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</si>
  <si>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</si>
  <si>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</si>
  <si>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</si>
  <si>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</si>
  <si>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</si>
  <si>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</si>
  <si>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</si>
  <si>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</si>
  <si>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</si>
  <si>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</si>
  <si>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</si>
  <si>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</si>
  <si>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</si>
  <si>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</si>
  <si>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</si>
  <si>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</si>
  <si>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</si>
  <si>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</si>
  <si>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</si>
  <si>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</si>
  <si>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</si>
  <si>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</si>
  <si>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</si>
  <si>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</si>
  <si>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</si>
  <si>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</si>
  <si>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</si>
  <si>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</si>
  <si>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</si>
  <si>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</si>
  <si>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</si>
  <si>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</si>
  <si>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</si>
  <si>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</si>
  <si>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</si>
  <si>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</si>
  <si>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</si>
  <si>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</si>
  <si>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</si>
  <si>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</si>
  <si>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</si>
  <si>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</si>
  <si>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</si>
  <si>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</si>
  <si>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</si>
  <si>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</si>
  <si>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</si>
  <si>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</si>
  <si>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</si>
  <si>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</si>
  <si>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</si>
  <si>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</si>
  <si>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</si>
  <si>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</si>
  <si>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</si>
  <si>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</si>
  <si>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</si>
  <si>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</si>
  <si>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</si>
  <si>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</si>
  <si>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</si>
  <si>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</si>
  <si>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</si>
  <si>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</si>
  <si>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</si>
  <si>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</si>
  <si>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</si>
  <si>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</si>
  <si>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</si>
  <si>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</si>
  <si>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</si>
  <si>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</si>
  <si>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</si>
  <si>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</si>
  <si>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</si>
  <si>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</si>
  <si>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</si>
  <si>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</si>
  <si>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</si>
  <si>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</si>
  <si>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</si>
  <si>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</si>
  <si>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</si>
  <si>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</si>
  <si>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</si>
  <si>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</si>
  <si>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</si>
  <si>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</si>
  <si>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</si>
  <si>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</si>
  <si>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</si>
  <si>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</si>
  <si>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</si>
  <si>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</si>
  <si>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</si>
  <si>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</si>
  <si>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</si>
  <si>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</si>
  <si>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</si>
  <si>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</si>
  <si>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</si>
  <si>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</si>
  <si>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</si>
  <si>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</si>
  <si>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</si>
  <si>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</si>
  <si>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</si>
  <si>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</si>
  <si>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</si>
  <si>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</si>
  <si>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</si>
  <si>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</si>
  <si>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</si>
  <si>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</si>
  <si>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</si>
  <si>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</si>
  <si>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</si>
  <si>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</si>
  <si>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</si>
  <si>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</si>
  <si>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</si>
  <si>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</si>
  <si>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</si>
  <si>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</si>
  <si>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</si>
  <si>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</si>
  <si>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</si>
  <si>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</si>
  <si>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</si>
  <si>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</si>
  <si>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</si>
  <si>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</si>
  <si>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</si>
  <si>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</si>
  <si>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</si>
  <si>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</si>
  <si>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</si>
  <si>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</si>
  <si>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</si>
  <si>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</si>
  <si>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</si>
  <si>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</si>
  <si>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</si>
  <si>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</si>
  <si>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</si>
  <si>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</si>
  <si>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</si>
  <si>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</si>
  <si>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</si>
  <si>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</si>
  <si>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</si>
  <si>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</si>
  <si>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</si>
  <si>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</si>
  <si>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</si>
  <si>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</si>
  <si>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</si>
  <si>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</si>
  <si>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</si>
  <si>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</si>
  <si>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</si>
  <si>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</si>
  <si>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</si>
  <si>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</si>
  <si>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</si>
  <si>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</si>
  <si>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</si>
  <si>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</si>
  <si>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</si>
  <si>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</si>
  <si>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</si>
  <si>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</si>
  <si>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</si>
  <si>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</si>
  <si>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</si>
  <si>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</si>
  <si>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</si>
  <si>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</si>
  <si>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</si>
  <si>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</si>
  <si>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</si>
  <si>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</si>
  <si>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</si>
  <si>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</si>
  <si>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</si>
  <si>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</si>
  <si>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</si>
  <si>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</si>
  <si>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</si>
  <si>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</si>
  <si>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</si>
  <si>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</si>
  <si>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</si>
  <si>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</si>
  <si>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</si>
  <si>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</si>
  <si>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</si>
  <si>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</si>
  <si>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</si>
  <si>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</si>
  <si>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</si>
  <si>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</si>
  <si>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</si>
  <si>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</si>
  <si>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</si>
  <si>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</si>
  <si>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</si>
  <si>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</si>
  <si>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</si>
  <si>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</si>
  <si>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</si>
  <si>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</si>
  <si>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</si>
  <si>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</si>
  <si>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</si>
  <si>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</si>
  <si>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</si>
  <si>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</si>
  <si>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</si>
  <si>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</si>
  <si>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</si>
  <si>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</si>
  <si>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</si>
  <si>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</si>
  <si>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</si>
  <si>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</si>
  <si>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</si>
  <si>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</si>
  <si>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</si>
  <si>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</si>
  <si>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</si>
  <si>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</si>
  <si>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</si>
  <si>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</si>
  <si>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</si>
  <si>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</si>
  <si>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</si>
  <si>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</si>
  <si>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</si>
  <si>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</si>
  <si>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</si>
  <si>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</si>
  <si>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</si>
  <si>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</si>
  <si>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</si>
  <si>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</si>
  <si>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</si>
  <si>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</si>
  <si>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</si>
  <si>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</si>
  <si>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</si>
  <si>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</si>
  <si>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</si>
  <si>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</si>
  <si>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</si>
  <si>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</si>
  <si>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</si>
  <si>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</si>
  <si>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</si>
  <si>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</si>
  <si>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</si>
  <si>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</si>
  <si>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</si>
  <si>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</si>
  <si>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</si>
  <si>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</si>
  <si>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</si>
  <si>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</si>
  <si>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</si>
  <si>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</si>
  <si>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</si>
  <si>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</si>
  <si>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</si>
  <si>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</si>
  <si>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</si>
  <si>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</si>
  <si>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</si>
  <si>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</si>
  <si>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</si>
  <si>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</si>
  <si>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</si>
  <si>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</si>
  <si>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</si>
  <si>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</si>
  <si>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</si>
  <si>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</si>
  <si>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</si>
  <si>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</si>
  <si>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</si>
  <si>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</si>
  <si>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</si>
  <si>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</si>
  <si>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</si>
  <si>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</si>
  <si>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</si>
  <si>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</si>
  <si>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</si>
  <si>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</si>
  <si>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</si>
  <si>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</si>
  <si>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</si>
  <si>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</si>
  <si>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</si>
  <si>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</si>
  <si>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</si>
  <si>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</si>
  <si>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</si>
  <si>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</si>
  <si>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</si>
  <si>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</si>
  <si>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</si>
  <si>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</si>
  <si>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</si>
  <si>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</si>
  <si>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</si>
  <si>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</si>
  <si>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</si>
  <si>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</si>
  <si>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</si>
  <si>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</si>
  <si>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</si>
  <si>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</si>
  <si>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</si>
  <si>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</si>
  <si>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</si>
  <si>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</si>
  <si>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</si>
  <si>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</si>
  <si>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</si>
  <si>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</si>
  <si>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</si>
  <si>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</si>
  <si>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</si>
  <si>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</si>
  <si>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</si>
  <si>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</si>
  <si>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</si>
  <si>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</si>
  <si>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</si>
  <si>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</si>
  <si>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</si>
  <si>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</si>
  <si>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</si>
  <si>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</si>
  <si>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</si>
  <si>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</si>
  <si>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</si>
  <si>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</si>
  <si>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</si>
  <si>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</si>
  <si>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</si>
  <si>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</si>
  <si>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</si>
  <si>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</si>
  <si>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</si>
  <si>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</si>
  <si>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</si>
  <si>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</si>
  <si>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</si>
  <si>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</si>
  <si>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</si>
  <si>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</si>
  <si>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</si>
  <si>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</si>
  <si>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</si>
  <si>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</si>
  <si>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</si>
  <si>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</si>
  <si>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</si>
  <si>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</si>
  <si>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</si>
  <si>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</si>
  <si>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</si>
  <si>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</si>
  <si>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</si>
  <si>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</si>
  <si>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</si>
  <si>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</si>
  <si>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</si>
  <si>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</si>
  <si>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</si>
  <si>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</si>
  <si>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</si>
  <si>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</si>
  <si>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</si>
  <si>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</si>
  <si>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</si>
  <si>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</si>
  <si>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</si>
  <si>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</si>
  <si>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</si>
  <si>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</si>
  <si>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</si>
  <si>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</si>
  <si>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</si>
  <si>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</si>
  <si>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</si>
  <si>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</si>
  <si>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</si>
  <si>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</si>
  <si>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</si>
  <si>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</si>
  <si>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</si>
  <si>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</si>
  <si>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</si>
  <si>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</si>
  <si>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</si>
  <si>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</si>
  <si>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</si>
  <si>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</si>
  <si>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</si>
  <si>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</si>
  <si>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</si>
  <si>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</si>
  <si>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</si>
  <si>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</si>
  <si>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</si>
  <si>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</si>
  <si>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</si>
  <si>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</si>
  <si>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</si>
  <si>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</si>
  <si>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</si>
  <si>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</si>
  <si>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</si>
  <si>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</si>
  <si>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</si>
  <si>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</si>
  <si>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</si>
  <si>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</si>
  <si>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</si>
  <si>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</si>
  <si>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</si>
  <si>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</si>
  <si>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</si>
  <si>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</si>
  <si>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</si>
  <si>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</si>
  <si>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</si>
  <si>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</si>
  <si>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</si>
  <si>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</si>
  <si>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</si>
  <si>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</si>
  <si>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</si>
  <si>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</si>
  <si>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</si>
  <si>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</si>
  <si>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</si>
  <si>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</si>
  <si>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</si>
  <si>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</si>
  <si>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</si>
  <si>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</si>
  <si>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</si>
  <si>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</si>
  <si>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</si>
  <si>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</si>
  <si>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</si>
  <si>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</si>
  <si>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</si>
  <si>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</si>
  <si>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</si>
  <si>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</si>
  <si>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</si>
  <si>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</si>
  <si>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</si>
  <si>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</si>
  <si>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</si>
  <si>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</si>
  <si>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</si>
  <si>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</si>
  <si>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</si>
  <si>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</si>
  <si>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</si>
  <si>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</si>
  <si>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</si>
  <si>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</si>
  <si>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</si>
  <si>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</si>
  <si>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</si>
  <si>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</si>
  <si>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</si>
  <si>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</si>
  <si>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</si>
  <si>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</si>
  <si>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</si>
  <si>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</si>
  <si>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</si>
  <si>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</si>
  <si>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</si>
  <si>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</si>
  <si>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</si>
  <si>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</si>
  <si>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</si>
  <si>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</si>
  <si>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</si>
  <si>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</si>
  <si>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</si>
  <si>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</si>
  <si>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</si>
  <si>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</si>
  <si>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</si>
  <si>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</si>
  <si>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</si>
  <si>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</si>
  <si>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</si>
  <si>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</si>
  <si>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</si>
  <si>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</si>
  <si>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</si>
  <si>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</si>
  <si>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</si>
  <si>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</si>
  <si>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</si>
  <si>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</si>
  <si>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</si>
  <si>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</si>
  <si>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</si>
  <si>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</si>
  <si>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</si>
  <si>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</si>
  <si>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</si>
  <si>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</si>
  <si>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</si>
  <si>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</si>
  <si>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</si>
  <si>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</si>
  <si>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</si>
  <si>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</si>
  <si>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</si>
  <si>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北京星华蓝光置业有限公司</t>
  </si>
  <si>
    <t>昆仑信托有限责任公司</t>
    <phoneticPr fontId="3" type="noConversion"/>
  </si>
  <si>
    <t>北京星华蓝光置业有限公司</t>
    <phoneticPr fontId="3" type="noConversion"/>
  </si>
  <si>
    <t>抵押</t>
  </si>
  <si>
    <t>已注销</t>
  </si>
  <si>
    <t>房地产抵押价值</t>
  </si>
  <si>
    <t>北京市</t>
  </si>
  <si>
    <t>企业</t>
  </si>
  <si>
    <t>出让</t>
  </si>
  <si>
    <t>商业、办公</t>
    <phoneticPr fontId="3"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</si>
  <si>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年、办公</t>
    </r>
    <r>
      <rPr>
        <sz val="12"/>
        <color theme="9" tint="-0.249977111117893"/>
        <rFont val="Arial"/>
        <family val="2"/>
      </rPr>
      <t>43.5</t>
    </r>
    <r>
      <rPr>
        <sz val="12"/>
        <color theme="9" tint="-0.249977111117893"/>
        <rFont val="宋体"/>
        <family val="3"/>
        <charset val="134"/>
      </rPr>
      <t>年</t>
    </r>
    <phoneticPr fontId="3" type="noConversion"/>
  </si>
  <si>
    <t>《房屋面积测算技术报告书》</t>
    <phoneticPr fontId="3" type="noConversion"/>
  </si>
  <si>
    <t>《不动产权证书》[京（2017）房不动产权第0000008号]</t>
    <phoneticPr fontId="3" type="noConversion"/>
  </si>
  <si>
    <t>否</t>
  </si>
  <si>
    <t>是</t>
  </si>
  <si>
    <t>《不动产权证书》</t>
  </si>
  <si>
    <t>复印件</t>
  </si>
  <si>
    <t>办公项目</t>
  </si>
  <si>
    <t>无</t>
  </si>
  <si>
    <t>通路</t>
  </si>
  <si>
    <t>通电</t>
  </si>
  <si>
    <t>通讯</t>
  </si>
  <si>
    <t>通上水</t>
  </si>
  <si>
    <t>通下水</t>
  </si>
  <si>
    <t>通热</t>
  </si>
  <si>
    <t>在建</t>
  </si>
  <si>
    <t>Ⅶ-房1</t>
  </si>
  <si>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</si>
  <si>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</si>
  <si>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</si>
  <si>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</si>
  <si>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</si>
  <si>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</si>
  <si>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</si>
  <si>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</si>
  <si>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</si>
  <si>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</si>
  <si>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</si>
  <si>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</si>
  <si>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</si>
  <si>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</si>
  <si>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1层</t>
    <phoneticPr fontId="143" type="noConversion"/>
  </si>
  <si>
    <t>套数</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</si>
  <si>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</si>
  <si>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</si>
  <si>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</si>
  <si>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</si>
  <si>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</si>
  <si>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</si>
  <si>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t>商务办公</t>
    <phoneticPr fontId="143" type="noConversion"/>
  </si>
  <si>
    <r>
      <t>4</t>
    </r>
    <r>
      <rPr>
        <sz val="11"/>
        <color theme="1"/>
        <rFont val="宋体"/>
        <family val="3"/>
        <charset val="134"/>
        <scheme val="minor"/>
      </rPr>
      <t>-1#</t>
    </r>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</si>
  <si>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</si>
  <si>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</si>
  <si>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</si>
  <si>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</si>
  <si>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</si>
  <si>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</si>
  <si>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</si>
  <si>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</si>
  <si>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地下</t>
    <phoneticPr fontId="143" type="noConversion"/>
  </si>
  <si>
    <t>影院</t>
    <phoneticPr fontId="143" type="noConversion"/>
  </si>
  <si>
    <t>车库</t>
    <phoneticPr fontId="143" type="noConversion"/>
  </si>
  <si>
    <t>设备</t>
    <phoneticPr fontId="143" type="noConversion"/>
  </si>
  <si>
    <t>皇冠酒店</t>
  </si>
  <si>
    <t>皇冠酒店</t>
    <phoneticPr fontId="3" type="noConversion"/>
  </si>
  <si>
    <t>范围外</t>
    <phoneticPr fontId="3" type="noConversion"/>
  </si>
  <si>
    <t>地上</t>
  </si>
  <si>
    <t>酒店</t>
  </si>
  <si>
    <t>地下</t>
  </si>
  <si>
    <t>车库</t>
  </si>
  <si>
    <t>工程进度</t>
  </si>
  <si>
    <t>未包含在土地购买价格中</t>
  </si>
  <si>
    <t>全部缴纳</t>
  </si>
  <si>
    <t>已包含在土地取得成本中</t>
  </si>
  <si>
    <t>商务金融用地（商业类）</t>
  </si>
  <si>
    <t>不临58条商业街</t>
  </si>
  <si>
    <t>与级别开发程度不一致</t>
  </si>
  <si>
    <t>按公示增长率计算</t>
  </si>
  <si>
    <t>容积率修正</t>
  </si>
  <si>
    <t>一般</t>
  </si>
  <si>
    <t>较好</t>
  </si>
  <si>
    <t>较差</t>
  </si>
  <si>
    <t>商务金融用地（办公类）</t>
  </si>
  <si>
    <t>收益法</t>
  </si>
  <si>
    <t>在建（套用方法）</t>
  </si>
  <si>
    <t>自定义</t>
  </si>
  <si>
    <t>按房产原值计税</t>
  </si>
  <si>
    <t>钢混</t>
  </si>
  <si>
    <t>非生产用房</t>
  </si>
  <si>
    <t>成本法</t>
  </si>
  <si>
    <t>假设开发法</t>
  </si>
  <si>
    <t>成本比率</t>
  </si>
  <si>
    <t>项目局部</t>
  </si>
  <si>
    <t>其他（打印室）</t>
    <phoneticPr fontId="143" type="noConversion"/>
  </si>
  <si>
    <t>2-1#</t>
    <phoneticPr fontId="143" type="noConversion"/>
  </si>
  <si>
    <t>分摊土地测绘</t>
    <phoneticPr fontId="143" type="noConversion"/>
  </si>
  <si>
    <t>2-2#</t>
    <phoneticPr fontId="143" type="noConversion"/>
  </si>
  <si>
    <t>建筑面积</t>
    <phoneticPr fontId="143" type="noConversion"/>
  </si>
  <si>
    <t>分摊土地面积</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</si>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</sst>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SimSun"/>
      <family val="3"/>
      <charset val="134"/>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194" fontId="99" fillId="0" borderId="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99" fillId="0" borderId="0" xfId="18" applyNumberFormat="1">
      <alignment vertical="center"/>
    </xf>
    <xf numFmtId="0" fontId="99" fillId="0" borderId="1" xfId="18" applyNumberFormat="1" applyFont="1" applyBorder="1" applyAlignment="1">
      <alignment horizontal="center" vertical="center"/>
    </xf>
    <xf numFmtId="0" fontId="99" fillId="0" borderId="0" xfId="18" applyNumberFormat="1" applyFont="1" applyFill="1" applyBorder="1" applyAlignment="1">
      <alignment horizontal="center" vertical="center"/>
    </xf>
    <xf numFmtId="0" fontId="99" fillId="5" borderId="1" xfId="18" applyNumberFormat="1" applyFill="1" applyBorder="1" applyAlignment="1">
      <alignment horizontal="center" vertical="center"/>
    </xf>
    <xf numFmtId="0" fontId="99" fillId="5" borderId="1" xfId="18" applyNumberFormat="1" applyFont="1" applyFill="1" applyBorder="1" applyAlignment="1">
      <alignment horizontal="center" vertical="center"/>
    </xf>
    <xf numFmtId="0" fontId="99" fillId="0" borderId="0" xfId="18" applyNumberFormat="1" applyFont="1">
      <alignment vertical="center"/>
    </xf>
    <xf numFmtId="0" fontId="99" fillId="9" borderId="1" xfId="18" applyNumberFormat="1" applyFill="1" applyBorder="1" applyAlignment="1">
      <alignment horizontal="center" vertical="center"/>
    </xf>
    <xf numFmtId="0" fontId="99" fillId="9" borderId="1" xfId="18" applyNumberFormat="1" applyFont="1" applyFill="1" applyBorder="1" applyAlignment="1">
      <alignment horizontal="center" vertical="center"/>
    </xf>
    <xf numFmtId="0" fontId="99" fillId="9" borderId="15" xfId="18" applyNumberFormat="1" applyFont="1" applyFill="1" applyBorder="1" applyAlignment="1">
      <alignment horizontal="center" vertical="center"/>
    </xf>
    <xf numFmtId="0" fontId="99" fillId="18" borderId="1" xfId="18" applyNumberFormat="1" applyFill="1" applyBorder="1" applyAlignment="1">
      <alignment horizontal="center" vertical="center"/>
    </xf>
    <xf numFmtId="0" fontId="99" fillId="18" borderId="1" xfId="18" applyNumberFormat="1" applyFont="1" applyFill="1" applyBorder="1" applyAlignment="1">
      <alignment horizontal="center" vertical="center"/>
    </xf>
    <xf numFmtId="0" fontId="99" fillId="19" borderId="1" xfId="18" applyNumberFormat="1" applyFill="1" applyBorder="1" applyAlignment="1">
      <alignment horizontal="center" vertical="center"/>
    </xf>
    <xf numFmtId="0" fontId="99" fillId="19" borderId="1" xfId="18" applyNumberFormat="1" applyFont="1" applyFill="1" applyBorder="1" applyAlignment="1">
      <alignment horizontal="center" vertical="center"/>
    </xf>
    <xf numFmtId="0" fontId="99" fillId="20" borderId="1" xfId="18" applyNumberFormat="1" applyFill="1" applyBorder="1" applyAlignment="1">
      <alignment horizontal="center" vertical="center"/>
    </xf>
    <xf numFmtId="0" fontId="99" fillId="20" borderId="1" xfId="18" applyNumberFormat="1" applyFont="1" applyFill="1" applyBorder="1" applyAlignment="1">
      <alignment horizontal="center" vertical="center"/>
    </xf>
    <xf numFmtId="0" fontId="99" fillId="21" borderId="1" xfId="18" applyNumberFormat="1" applyFill="1" applyBorder="1" applyAlignment="1">
      <alignment horizontal="center" vertical="center"/>
    </xf>
    <xf numFmtId="0" fontId="99" fillId="21" borderId="1" xfId="18" applyNumberFormat="1" applyFont="1" applyFill="1" applyBorder="1" applyAlignment="1">
      <alignment horizontal="center" vertical="center"/>
    </xf>
    <xf numFmtId="0" fontId="99" fillId="16" borderId="1" xfId="18" applyNumberFormat="1" applyFill="1" applyBorder="1" applyAlignment="1">
      <alignment horizontal="center" vertical="center"/>
    </xf>
    <xf numFmtId="0" fontId="99" fillId="16" borderId="1" xfId="18" applyNumberFormat="1" applyFont="1" applyFill="1" applyBorder="1" applyAlignment="1">
      <alignment horizontal="center" vertical="center"/>
    </xf>
    <xf numFmtId="0" fontId="99" fillId="22" borderId="1" xfId="18" applyNumberFormat="1" applyFill="1" applyBorder="1" applyAlignment="1">
      <alignment horizontal="center" vertical="center"/>
    </xf>
    <xf numFmtId="0" fontId="99" fillId="22" borderId="1" xfId="18" applyNumberFormat="1" applyFont="1" applyFill="1" applyBorder="1" applyAlignment="1">
      <alignment horizontal="center" vertical="center"/>
    </xf>
    <xf numFmtId="0" fontId="99" fillId="23" borderId="1" xfId="18" applyNumberFormat="1" applyFill="1" applyBorder="1" applyAlignment="1">
      <alignment horizontal="center" vertical="center"/>
    </xf>
    <xf numFmtId="0" fontId="99" fillId="23" borderId="1" xfId="18" applyNumberFormat="1" applyFont="1" applyFill="1" applyBorder="1" applyAlignment="1">
      <alignment horizontal="center" vertical="center"/>
    </xf>
    <xf numFmtId="0" fontId="99" fillId="0" borderId="1" xfId="18" applyNumberFormat="1" applyBorder="1" applyAlignment="1">
      <alignment horizontal="center" vertical="center"/>
    </xf>
    <xf numFmtId="0" fontId="99" fillId="0" borderId="1" xfId="18"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0" fontId="50" fillId="0" borderId="1" xfId="1" applyNumberFormat="1" applyFont="1" applyFill="1" applyBorder="1" applyAlignment="1" applyProtection="1">
      <alignment horizontal="center" vertical="center"/>
      <protection locked="0"/>
    </xf>
    <xf numFmtId="0" fontId="105" fillId="5"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255" fillId="5" borderId="9" xfId="0"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6" fillId="17" borderId="28" xfId="0" applyFont="1" applyFill="1" applyBorder="1" applyAlignment="1" applyProtection="1">
      <alignment horizontal="center" vertical="center" wrapText="1"/>
      <protection locked="0"/>
    </xf>
    <xf numFmtId="0" fontId="56" fillId="17" borderId="10" xfId="0" applyFont="1" applyFill="1" applyBorder="1" applyAlignment="1" applyProtection="1">
      <alignment horizontal="center" vertical="center" wrapText="1"/>
      <protection locked="0"/>
    </xf>
    <xf numFmtId="0" fontId="50" fillId="17" borderId="5" xfId="0" applyFont="1" applyFill="1" applyBorder="1" applyAlignment="1" applyProtection="1">
      <alignment horizontal="center" vertical="center" wrapText="1"/>
      <protection locked="0"/>
    </xf>
    <xf numFmtId="0" fontId="49" fillId="17" borderId="13" xfId="0" applyFont="1" applyFill="1" applyBorder="1" applyAlignment="1" applyProtection="1">
      <alignment vertical="center"/>
    </xf>
    <xf numFmtId="0" fontId="170" fillId="0" borderId="0" xfId="12" applyProtection="1">
      <protection locked="0"/>
    </xf>
    <xf numFmtId="181" fontId="105" fillId="0" borderId="1" xfId="17"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18" applyNumberFormat="1" applyFont="1" applyFill="1" applyBorder="1" applyAlignment="1">
      <alignment horizontal="left" vertical="center"/>
    </xf>
    <xf numFmtId="0" fontId="99" fillId="17" borderId="54" xfId="18" applyNumberFormat="1" applyFill="1" applyBorder="1" applyAlignment="1">
      <alignment horizontal="left" vertical="center"/>
    </xf>
    <xf numFmtId="0" fontId="99" fillId="17" borderId="3" xfId="18" applyNumberFormat="1" applyFill="1" applyBorder="1" applyAlignment="1">
      <alignment horizontal="left" vertical="center"/>
    </xf>
    <xf numFmtId="0" fontId="99" fillId="0" borderId="5" xfId="18" applyNumberFormat="1" applyFont="1" applyBorder="1" applyAlignment="1">
      <alignment horizontal="center" vertical="center"/>
    </xf>
    <xf numFmtId="0" fontId="99" fillId="0" borderId="54" xfId="18" applyNumberFormat="1" applyFont="1" applyBorder="1" applyAlignment="1">
      <alignment horizontal="center" vertical="center"/>
    </xf>
    <xf numFmtId="0" fontId="99" fillId="0" borderId="3" xfId="18"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Users/naomih/Desktop/2&#26376;&#23621;&#23478;&#21150;&#20844;/&#25151;&#23665;&#34013;&#20809;-&#26118;&#20177;&#20449;&#25176;-&#20911;&#24503;&#26234;/&#27979;&#31639;&#34920;&#21450;&#39044;&#35780;-&#20911;&#24503;&#26234;20200303-183812/2018-1-0637&#25151;&#23665;&#21306;&#35199;&#28510;&#34903;&#36947;&#33391;&#20065;&#32452;&#22242;06&#34903;&#21306;1-&#20911;&#24503;&#26234;20190620-1016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583" customWidth="1"/>
    <col min="2" max="2" width="81" style="1600" customWidth="1"/>
    <col min="3" max="16384" width="9" style="1598"/>
  </cols>
  <sheetData>
    <row r="1" spans="1:2" s="1586" customFormat="1" ht="17" thickBot="1">
      <c r="A1" s="1585" t="s">
        <v>1214</v>
      </c>
      <c r="B1" s="1584" t="s">
        <v>1293</v>
      </c>
    </row>
    <row r="2" spans="1:2" s="1589" customFormat="1" ht="17" thickTop="1">
      <c r="A2" s="1587" t="s">
        <v>1215</v>
      </c>
      <c r="B2" s="1588" t="str">
        <f>'预评函-封皮'!B37:I37</f>
        <v>北京市出让国有建设用地使用权及在建建筑物房地产抵押价值预评估</v>
      </c>
    </row>
    <row r="3" spans="1:2" s="1592" customFormat="1" ht="16">
      <c r="A3" s="1590" t="s">
        <v>1216</v>
      </c>
      <c r="B3" s="1591" t="str">
        <f>'预评函-封皮'!B40</f>
        <v>北京星华蓝光置业有限公司</v>
      </c>
    </row>
    <row r="4" spans="1:2" s="1592" customFormat="1" ht="16">
      <c r="A4" s="1590" t="s">
        <v>1217</v>
      </c>
      <c r="B4" s="1591" t="str">
        <f ca="1">'预评函-封皮'!B46</f>
        <v>王鹏（注册号：1120050019)、郑燚（注册号：1120070131)</v>
      </c>
    </row>
    <row r="5" spans="1:2" s="1586" customFormat="1" ht="17" thickBot="1">
      <c r="A5" s="1593" t="s">
        <v>1218</v>
      </c>
      <c r="B5" s="1594" t="str">
        <f>'预评函-封皮'!B49</f>
        <v>康正预评字号</v>
      </c>
    </row>
    <row r="6" spans="1:2" s="1589" customFormat="1" ht="17" thickTop="1">
      <c r="A6" s="1587" t="s">
        <v>1219</v>
      </c>
      <c r="B6" s="1588" t="str">
        <f>'预评函-1'!A4</f>
        <v>受贵公司委托，我公司对北京市出让国有建设用地使用权及在建建筑物房地产抵押价值进行了预评估。</v>
      </c>
    </row>
    <row r="7" spans="1:2" s="1592" customFormat="1" ht="16">
      <c r="A7" s="1590" t="s">
        <v>1259</v>
      </c>
      <c r="B7" s="1591" t="str">
        <f>'预评函-1'!A7</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2" s="1592" customFormat="1" ht="16">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ht="16">
      <c r="A9" s="1590" t="s">
        <v>1261</v>
      </c>
      <c r="B9" s="1591" t="str">
        <f>'预评函-1'!A10</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0" spans="1:2" s="1592" customFormat="1" ht="16">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ht="16">
      <c r="A11" s="1590" t="s">
        <v>1220</v>
      </c>
      <c r="B11" s="1591" t="str">
        <f>'预评函-1'!A13</f>
        <v>为估价委托人在向昆仑信托有限责任公司办理贷款手续过程中，确定房地产抵押贷款额度提供参考依据而评估房地产抵押价值。</v>
      </c>
    </row>
    <row r="12" spans="1:2" s="1592" customFormat="1" ht="16">
      <c r="A12" s="1590" t="s">
        <v>1221</v>
      </c>
      <c r="B12" s="1591" t="str">
        <f>'预评函-1'!A15</f>
        <v>2020年3月16日（评估专业人员实地查勘之日）</v>
      </c>
    </row>
    <row r="13" spans="1:2" s="1592" customFormat="1" ht="16">
      <c r="A13" s="1590" t="s">
        <v>1222</v>
      </c>
      <c r="B13" s="1591" t="str">
        <f>'预评函-1'!A18</f>
        <v>本次估价的“房地产价值”是指在正常市场情况下，在价值时点2020年3月16日，估价对象规划用途为商业、办公，土地取得方式为出让，出让国有建设用地使用权剩余土地使用年限为商业33.5年、办公43.5年，假定未设立法定优先受偿款下的房地产市场价值。</v>
      </c>
    </row>
    <row r="14" spans="1:2" s="1592" customFormat="1" ht="16">
      <c r="A14" s="1590" t="s">
        <v>1223</v>
      </c>
      <c r="B14" s="1591" t="str">
        <f>'预评函-1'!A19</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ht="16">
      <c r="A15" s="1590" t="s">
        <v>1224</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ht="16">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ht="16">
      <c r="A17" s="1590" t="s">
        <v>1226</v>
      </c>
      <c r="B17" s="1591" t="str">
        <f>'预评函-1'!A22</f>
        <v/>
      </c>
    </row>
    <row r="18" spans="1:2" s="1586" customFormat="1" ht="17" thickBot="1">
      <c r="A18" s="1593" t="s">
        <v>1227</v>
      </c>
      <c r="B18" s="1594" t="str">
        <f>'预评函-1'!A24</f>
        <v>本次评估采用的主估价方法为成本法和假设开发法。</v>
      </c>
    </row>
    <row r="19" spans="1:2" s="1589" customFormat="1" ht="17"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ht="16">
      <c r="A20" s="1590" t="s">
        <v>1229</v>
      </c>
      <c r="B20" s="1591">
        <f ca="1">'预评函-2'!D5</f>
        <v>25192</v>
      </c>
    </row>
    <row r="21" spans="1:2" s="1592" customFormat="1" ht="16">
      <c r="A21" s="1590" t="s">
        <v>1230</v>
      </c>
      <c r="B21" s="1591">
        <f ca="1">'预评函-2'!D7</f>
        <v>16593</v>
      </c>
    </row>
    <row r="22" spans="1:2" s="1592" customFormat="1" ht="16">
      <c r="A22" s="1590" t="s">
        <v>1231</v>
      </c>
      <c r="B22" s="1591" t="str">
        <f ca="1">'预评函-2'!D6</f>
        <v>贰亿伍仟壹佰玖拾贰万元整</v>
      </c>
    </row>
    <row r="23" spans="1:2" s="1592" customFormat="1" ht="16">
      <c r="A23" s="1590" t="s">
        <v>1282</v>
      </c>
      <c r="B23" s="1591" t="str">
        <f>'预评函-2'!B8</f>
        <v>2.估价师知悉的法定优先受偿款</v>
      </c>
    </row>
    <row r="24" spans="1:2" s="1592" customFormat="1" ht="16">
      <c r="A24" s="1590" t="s">
        <v>1288</v>
      </c>
      <c r="B24" s="1591">
        <f>'预评函-2'!D8</f>
        <v>0</v>
      </c>
    </row>
    <row r="25" spans="1:2" s="1592" customFormat="1" ht="16">
      <c r="A25" s="1590" t="s">
        <v>1232</v>
      </c>
      <c r="B25" s="1591" t="str">
        <f>'预评函-2'!D9</f>
        <v>零元整</v>
      </c>
    </row>
    <row r="26" spans="1:2" s="1592" customFormat="1" ht="16">
      <c r="A26" s="1590" t="s">
        <v>1233</v>
      </c>
      <c r="B26" s="1591">
        <f>'预评函-2'!D10</f>
        <v>0</v>
      </c>
    </row>
    <row r="27" spans="1:2" s="1592" customFormat="1" ht="16">
      <c r="A27" s="1590" t="s">
        <v>1234</v>
      </c>
      <c r="B27" s="1591">
        <f>'预评函-2'!D11</f>
        <v>0</v>
      </c>
    </row>
    <row r="28" spans="1:2" s="1592" customFormat="1" ht="16">
      <c r="A28" s="1590" t="s">
        <v>1235</v>
      </c>
      <c r="B28" s="1591">
        <f>'预评函-2'!D12</f>
        <v>0</v>
      </c>
    </row>
    <row r="29" spans="1:2" s="1592" customFormat="1" ht="16">
      <c r="A29" s="1590" t="s">
        <v>1286</v>
      </c>
      <c r="B29" s="1591" t="str">
        <f>'预评函-2'!B13</f>
        <v>——</v>
      </c>
    </row>
    <row r="30" spans="1:2" s="1592" customFormat="1" ht="16">
      <c r="A30" s="1590" t="s">
        <v>1287</v>
      </c>
      <c r="B30" s="1591" t="str">
        <f>'预评函-2'!D13</f>
        <v>——</v>
      </c>
    </row>
    <row r="31" spans="1:2" s="1592" customFormat="1" ht="16">
      <c r="A31" s="1590" t="s">
        <v>1269</v>
      </c>
      <c r="B31" s="1591" t="e">
        <f>'预评函-2'!D15</f>
        <v>#VALUE!</v>
      </c>
    </row>
    <row r="32" spans="1:2" s="1592" customFormat="1" ht="16">
      <c r="A32" s="1590" t="s">
        <v>1236</v>
      </c>
      <c r="B32" s="1591" t="e">
        <f>'预评函-2'!D14</f>
        <v>#VALUE!</v>
      </c>
    </row>
    <row r="33" spans="1:2" s="1592" customFormat="1" ht="16">
      <c r="A33" s="1590" t="s">
        <v>1271</v>
      </c>
      <c r="B33" s="1591" t="str">
        <f>'预评函-2'!B16</f>
        <v>3.抵押担保权已注销时的房地产抵押价值</v>
      </c>
    </row>
    <row r="34" spans="1:2" s="1592" customFormat="1" ht="16">
      <c r="A34" s="1590" t="s">
        <v>1289</v>
      </c>
      <c r="B34" s="1591">
        <f ca="1">'预评函-2'!D16</f>
        <v>25192</v>
      </c>
    </row>
    <row r="35" spans="1:2" s="1592" customFormat="1" ht="16">
      <c r="A35" s="1590" t="s">
        <v>1270</v>
      </c>
      <c r="B35" s="1591">
        <f ca="1">'预评函-2'!D18</f>
        <v>16593</v>
      </c>
    </row>
    <row r="36" spans="1:2" s="1592" customFormat="1" ht="16">
      <c r="A36" s="1590" t="s">
        <v>1237</v>
      </c>
      <c r="B36" s="1591" t="str">
        <f ca="1">'预评函-2'!D17</f>
        <v>贰亿伍仟壹佰玖拾贰万元整</v>
      </c>
    </row>
    <row r="37" spans="1:2" s="1592" customFormat="1" ht="16">
      <c r="A37" s="1590" t="s">
        <v>1272</v>
      </c>
      <c r="B37" s="1591" t="str">
        <f>'预评函-2'!B19</f>
        <v>——</v>
      </c>
    </row>
    <row r="38" spans="1:2" s="1592" customFormat="1" ht="16">
      <c r="A38" s="1590" t="s">
        <v>1290</v>
      </c>
      <c r="B38" s="1591" t="str">
        <f>'预评函-2'!D19</f>
        <v>——</v>
      </c>
    </row>
    <row r="39" spans="1:2" s="1592" customFormat="1" ht="16">
      <c r="A39" s="1590" t="s">
        <v>1238</v>
      </c>
      <c r="B39" s="1591" t="str">
        <f>'预评函-2'!D21</f>
        <v>——</v>
      </c>
    </row>
    <row r="40" spans="1:2" s="1592" customFormat="1" ht="16">
      <c r="A40" s="1590" t="s">
        <v>1239</v>
      </c>
      <c r="B40" s="1591" t="e">
        <f>'预评函-2'!D20</f>
        <v>#VALUE!</v>
      </c>
    </row>
    <row r="41" spans="1:2" s="1592" customFormat="1" ht="16">
      <c r="A41" s="1590" t="s">
        <v>1285</v>
      </c>
      <c r="B41" s="1591" t="str">
        <f>'预评函-3'!A4</f>
        <v>北京市出让国有建设用地使用权及在建建筑物房地产</v>
      </c>
    </row>
    <row r="42" spans="1:2" s="1592" customFormat="1" ht="16">
      <c r="A42" s="1590" t="s">
        <v>1283</v>
      </c>
      <c r="B42" s="1591" t="str">
        <f>'预评函-3'!B2</f>
        <v>建筑面积</v>
      </c>
    </row>
    <row r="43" spans="1:2" s="1592" customFormat="1" ht="16">
      <c r="A43" s="1590" t="s">
        <v>1284</v>
      </c>
      <c r="B43" s="1591">
        <f>'预评函-3'!B4</f>
        <v>15182.239999999998</v>
      </c>
    </row>
    <row r="44" spans="1:2" s="1592" customFormat="1" ht="16">
      <c r="A44" s="1590" t="s">
        <v>1268</v>
      </c>
      <c r="B44" s="1591" t="str">
        <f>'预评函-3'!C2</f>
        <v>(分摊)土地面积</v>
      </c>
    </row>
    <row r="45" spans="1:2" s="1592" customFormat="1" ht="16">
      <c r="A45" s="1590" t="s">
        <v>1240</v>
      </c>
      <c r="B45" s="1591">
        <f>'预评函-3'!C4</f>
        <v>5095.4399999999996</v>
      </c>
    </row>
    <row r="46" spans="1:2" s="1592" customFormat="1" ht="16">
      <c r="A46" s="1590" t="s">
        <v>1266</v>
      </c>
      <c r="B46" s="1591" t="str">
        <f>'预评函-3'!D2</f>
        <v>出让国有建设用地使用权价值</v>
      </c>
    </row>
    <row r="47" spans="1:2" s="1592" customFormat="1" ht="16">
      <c r="A47" s="1590" t="s">
        <v>1241</v>
      </c>
      <c r="B47" s="1591">
        <f ca="1">'预评函-3'!D4</f>
        <v>20028</v>
      </c>
    </row>
    <row r="48" spans="1:2" s="1592" customFormat="1" ht="16">
      <c r="A48" s="1590" t="s">
        <v>1242</v>
      </c>
      <c r="B48" s="1591">
        <f ca="1">'预评函-3'!E4</f>
        <v>13192</v>
      </c>
    </row>
    <row r="49" spans="1:2" s="1592" customFormat="1" ht="16">
      <c r="A49" s="1590" t="s">
        <v>1243</v>
      </c>
      <c r="B49" s="1591" t="str">
        <f ca="1">'预评函-3'!D5</f>
        <v>贰亿零贰拾捌万元整</v>
      </c>
    </row>
    <row r="50" spans="1:2" s="1592" customFormat="1" ht="16">
      <c r="A50" s="1590" t="s">
        <v>1267</v>
      </c>
      <c r="B50" s="1591" t="str">
        <f>'预评函-3'!F2</f>
        <v>在建建筑物价值</v>
      </c>
    </row>
    <row r="51" spans="1:2" s="1592" customFormat="1" ht="16">
      <c r="A51" s="1590" t="s">
        <v>1244</v>
      </c>
      <c r="B51" s="1591">
        <f ca="1">'预评函-3'!F4</f>
        <v>5164</v>
      </c>
    </row>
    <row r="52" spans="1:2" s="1592" customFormat="1" ht="16">
      <c r="A52" s="1590" t="s">
        <v>1245</v>
      </c>
      <c r="B52" s="1591">
        <f ca="1">'预评函-3'!G4</f>
        <v>3401</v>
      </c>
    </row>
    <row r="53" spans="1:2" s="1592" customFormat="1" ht="16">
      <c r="A53" s="1590" t="s">
        <v>1273</v>
      </c>
      <c r="B53" s="1591" t="str">
        <f ca="1">'预评函-3'!F5</f>
        <v>伍仟壹佰陆拾肆万元整</v>
      </c>
    </row>
    <row r="54" spans="1:2" s="1592" customFormat="1" ht="16">
      <c r="A54" s="1590" t="s">
        <v>1291</v>
      </c>
      <c r="B54" s="1591" t="str">
        <f>'预评函-3'!A8</f>
        <v/>
      </c>
    </row>
    <row r="55" spans="1:2" s="1592" customFormat="1" ht="16">
      <c r="A55" s="1590" t="s">
        <v>1274</v>
      </c>
      <c r="B55" s="1591" t="str">
        <f>'预评函-3'!A10</f>
        <v>抵押担保权已注销时的房地产抵押价值</v>
      </c>
    </row>
    <row r="56" spans="1:2" s="1592" customFormat="1" ht="16">
      <c r="A56" s="1590" t="s">
        <v>1275</v>
      </c>
      <c r="B56" s="1591" t="str">
        <f>'预评函-3'!A12</f>
        <v/>
      </c>
    </row>
    <row r="57" spans="1:2" s="1586" customFormat="1" ht="17" thickBot="1">
      <c r="A57" s="1593" t="s">
        <v>1292</v>
      </c>
      <c r="B57" s="1594" t="str">
        <f>'预评函-3'!A6</f>
        <v>估价师知悉的法定优先受偿款</v>
      </c>
    </row>
    <row r="58" spans="1:2" s="1589" customFormat="1" ht="17" thickTop="1">
      <c r="A58" s="1587" t="s">
        <v>1246</v>
      </c>
      <c r="B58" s="1588" t="str">
        <f>'预评函-4'!A12</f>
        <v>2.本《评估意见函》仅供金融机构进行内部审核使用，不做其他目的之用。</v>
      </c>
    </row>
    <row r="59" spans="1:2" s="1592" customFormat="1" ht="16">
      <c r="A59" s="1590" t="s">
        <v>1247</v>
      </c>
      <c r="B59" s="1591" t="str">
        <f>'预评函-4'!A13</f>
        <v>3.抵押双方在办理抵押登记手续时，应使用本公司出具的正式《房地产评估报告》，特提醒报告使用者注意。</v>
      </c>
    </row>
    <row r="60" spans="1:2" s="1592" customFormat="1" ht="16">
      <c r="A60" s="1590" t="s">
        <v>1248</v>
      </c>
      <c r="B60" s="1591" t="str">
        <f>'预评函-4'!A14</f>
        <v>4.本次评估估价师所知悉的法定优先受偿款情况说明如下：</v>
      </c>
    </row>
    <row r="61" spans="1:2" s="1592" customFormat="1" ht="16">
      <c r="A61" s="1590" t="s">
        <v>1249</v>
      </c>
      <c r="B61" s="1591" t="str">
        <f>'预评函-4'!A15</f>
        <v>（1）根据估价对象《不动产权证书》复印件、，截至价值时点，估价对象抵押权未见登记。</v>
      </c>
    </row>
    <row r="62" spans="1:2" s="1592" customFormat="1" ht="16">
      <c r="A62" s="1590" t="s">
        <v>1250</v>
      </c>
      <c r="B62" s="1591" t="str">
        <f>'预评函-4'!A16</f>
        <v>（2）根据《工程款支付情况说明》，截至价值时点，估价对象不存在应付未付工程款项。（只要没有施工方盖章的，均“设定”进行表述）</v>
      </c>
    </row>
    <row r="63" spans="1:2" s="1592" customFormat="1" ht="16">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ht="16">
      <c r="A64" s="1590" t="s">
        <v>1263</v>
      </c>
      <c r="B64" s="1591" t="str">
        <f>'预评函-4'!A18</f>
        <v>故，本次评估不存在估价师知悉的法定优先受偿款</v>
      </c>
    </row>
    <row r="65" spans="1:2" s="1592" customFormat="1" ht="16">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ht="16">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ht="16">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ht="16">
      <c r="A68" s="1590" t="s">
        <v>1265</v>
      </c>
      <c r="B68" s="1591" t="str">
        <f>'预评函-4'!A22</f>
        <v>8.其他需特殊说明事项：无（注意调整序号）</v>
      </c>
    </row>
    <row r="69" spans="1:2" s="1586" customFormat="1" ht="17" thickBot="1">
      <c r="A69" s="1593" t="s">
        <v>1254</v>
      </c>
      <c r="B69" s="1595">
        <f>'预评函-4'!C31</f>
        <v>42551</v>
      </c>
    </row>
    <row r="70" spans="1:2" ht="17" thickTop="1">
      <c r="A70" s="1596" t="s">
        <v>1255</v>
      </c>
      <c r="B70" s="1597" t="str">
        <f>'预评函-4'!A4</f>
        <v>王鹏</v>
      </c>
    </row>
    <row r="71" spans="1:2" ht="16">
      <c r="A71" s="1590" t="s">
        <v>1256</v>
      </c>
      <c r="B71" s="1591">
        <f ca="1">'预评函-4'!B4</f>
        <v>1120050019</v>
      </c>
    </row>
    <row r="72" spans="1:2" ht="16">
      <c r="A72" s="1590" t="s">
        <v>1257</v>
      </c>
      <c r="B72" s="1599" t="str">
        <f>'预评函-4'!A5</f>
        <v>郑燚</v>
      </c>
    </row>
    <row r="73" spans="1:2" s="1586" customFormat="1" ht="17" thickBot="1">
      <c r="A73" s="1593" t="s">
        <v>1258</v>
      </c>
      <c r="B73" s="1594">
        <f ca="1">'预评函-4'!B5</f>
        <v>1120070131</v>
      </c>
    </row>
    <row r="74" spans="1:2" ht="17"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6" sqref="G26"/>
    </sheetView>
  </sheetViews>
  <sheetFormatPr baseColWidth="10" defaultColWidth="9" defaultRowHeight="14"/>
  <cols>
    <col min="1" max="1" width="13.5" style="2022" customWidth="1"/>
    <col min="2" max="2" width="23.1640625" style="1973" customWidth="1"/>
    <col min="3" max="3" width="13" style="2017" customWidth="1"/>
    <col min="4" max="4" width="5.6640625" style="2014" customWidth="1"/>
    <col min="5" max="5" width="7.1640625" style="2014" customWidth="1"/>
    <col min="6" max="6" width="10.6640625" style="2014" customWidth="1"/>
    <col min="7" max="7" width="7.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640625" style="1973" customWidth="1"/>
    <col min="25" max="16384" width="9" style="1973"/>
  </cols>
  <sheetData>
    <row r="1" spans="1:23" s="2011" customFormat="1" ht="30">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9"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49"/>
      <c r="B54" s="2020" t="s">
        <v>860</v>
      </c>
      <c r="C54" s="2017" t="s">
        <v>1276</v>
      </c>
    </row>
    <row r="55" spans="1:4">
      <c r="A55" s="3049"/>
      <c r="B55" s="2020" t="s">
        <v>861</v>
      </c>
      <c r="C55" s="2017" t="s">
        <v>1277</v>
      </c>
    </row>
    <row r="56" spans="1:4">
      <c r="A56" s="3049"/>
      <c r="B56" s="2020" t="s">
        <v>862</v>
      </c>
      <c r="C56" s="2017" t="s">
        <v>1281</v>
      </c>
    </row>
    <row r="57" spans="1:4">
      <c r="A57" s="3049"/>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3" sqref="D3"/>
    </sheetView>
  </sheetViews>
  <sheetFormatPr baseColWidth="10" defaultColWidth="10" defaultRowHeight="18" customHeight="1"/>
  <cols>
    <col min="1" max="1" width="14.83203125" style="2030" customWidth="1"/>
    <col min="2" max="2" width="10" style="2030" customWidth="1"/>
    <col min="3" max="3" width="11.5" style="2030" customWidth="1"/>
    <col min="4" max="6" width="10" style="2030" customWidth="1"/>
    <col min="7" max="7" width="10.6640625" style="2030" customWidth="1"/>
    <col min="8" max="8" width="10" style="2030" customWidth="1"/>
    <col min="9" max="9" width="11.16406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v>43906</v>
      </c>
      <c r="C3" s="2035" t="s">
        <v>1773</v>
      </c>
      <c r="D3" s="2034">
        <v>43906</v>
      </c>
      <c r="E3" s="2024"/>
      <c r="F3" s="2024"/>
      <c r="G3" s="2024"/>
      <c r="H3" s="2024"/>
      <c r="I3" s="2024"/>
      <c r="J3" s="2024"/>
      <c r="K3" s="2025"/>
      <c r="L3" s="2026"/>
      <c r="M3" s="2026"/>
      <c r="N3" s="2027"/>
      <c r="O3" s="2028"/>
      <c r="P3" s="2027"/>
      <c r="Q3" s="2027"/>
      <c r="R3" s="2027"/>
      <c r="S3" s="2029"/>
    </row>
    <row r="4" spans="1:19" ht="18" customHeight="1" thickBot="1">
      <c r="A4" s="2036" t="s">
        <v>1774</v>
      </c>
      <c r="B4" s="2037" t="s">
        <v>3039</v>
      </c>
      <c r="C4" s="1037">
        <f ca="1">SUMIF(注册房地产估价师,B4,估价师及机构信息!B3:B24)</f>
        <v>1120050019</v>
      </c>
      <c r="D4" s="2037" t="s">
        <v>3040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59"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60"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60" t="s">
        <v>3043</v>
      </c>
      <c r="C7" s="2046"/>
      <c r="D7" s="2047"/>
      <c r="E7" s="2032"/>
      <c r="F7" s="2040"/>
      <c r="G7" s="2040"/>
      <c r="H7" s="2040"/>
      <c r="I7" s="2040"/>
      <c r="J7" s="2040"/>
      <c r="K7" s="2049"/>
      <c r="L7" s="2026"/>
      <c r="M7" s="2026"/>
      <c r="N7" s="2027"/>
      <c r="O7" s="2028"/>
      <c r="P7" s="2027"/>
      <c r="Q7" s="2027"/>
      <c r="R7" s="2027"/>
    </row>
    <row r="8" spans="1:19" ht="18" customHeight="1">
      <c r="A8" s="2045" t="s">
        <v>1778</v>
      </c>
      <c r="B8" s="2050" t="s">
        <v>3044</v>
      </c>
      <c r="C8" s="2051"/>
      <c r="D8" s="3053" t="s">
        <v>1779</v>
      </c>
      <c r="E8" s="2052" t="s">
        <v>3045</v>
      </c>
      <c r="F8" s="2053"/>
      <c r="G8" s="2024"/>
      <c r="H8" s="2024"/>
      <c r="I8" s="2024"/>
      <c r="J8" s="2040"/>
      <c r="K8" s="2041"/>
      <c r="L8" s="2026"/>
      <c r="M8" s="2026"/>
      <c r="N8" s="2027"/>
      <c r="O8" s="2028"/>
      <c r="P8" s="2027"/>
      <c r="Q8" s="2027"/>
      <c r="R8" s="2027"/>
    </row>
    <row r="9" spans="1:19" ht="18" customHeight="1" thickBot="1">
      <c r="A9" s="2038" t="s">
        <v>1780</v>
      </c>
      <c r="B9" s="2054" t="s">
        <v>3046</v>
      </c>
      <c r="C9" s="2055"/>
      <c r="D9" s="3054"/>
      <c r="E9" s="2054" t="s">
        <v>70</v>
      </c>
      <c r="F9" s="2056"/>
      <c r="G9" s="2057"/>
      <c r="H9" s="2057"/>
      <c r="I9" s="2057"/>
      <c r="J9" s="2040"/>
      <c r="K9" s="2049"/>
      <c r="L9" s="2026"/>
      <c r="M9" s="2026"/>
      <c r="N9" s="2027"/>
      <c r="O9" s="2028"/>
      <c r="P9" s="2027"/>
      <c r="Q9" s="2027"/>
      <c r="R9" s="2027"/>
    </row>
    <row r="10" spans="1:19" ht="18" customHeight="1" thickTop="1">
      <c r="A10" s="2058" t="s">
        <v>1781</v>
      </c>
      <c r="B10" s="2059" t="s">
        <v>3047</v>
      </c>
      <c r="C10" s="2060"/>
      <c r="D10" s="2044"/>
      <c r="E10" s="2061" t="s">
        <v>1782</v>
      </c>
      <c r="F10" s="2062"/>
      <c r="G10" s="2063"/>
      <c r="H10" s="2064"/>
      <c r="I10" s="2044"/>
      <c r="J10" s="2040"/>
      <c r="K10" s="2049"/>
      <c r="L10" s="2026"/>
      <c r="M10" s="2026"/>
      <c r="N10" s="2027"/>
      <c r="O10" s="2028"/>
      <c r="P10" s="2027"/>
      <c r="Q10" s="2027"/>
      <c r="R10" s="2027"/>
    </row>
    <row r="11" spans="1:19" ht="18" customHeight="1">
      <c r="A11" s="2065" t="s">
        <v>1783</v>
      </c>
      <c r="B11" s="2066" t="s">
        <v>3048</v>
      </c>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3049</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c r="E13" s="2075">
        <v>56139</v>
      </c>
      <c r="F13" s="2075">
        <v>59791</v>
      </c>
      <c r="G13" s="2075"/>
      <c r="H13" s="2075"/>
      <c r="I13" s="1047"/>
      <c r="J13" s="2040"/>
      <c r="K13" s="2049"/>
      <c r="L13" s="2026"/>
      <c r="M13" s="2026"/>
      <c r="N13" s="2027"/>
      <c r="O13" s="2028"/>
      <c r="P13" s="2027"/>
      <c r="Q13" s="2027"/>
      <c r="R13" s="2027"/>
    </row>
    <row r="14" spans="1:19" ht="18" customHeight="1">
      <c r="A14" s="2072"/>
      <c r="B14" s="2073"/>
      <c r="C14" s="2074" t="s">
        <v>1793</v>
      </c>
      <c r="D14" s="1050"/>
      <c r="E14" s="1050">
        <v>40</v>
      </c>
      <c r="F14" s="1050">
        <v>50</v>
      </c>
      <c r="G14" s="1050"/>
      <c r="H14" s="1050"/>
      <c r="I14" s="1050"/>
      <c r="J14" s="2040"/>
      <c r="K14" s="2076"/>
      <c r="L14" s="2026"/>
      <c r="M14" s="2026"/>
      <c r="N14" s="2027"/>
      <c r="O14" s="2028"/>
      <c r="P14" s="2027"/>
      <c r="Q14" s="2027"/>
      <c r="R14" s="2027"/>
    </row>
    <row r="15" spans="1:19" ht="18" customHeight="1">
      <c r="A15" s="2058"/>
      <c r="B15" s="2077"/>
      <c r="C15" s="2074" t="s">
        <v>1794</v>
      </c>
      <c r="D15" s="1049" t="str">
        <f>IF(B12="出让",IF(D13="","",ROUNDDOWN(MIN((D13-$D$3)/365,D14),2)),D14)</f>
        <v/>
      </c>
      <c r="E15" s="1049">
        <f>IF(B12="出让",IF(E13="","",ROUNDDOWN(MIN((E13-$D$3)/365,E14),2)),E14)</f>
        <v>33.51</v>
      </c>
      <c r="F15" s="1049">
        <f>IF(B12="出让",IF(F13="","",ROUNDDOWN(MIN((F13-$D$3)/365,F14),2)),F14)</f>
        <v>43.52</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1795</v>
      </c>
      <c r="B16" s="3060" t="s">
        <v>3050</v>
      </c>
      <c r="C16" s="3061"/>
      <c r="D16" s="3062"/>
      <c r="E16" s="2081" t="s">
        <v>1796</v>
      </c>
      <c r="F16" s="3063" t="s">
        <v>3051</v>
      </c>
      <c r="G16" s="3064"/>
      <c r="H16" s="3064"/>
      <c r="I16" s="3065"/>
      <c r="J16" s="2027"/>
      <c r="K16" s="2078"/>
      <c r="L16" s="2079"/>
      <c r="M16" s="2079"/>
      <c r="N16" s="2080"/>
      <c r="O16" s="2079"/>
      <c r="P16" s="2080"/>
      <c r="Q16" s="2027"/>
      <c r="R16" s="2027"/>
    </row>
    <row r="17" spans="1:22" ht="18" customHeight="1">
      <c r="A17" s="2082" t="s">
        <v>1797</v>
      </c>
      <c r="B17" s="2033" t="s">
        <v>1798</v>
      </c>
      <c r="C17" s="1054">
        <f>'数据-汇总表'!E3</f>
        <v>15182.239999999998</v>
      </c>
      <c r="D17" s="2083" t="s">
        <v>1799</v>
      </c>
      <c r="E17" s="3066" t="s">
        <v>3052</v>
      </c>
      <c r="F17" s="3067"/>
      <c r="G17" s="3067"/>
      <c r="H17" s="3067"/>
      <c r="I17" s="3068"/>
      <c r="J17" s="2027"/>
      <c r="K17" s="2084"/>
      <c r="L17" s="2079"/>
      <c r="M17" s="2079"/>
      <c r="N17" s="2080"/>
      <c r="O17" s="2079"/>
      <c r="P17" s="2080"/>
      <c r="Q17" s="2027"/>
      <c r="R17" s="2027"/>
      <c r="S17" s="2027"/>
      <c r="T17" s="2027"/>
      <c r="U17" s="2027"/>
      <c r="V17" s="2027"/>
    </row>
    <row r="18" spans="1:22" ht="36" customHeight="1" thickBot="1">
      <c r="A18" s="2085" t="s">
        <v>1800</v>
      </c>
      <c r="B18" s="2036" t="s">
        <v>1801</v>
      </c>
      <c r="C18" s="1443">
        <f>'数据-汇总表'!D3</f>
        <v>5095.4399999999996</v>
      </c>
      <c r="D18" s="2086" t="s">
        <v>1799</v>
      </c>
      <c r="E18" s="3069" t="s">
        <v>3053</v>
      </c>
      <c r="F18" s="3070"/>
      <c r="G18" s="3070"/>
      <c r="H18" s="3070"/>
      <c r="I18" s="3071"/>
      <c r="J18" s="2027"/>
      <c r="K18" s="2084"/>
      <c r="L18" s="2079"/>
      <c r="M18" s="2079"/>
      <c r="N18" s="2080"/>
      <c r="O18" s="2079"/>
      <c r="P18" s="2080"/>
      <c r="Q18" s="2027"/>
      <c r="R18" s="2027"/>
      <c r="S18" s="2027"/>
      <c r="T18" s="2027"/>
      <c r="U18" s="2027"/>
      <c r="V18" s="2027"/>
    </row>
    <row r="19" spans="1:22" ht="37.5" customHeight="1" thickTop="1" thickBot="1">
      <c r="A19" s="373" t="s">
        <v>1802</v>
      </c>
      <c r="B19" s="352" t="s">
        <v>1803</v>
      </c>
      <c r="C19" s="2087" t="s">
        <v>3054</v>
      </c>
      <c r="D19" s="2088" t="s">
        <v>1804</v>
      </c>
      <c r="E19" s="2089" t="s">
        <v>3055</v>
      </c>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1805</v>
      </c>
      <c r="B20" s="3056" t="s">
        <v>1806</v>
      </c>
      <c r="C20" s="3057"/>
      <c r="D20" s="3058" t="s">
        <v>1807</v>
      </c>
      <c r="E20" s="3059"/>
      <c r="F20" s="2093" t="s">
        <v>1808</v>
      </c>
      <c r="G20" s="2040"/>
      <c r="H20" s="2040"/>
      <c r="I20" s="2040"/>
      <c r="J20" s="2040"/>
      <c r="K20" s="3055"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t="s">
        <v>3056</v>
      </c>
      <c r="C21" s="2095" t="s">
        <v>3057</v>
      </c>
      <c r="D21" s="2096"/>
      <c r="E21" s="2097"/>
      <c r="F21" s="2098"/>
      <c r="G21" s="2040"/>
      <c r="H21" s="2040"/>
      <c r="I21" s="2040"/>
      <c r="J21" s="2040"/>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1810</v>
      </c>
      <c r="B23" s="183" t="s">
        <v>1811</v>
      </c>
      <c r="C23" s="2102"/>
      <c r="D23" s="2103" t="s">
        <v>1811</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1812</v>
      </c>
      <c r="C24" s="2107"/>
      <c r="D24" s="2101" t="s">
        <v>1812</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1813</v>
      </c>
      <c r="C25" s="2107"/>
      <c r="D25" s="2101" t="s">
        <v>1813</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1814</v>
      </c>
      <c r="C26" s="2111"/>
      <c r="D26" s="2112" t="s">
        <v>1815</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73" t="s">
        <v>1816</v>
      </c>
      <c r="B27" s="2058" t="s">
        <v>1817</v>
      </c>
      <c r="C27" s="2115" t="s">
        <v>3058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73"/>
      <c r="B28" s="2033" t="s">
        <v>1818</v>
      </c>
      <c r="C28" s="2117" t="s">
        <v>3059</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3"/>
      <c r="B29" s="2033" t="s">
        <v>1819</v>
      </c>
      <c r="C29" s="2120" t="s">
        <v>3054</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74"/>
      <c r="B30" s="2033" t="s">
        <v>1820</v>
      </c>
      <c r="C30" s="3075"/>
      <c r="D30" s="307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77" t="s">
        <v>1821</v>
      </c>
      <c r="B31" s="2122" t="s">
        <v>3066</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78"/>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78"/>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9" t="s">
        <v>3060</v>
      </c>
      <c r="C34" s="2129" t="s">
        <v>3061</v>
      </c>
      <c r="D34" s="2129" t="s">
        <v>3062</v>
      </c>
      <c r="E34" s="2129" t="s">
        <v>3063</v>
      </c>
      <c r="F34" s="2129" t="s">
        <v>3064</v>
      </c>
      <c r="G34" s="2129" t="s">
        <v>3065</v>
      </c>
      <c r="H34" s="2129" t="s">
        <v>70</v>
      </c>
      <c r="I34" s="2040"/>
      <c r="J34" s="2040"/>
      <c r="K34" s="1794">
        <f>COUNTIF(B34:H34,"——")</f>
        <v>1</v>
      </c>
      <c r="L34" s="2070" t="s">
        <v>1823</v>
      </c>
      <c r="M34" s="2070" t="s">
        <v>1824</v>
      </c>
      <c r="N34" s="2070" t="s">
        <v>1825</v>
      </c>
      <c r="O34" s="2070" t="s">
        <v>1826</v>
      </c>
      <c r="P34" s="2070" t="s">
        <v>1827</v>
      </c>
      <c r="Q34" s="2070" t="s">
        <v>1828</v>
      </c>
      <c r="R34" s="2070" t="s">
        <v>1829</v>
      </c>
      <c r="S34" s="3072" t="s">
        <v>1830</v>
      </c>
      <c r="T34" s="2130" t="str">
        <f>NUMBERSTRING(7-K34,1)&amp;"通"</f>
        <v>六通</v>
      </c>
      <c r="U34" s="2027"/>
      <c r="V34" s="2027"/>
    </row>
    <row r="35" spans="1:22" ht="18" customHeight="1">
      <c r="A35" s="2131"/>
      <c r="B35" s="3079" t="s">
        <v>1831</v>
      </c>
      <c r="C35" s="3079"/>
      <c r="D35" s="3079"/>
      <c r="E35" s="3079"/>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2"/>
      <c r="T35" s="48" t="str">
        <f>IF(T34="一通",L35,IF(T34="二通",M35,IF(T34="三通",N35,IF(T34="四通",O35,IF(T34="五通",P35,IF(T34="六通",Q35,R35))))))</f>
        <v>通路、通电、通讯、通上水、通下水、通热</v>
      </c>
      <c r="U35" s="2027"/>
      <c r="V35" s="2027"/>
    </row>
    <row r="36" spans="1:22" ht="18" customHeight="1">
      <c r="A36" s="2133"/>
      <c r="B36" s="2132" t="s">
        <v>1832</v>
      </c>
      <c r="C36" s="2132" t="s">
        <v>1833</v>
      </c>
      <c r="D36" s="2132" t="s">
        <v>1834</v>
      </c>
      <c r="E36" s="2132" t="s">
        <v>1835</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1836</v>
      </c>
      <c r="B37" s="2961" t="s">
        <v>526</v>
      </c>
      <c r="C37" s="2961" t="s">
        <v>526</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1837</v>
      </c>
      <c r="B38" s="2962" t="s">
        <v>3067</v>
      </c>
      <c r="C38" s="2962" t="s">
        <v>3067</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1838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1839</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8"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baseColWidth="10" defaultColWidth="8.83203125" defaultRowHeight="14"/>
  <cols>
    <col min="1" max="1" width="10.6640625" style="2155" customWidth="1"/>
    <col min="2" max="2" width="11" style="2155" customWidth="1"/>
    <col min="3" max="3" width="10.33203125" style="2155" customWidth="1"/>
    <col min="4" max="4" width="9.1640625" style="2155" customWidth="1"/>
    <col min="5" max="6" width="10" style="2218" customWidth="1"/>
    <col min="7" max="8" width="10" style="2155" customWidth="1"/>
    <col min="9" max="9" width="10.6640625" style="2155" customWidth="1"/>
    <col min="10" max="10" width="9.5" style="2155" customWidth="1"/>
    <col min="11" max="11" width="11" style="2155" customWidth="1"/>
    <col min="12" max="12" width="9.5" style="2155" customWidth="1"/>
    <col min="13" max="14" width="9.5" style="2155" hidden="1" customWidth="1"/>
    <col min="15" max="15" width="9.83203125" style="2155" hidden="1" customWidth="1"/>
    <col min="16" max="16" width="9.6640625" style="2155" hidden="1" customWidth="1"/>
    <col min="17" max="17" width="9.33203125" style="2155" hidden="1" customWidth="1"/>
    <col min="18" max="18" width="9.1640625" style="2155" hidden="1" customWidth="1"/>
    <col min="19" max="19" width="10.83203125" style="2155" hidden="1" customWidth="1"/>
    <col min="20" max="21" width="10.6640625" style="2155" hidden="1" customWidth="1"/>
    <col min="22" max="22" width="10.83203125" style="2155" hidden="1" customWidth="1"/>
    <col min="23" max="27" width="10.6640625" style="2155" hidden="1" customWidth="1"/>
    <col min="28" max="28" width="10.83203125" style="2155" hidden="1" customWidth="1"/>
    <col min="29" max="29" width="11" style="2155" bestFit="1" customWidth="1"/>
    <col min="30" max="30" width="10" style="2155" hidden="1" customWidth="1"/>
    <col min="31" max="31" width="9.6640625" style="2155" hidden="1" customWidth="1"/>
    <col min="32" max="37" width="9.5" style="2155" hidden="1" customWidth="1"/>
    <col min="38" max="46" width="9.5" style="2155" customWidth="1"/>
    <col min="47" max="47" width="18.1640625" style="2155" customWidth="1"/>
    <col min="48" max="50" width="9.6640625" style="2155" customWidth="1"/>
    <col min="51" max="55" width="10.5" style="2155" bestFit="1" customWidth="1"/>
    <col min="56" max="56" width="9.5" style="2155" bestFit="1" customWidth="1"/>
    <col min="57" max="63" width="9.1640625" style="2155" bestFit="1" customWidth="1"/>
    <col min="64" max="64" width="9.5" style="2155" bestFit="1" customWidth="1"/>
    <col min="65" max="65" width="9.1640625" style="2155" bestFit="1" customWidth="1"/>
    <col min="66" max="66" width="9.5" style="2155" bestFit="1" customWidth="1"/>
    <col min="67" max="69" width="9.1640625" style="2155" bestFit="1" customWidth="1"/>
    <col min="70" max="70" width="9.5" style="2155" bestFit="1" customWidth="1"/>
    <col min="71" max="71" width="9" style="2155" customWidth="1"/>
    <col min="72" max="72" width="9.1640625" style="2155" bestFit="1" customWidth="1"/>
    <col min="73" max="16384" width="8.83203125" style="2155"/>
  </cols>
  <sheetData>
    <row r="1" spans="1:72" ht="20">
      <c r="A1" s="2158"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30">
      <c r="A2" s="11" t="s">
        <v>1860</v>
      </c>
      <c r="B2" s="11" t="s">
        <v>1861</v>
      </c>
      <c r="C2" s="11" t="s">
        <v>1862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1863</v>
      </c>
      <c r="AZ2" s="1270" t="s">
        <v>1864</v>
      </c>
      <c r="BA2" s="11" t="s">
        <v>1865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5">
      <c r="A3" s="13">
        <v>49362.58</v>
      </c>
      <c r="B3" s="14">
        <f>IF(C3="否",G5-AT5,G5)</f>
        <v>132421.03999999998</v>
      </c>
      <c r="C3" s="2164" t="s">
        <v>1866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3002">
        <v>5095.4399999999996</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c r="A5" s="15" t="s">
        <v>1867</v>
      </c>
      <c r="B5" s="1802"/>
      <c r="C5" s="1802"/>
      <c r="D5" s="1805"/>
      <c r="E5" s="16" t="s">
        <v>1</v>
      </c>
      <c r="F5" s="16">
        <f>SUM(F13:F587)</f>
        <v>0</v>
      </c>
      <c r="G5" s="16">
        <f>SUM(G13:G587)</f>
        <v>132421.03999999998</v>
      </c>
      <c r="H5" s="16">
        <f t="shared" ref="H5:AT5" si="0">SUM(H13:H656)</f>
        <v>132421.03999999998</v>
      </c>
      <c r="I5" s="16">
        <f t="shared" si="0"/>
        <v>103887.25999999998</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15182.239999999998</v>
      </c>
      <c r="BA5" s="18">
        <f t="shared" si="1"/>
        <v>15182.239999999998</v>
      </c>
      <c r="BB5" s="18">
        <f t="shared" si="1"/>
        <v>15182.239999999998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c r="A6" s="15" t="s">
        <v>1868</v>
      </c>
      <c r="B6" s="2170"/>
      <c r="C6" s="2170"/>
      <c r="D6" s="2171"/>
      <c r="E6" s="16">
        <f>H6+AC6+AT6</f>
        <v>49362.58</v>
      </c>
      <c r="F6" s="16" t="s">
        <v>1</v>
      </c>
      <c r="G6" s="16" t="s">
        <v>2</v>
      </c>
      <c r="H6" s="20">
        <f>SUMIF(I$12:AB$12,"总值",I6:AB6)</f>
        <v>49362.58</v>
      </c>
      <c r="I6" s="16">
        <f t="shared" ref="I6:AB6" si="2">ROUND($A$3*I5/$B$3,2)</f>
        <v>38726.050000000003</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1868</v>
      </c>
      <c r="AW6" s="2170"/>
      <c r="AX6" s="2170"/>
      <c r="AY6" s="21">
        <f>IF(AY3&gt;0,AY3,ROUND($A$3*AZ5/$B$3,2))</f>
        <v>5095.4399999999996</v>
      </c>
      <c r="AZ6" s="16" t="s">
        <v>3</v>
      </c>
      <c r="BA6" s="16">
        <f>ROUND($AY$6*BA5/$AZ$5,2)</f>
        <v>5095.4399999999996</v>
      </c>
      <c r="BB6" s="16">
        <f>ROUND($AY$6*BB5/$AZ$5,2)</f>
        <v>5095.4399999999996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30">
      <c r="A7" s="2105" t="s">
        <v>1869</v>
      </c>
      <c r="B7" s="2105" t="s">
        <v>1870</v>
      </c>
      <c r="C7" s="2105" t="s">
        <v>1871</v>
      </c>
      <c r="D7" s="2105" t="s">
        <v>1872</v>
      </c>
      <c r="E7" s="2105" t="s">
        <v>1873</v>
      </c>
      <c r="F7" s="2105" t="s">
        <v>1874</v>
      </c>
      <c r="G7" s="2174" t="s">
        <v>1875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1876</v>
      </c>
      <c r="AV7" s="23" t="s">
        <v>1877</v>
      </c>
      <c r="AW7" s="2162" t="s">
        <v>1878</v>
      </c>
      <c r="AX7" s="23" t="s">
        <v>1871</v>
      </c>
      <c r="AY7" s="1802" t="s">
        <v>1879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30">
      <c r="A8" s="2178"/>
      <c r="B8" s="2178"/>
      <c r="C8" s="2178"/>
      <c r="D8" s="2178"/>
      <c r="E8" s="2178"/>
      <c r="F8" s="2178"/>
      <c r="G8" s="2179" t="s">
        <v>1880</v>
      </c>
      <c r="H8" s="2180" t="s">
        <v>1881</v>
      </c>
      <c r="I8" s="2181"/>
      <c r="J8" s="1817"/>
      <c r="K8" s="1817"/>
      <c r="L8" s="1817"/>
      <c r="M8" s="1817"/>
      <c r="N8" s="1817"/>
      <c r="O8" s="1817"/>
      <c r="P8" s="1817"/>
      <c r="Q8" s="1817"/>
      <c r="R8" s="1817"/>
      <c r="S8" s="1817"/>
      <c r="T8" s="1817"/>
      <c r="U8" s="1817"/>
      <c r="V8" s="2182"/>
      <c r="W8" s="1817"/>
      <c r="X8" s="1817"/>
      <c r="Y8" s="1817"/>
      <c r="Z8" s="1817"/>
      <c r="AA8" s="2182"/>
      <c r="AB8" s="2183"/>
      <c r="AC8" s="981" t="s">
        <v>1882</v>
      </c>
      <c r="AD8" s="2184"/>
      <c r="AE8" s="2176"/>
      <c r="AF8" s="1817"/>
      <c r="AG8" s="1817"/>
      <c r="AH8" s="1817"/>
      <c r="AI8" s="1817"/>
      <c r="AJ8" s="1817"/>
      <c r="AK8" s="1817"/>
      <c r="AL8" s="1817"/>
      <c r="AM8" s="1817"/>
      <c r="AN8" s="1817"/>
      <c r="AO8" s="1817"/>
      <c r="AP8" s="1817"/>
      <c r="AQ8" s="1817"/>
      <c r="AR8" s="1817"/>
      <c r="AS8" s="1817"/>
      <c r="AT8" s="1291" t="s">
        <v>1883</v>
      </c>
      <c r="AU8" s="2178" t="s">
        <v>1884</v>
      </c>
      <c r="AV8" s="1291"/>
      <c r="AW8" s="2161"/>
      <c r="AX8" s="1291"/>
      <c r="AY8" s="2162"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c r="A9" s="2178"/>
      <c r="B9" s="2178"/>
      <c r="C9" s="2178"/>
      <c r="D9" s="2178"/>
      <c r="E9" s="2178"/>
      <c r="F9" s="2178"/>
      <c r="G9" s="1291"/>
      <c r="H9" s="2186" t="s">
        <v>1887</v>
      </c>
      <c r="I9" s="2187" t="s">
        <v>3107</v>
      </c>
      <c r="J9" s="981"/>
      <c r="K9" s="2187" t="s">
        <v>3109</v>
      </c>
      <c r="L9" s="981"/>
      <c r="M9" s="2187"/>
      <c r="N9" s="981"/>
      <c r="O9" s="2187"/>
      <c r="P9" s="981"/>
      <c r="Q9" s="2187"/>
      <c r="R9" s="981"/>
      <c r="S9" s="2187"/>
      <c r="T9" s="981"/>
      <c r="U9" s="2187"/>
      <c r="V9" s="981"/>
      <c r="W9" s="2187"/>
      <c r="X9" s="2188"/>
      <c r="Y9" s="2187"/>
      <c r="Z9" s="981"/>
      <c r="AA9" s="2187"/>
      <c r="AB9" s="981"/>
      <c r="AC9" s="2179" t="s">
        <v>1887</v>
      </c>
      <c r="AD9" s="15" t="s">
        <v>1888</v>
      </c>
      <c r="AE9" s="1297"/>
      <c r="AF9" s="15" t="s">
        <v>1889</v>
      </c>
      <c r="AG9" s="1297"/>
      <c r="AH9" s="15" t="s">
        <v>1888</v>
      </c>
      <c r="AI9" s="1297"/>
      <c r="AJ9" s="15" t="s">
        <v>1889</v>
      </c>
      <c r="AK9" s="1297"/>
      <c r="AL9" s="15" t="s">
        <v>1888</v>
      </c>
      <c r="AM9" s="1297"/>
      <c r="AN9" s="15" t="s">
        <v>1889</v>
      </c>
      <c r="AO9" s="1297"/>
      <c r="AP9" s="15" t="s">
        <v>1888</v>
      </c>
      <c r="AQ9" s="1297"/>
      <c r="AR9" s="15" t="s">
        <v>1889</v>
      </c>
      <c r="AS9" s="2189"/>
      <c r="AT9" s="2178"/>
      <c r="AU9" s="2178" t="s">
        <v>1890</v>
      </c>
      <c r="AV9" s="1291"/>
      <c r="AW9" s="2161"/>
      <c r="AX9" s="1291"/>
      <c r="AY9" s="28"/>
      <c r="AZ9" s="28" t="s">
        <v>1880</v>
      </c>
      <c r="BA9" s="2190" t="s">
        <v>1891</v>
      </c>
      <c r="BB9" s="2191"/>
      <c r="BC9" s="1337"/>
      <c r="BD9" s="1337"/>
      <c r="BE9" s="1337"/>
      <c r="BF9" s="1337"/>
      <c r="BG9" s="1337"/>
      <c r="BH9" s="1337"/>
      <c r="BI9" s="1337"/>
      <c r="BJ9" s="1337"/>
      <c r="BK9" s="2192"/>
      <c r="BL9" s="15" t="s">
        <v>1892</v>
      </c>
      <c r="BM9" s="1817"/>
      <c r="BN9" s="2181"/>
      <c r="BO9" s="1817"/>
      <c r="BP9" s="1817"/>
      <c r="BQ9" s="1817"/>
      <c r="BR9" s="1817"/>
      <c r="BS9" s="1817"/>
      <c r="BT9" s="26"/>
    </row>
    <row r="10" spans="1:72" s="2185" customFormat="1">
      <c r="A10" s="2178"/>
      <c r="B10" s="2178"/>
      <c r="C10" s="2178"/>
      <c r="D10" s="2178"/>
      <c r="E10" s="2178"/>
      <c r="F10" s="2178"/>
      <c r="G10" s="1291"/>
      <c r="H10" s="28"/>
      <c r="I10" s="2187" t="s">
        <v>1372</v>
      </c>
      <c r="J10" s="981"/>
      <c r="K10" s="2193" t="s">
        <v>3110</v>
      </c>
      <c r="L10" s="981"/>
      <c r="M10" s="2193"/>
      <c r="N10" s="981"/>
      <c r="O10" s="2193"/>
      <c r="P10" s="981"/>
      <c r="Q10" s="2193"/>
      <c r="R10" s="981"/>
      <c r="S10" s="2193"/>
      <c r="T10" s="981"/>
      <c r="U10" s="2193"/>
      <c r="V10" s="981"/>
      <c r="W10" s="2193"/>
      <c r="X10" s="981"/>
      <c r="Y10" s="2193"/>
      <c r="Z10" s="981"/>
      <c r="AA10" s="2193"/>
      <c r="AB10" s="981"/>
      <c r="AC10" s="1291"/>
      <c r="AD10" s="15" t="s">
        <v>1893</v>
      </c>
      <c r="AE10" s="2194"/>
      <c r="AF10" s="15" t="s">
        <v>1893</v>
      </c>
      <c r="AG10" s="2194"/>
      <c r="AH10" s="15" t="s">
        <v>1894</v>
      </c>
      <c r="AI10" s="2194"/>
      <c r="AJ10" s="15" t="s">
        <v>1894</v>
      </c>
      <c r="AK10" s="2194"/>
      <c r="AL10" s="15" t="s">
        <v>1895</v>
      </c>
      <c r="AM10" s="1297"/>
      <c r="AN10" s="15" t="s">
        <v>1895</v>
      </c>
      <c r="AO10" s="1297"/>
      <c r="AP10" s="15" t="s">
        <v>1896</v>
      </c>
      <c r="AQ10" s="1297"/>
      <c r="AR10" s="15" t="s">
        <v>1896</v>
      </c>
      <c r="AS10" s="1297"/>
      <c r="AT10" s="2178"/>
      <c r="AU10" s="2178"/>
      <c r="AV10" s="1291"/>
      <c r="AW10" s="2161"/>
      <c r="AX10" s="1291"/>
      <c r="AY10" s="28"/>
      <c r="AZ10" s="28"/>
      <c r="BA10" s="2195" t="s">
        <v>1887</v>
      </c>
      <c r="BB10" s="2196"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c r="A11" s="2178"/>
      <c r="B11" s="2178"/>
      <c r="C11" s="2178"/>
      <c r="D11" s="2178"/>
      <c r="E11" s="2178"/>
      <c r="F11" s="2178"/>
      <c r="G11" s="1291"/>
      <c r="H11" s="2195"/>
      <c r="I11" s="2198" t="s">
        <v>3108</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1897</v>
      </c>
      <c r="AE11" s="1818"/>
      <c r="AF11" s="2200" t="s">
        <v>1897</v>
      </c>
      <c r="AG11" s="1818"/>
      <c r="AH11" s="2200" t="s">
        <v>1898</v>
      </c>
      <c r="AI11" s="2201"/>
      <c r="AJ11" s="2200" t="s">
        <v>1898</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5">
      <c r="A12" s="2203"/>
      <c r="B12" s="2203"/>
      <c r="C12" s="2203"/>
      <c r="D12" s="2203"/>
      <c r="E12" s="2203"/>
      <c r="F12" s="2203"/>
      <c r="G12" s="30"/>
      <c r="H12" s="2204"/>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5"/>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3" t="s">
        <v>1900</v>
      </c>
      <c r="AT12" s="2206"/>
      <c r="AU12" s="2203"/>
      <c r="AV12" s="31"/>
      <c r="AW12" s="2162"/>
      <c r="AX12" s="31"/>
      <c r="AY12" s="2207"/>
      <c r="AZ12" s="28"/>
      <c r="BA12" s="2195"/>
      <c r="BB12" s="24" t="str">
        <f>I11</f>
        <v>酒店</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5">
      <c r="A13" s="1271"/>
      <c r="B13" s="1271"/>
      <c r="C13" s="2988" t="s">
        <v>3105</v>
      </c>
      <c r="D13" s="2209" t="s">
        <v>3055</v>
      </c>
      <c r="E13" s="16">
        <f>IF($C$3="是",ROUND($A$3*G13/$B$3,2),ROUND($A$3*(G13-AT13)/$B$3,2))</f>
        <v>5659.48</v>
      </c>
      <c r="F13" s="32"/>
      <c r="G13" s="33">
        <f>H13+AC13+AT13</f>
        <v>15182.239999999998</v>
      </c>
      <c r="H13" s="20">
        <f>SUMIF(I$12:AB$12,"总值",I13:AB13)</f>
        <v>15182.239999999998</v>
      </c>
      <c r="I13" s="2210">
        <f>面积!D6+面积!D7+面积!D8+面积!D9+面积!D10</f>
        <v>15182.239999999998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皇冠酒店</v>
      </c>
      <c r="AY13" s="1805">
        <f>ROUND($AY$6*AZ13/$AZ$5,2)</f>
        <v>5095.4399999999996</v>
      </c>
      <c r="AZ13" s="16">
        <f>BA13+BL13</f>
        <v>15182.239999999998</v>
      </c>
      <c r="BA13" s="16">
        <f>SUM(BB13:BK13)</f>
        <v>15182.239999999998</v>
      </c>
      <c r="BB13" s="16">
        <f>IF($D13="是",I13-J13,0)</f>
        <v>15182.239999999998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5">
      <c r="A14" s="1271"/>
      <c r="B14" s="1271"/>
      <c r="C14" s="2988" t="s">
        <v>3106</v>
      </c>
      <c r="D14" s="2209" t="s">
        <v>3054</v>
      </c>
      <c r="E14" s="16">
        <f>IF($C$3="是",ROUND($A$3*G14/$B$3,2),ROUND($A$3*(G14-AT14)/$B$3,2))</f>
        <v>43703.1</v>
      </c>
      <c r="F14" s="32"/>
      <c r="G14" s="33">
        <f>H14+AC14+AT14</f>
        <v>117238.79999999999</v>
      </c>
      <c r="H14" s="20">
        <f>SUMIF(I$12:AB$12,"总值",I14:AB14)</f>
        <v>117238.79999999999</v>
      </c>
      <c r="I14" s="2210">
        <f>面积!D28-'数据-基础表'!I13</f>
        <v>88705.01999999999</v>
      </c>
      <c r="J14" s="2210"/>
      <c r="K14" s="2210">
        <f>面积!D32</f>
        <v>28533.78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范围外</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34">
      <c r="A3" s="3080"/>
      <c r="B3" s="3080"/>
      <c r="C3" s="3080"/>
      <c r="D3" s="3081"/>
      <c r="E3" s="3081"/>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2"/>
  <sheetViews>
    <sheetView workbookViewId="0">
      <selection activeCell="H10" sqref="H10"/>
    </sheetView>
  </sheetViews>
  <sheetFormatPr baseColWidth="10" defaultColWidth="9" defaultRowHeight="14"/>
  <cols>
    <col min="1" max="2" width="9" style="2963"/>
    <col min="3" max="3" width="13" style="2963" bestFit="1" customWidth="1"/>
    <col min="4" max="8" width="9" style="2963"/>
    <col min="9" max="9" width="13" style="2963" bestFit="1" customWidth="1"/>
    <col min="10" max="10" width="9" style="2963"/>
    <col min="11" max="11" width="13" style="2963" bestFit="1" customWidth="1"/>
    <col min="12" max="16384" width="9" style="2963"/>
  </cols>
  <sheetData>
    <row r="1" spans="1:11">
      <c r="A1" s="3082" t="s">
        <v>3068</v>
      </c>
      <c r="B1" s="3083"/>
      <c r="C1" s="3083"/>
      <c r="D1" s="3083"/>
      <c r="E1" s="3083"/>
      <c r="F1" s="3084"/>
    </row>
    <row r="2" spans="1:11">
      <c r="A2" s="2964" t="s">
        <v>3069</v>
      </c>
      <c r="B2" s="2964" t="s">
        <v>3070</v>
      </c>
      <c r="C2" s="2964" t="s">
        <v>3071</v>
      </c>
      <c r="D2" s="2964" t="s">
        <v>3072</v>
      </c>
      <c r="E2" s="2964" t="s">
        <v>3073</v>
      </c>
      <c r="F2" s="2964" t="s">
        <v>3074</v>
      </c>
      <c r="I2" s="2965"/>
    </row>
    <row r="3" spans="1:11">
      <c r="A3" s="2966">
        <v>1</v>
      </c>
      <c r="B3" s="2967" t="s">
        <v>3075</v>
      </c>
      <c r="C3" s="2967" t="s">
        <v>3076</v>
      </c>
      <c r="D3" s="2966">
        <v>7685.44</v>
      </c>
      <c r="E3" s="2967" t="s">
        <v>3077</v>
      </c>
      <c r="F3" s="2966"/>
      <c r="I3" s="2968"/>
    </row>
    <row r="4" spans="1:11">
      <c r="A4" s="2966">
        <v>2</v>
      </c>
      <c r="B4" s="2967" t="s">
        <v>3075</v>
      </c>
      <c r="C4" s="2967" t="s">
        <v>3078</v>
      </c>
      <c r="D4" s="2966">
        <v>14219.94</v>
      </c>
      <c r="E4" s="2966"/>
      <c r="F4" s="2966"/>
      <c r="I4" s="2968" t="s">
        <v>3136</v>
      </c>
      <c r="J4" s="2963" t="s">
        <v>3138</v>
      </c>
      <c r="K4" s="2963" t="s">
        <v>3139</v>
      </c>
    </row>
    <row r="5" spans="1:11">
      <c r="A5" s="2966">
        <v>3</v>
      </c>
      <c r="B5" s="2967" t="s">
        <v>3079</v>
      </c>
      <c r="C5" s="2967" t="s">
        <v>3080</v>
      </c>
      <c r="D5" s="2966">
        <f>34.42+22.75</f>
        <v>57.17</v>
      </c>
      <c r="E5" s="2966"/>
      <c r="F5" s="2966">
        <f>SUM(D3:D5)</f>
        <v>21962.55</v>
      </c>
      <c r="I5" s="2963" t="s">
        <v>3135</v>
      </c>
      <c r="J5" s="2963">
        <v>9693.1200000000008</v>
      </c>
      <c r="K5" s="2963">
        <v>3267.07</v>
      </c>
    </row>
    <row r="6" spans="1:11">
      <c r="A6" s="2969">
        <v>4</v>
      </c>
      <c r="B6" s="2970" t="s">
        <v>3081</v>
      </c>
      <c r="C6" s="2970" t="s">
        <v>3076</v>
      </c>
      <c r="D6" s="2969">
        <f>1004.42+112.45</f>
        <v>1116.8699999999999</v>
      </c>
      <c r="E6" s="2970" t="s">
        <v>3082</v>
      </c>
      <c r="F6" s="2969"/>
      <c r="G6" s="2971" t="s">
        <v>3083</v>
      </c>
      <c r="I6" s="2963" t="s">
        <v>3137</v>
      </c>
      <c r="J6" s="2963">
        <v>5424.62</v>
      </c>
      <c r="K6" s="2963">
        <v>1828.37</v>
      </c>
    </row>
    <row r="7" spans="1:11">
      <c r="A7" s="2969">
        <v>5</v>
      </c>
      <c r="B7" s="2970" t="s">
        <v>3081</v>
      </c>
      <c r="C7" s="2970" t="s">
        <v>3078</v>
      </c>
      <c r="D7" s="2969">
        <v>8554.09</v>
      </c>
      <c r="E7" s="2969"/>
      <c r="F7" s="2969"/>
      <c r="G7" s="2963">
        <v>109</v>
      </c>
      <c r="J7" s="2963">
        <f>J5+J6</f>
        <v>15117.740000000002</v>
      </c>
      <c r="K7" s="2963">
        <f>K5+K6</f>
        <v>5095.4400000000005</v>
      </c>
    </row>
    <row r="8" spans="1:11">
      <c r="A8" s="2969">
        <v>6</v>
      </c>
      <c r="B8" s="2970" t="s">
        <v>3081</v>
      </c>
      <c r="C8" s="2970" t="s">
        <v>3134</v>
      </c>
      <c r="D8" s="2969">
        <v>43.67</v>
      </c>
      <c r="E8" s="2969"/>
      <c r="F8" s="2969">
        <f>SUM(D6:D8)</f>
        <v>9714.6299999999992</v>
      </c>
    </row>
    <row r="9" spans="1:11">
      <c r="A9" s="2972">
        <v>7</v>
      </c>
      <c r="B9" s="2973" t="s">
        <v>3084</v>
      </c>
      <c r="C9" s="2973" t="s">
        <v>3078</v>
      </c>
      <c r="D9" s="2972">
        <v>4565.72</v>
      </c>
      <c r="E9" s="2972"/>
      <c r="F9" s="2972"/>
      <c r="G9" s="2963">
        <v>65</v>
      </c>
    </row>
    <row r="10" spans="1:11">
      <c r="A10" s="2972">
        <v>8</v>
      </c>
      <c r="B10" s="2973" t="s">
        <v>3084</v>
      </c>
      <c r="C10" s="2973" t="s">
        <v>3076</v>
      </c>
      <c r="D10" s="2972">
        <v>901.89</v>
      </c>
      <c r="E10" s="2973" t="s">
        <v>3082</v>
      </c>
      <c r="F10" s="2972">
        <f>SUM(D9:D10)</f>
        <v>5467.6100000000006</v>
      </c>
    </row>
    <row r="11" spans="1:11">
      <c r="A11" s="2974">
        <v>9</v>
      </c>
      <c r="B11" s="2975" t="s">
        <v>3085</v>
      </c>
      <c r="C11" s="2975" t="s">
        <v>3076</v>
      </c>
      <c r="D11" s="2974">
        <f>112.31+1108.76</f>
        <v>1221.07</v>
      </c>
      <c r="E11" s="2975" t="s">
        <v>3082</v>
      </c>
      <c r="F11" s="2974"/>
    </row>
    <row r="12" spans="1:11">
      <c r="A12" s="2974">
        <v>10</v>
      </c>
      <c r="B12" s="2975" t="s">
        <v>3086</v>
      </c>
      <c r="C12" s="2975" t="s">
        <v>3078</v>
      </c>
      <c r="D12" s="2974">
        <v>9007.59</v>
      </c>
      <c r="E12" s="2974"/>
      <c r="F12" s="2974"/>
    </row>
    <row r="13" spans="1:11">
      <c r="A13" s="2974">
        <v>11</v>
      </c>
      <c r="B13" s="2975" t="s">
        <v>3086</v>
      </c>
      <c r="C13" s="2975" t="s">
        <v>3080</v>
      </c>
      <c r="D13" s="2974">
        <v>43.32</v>
      </c>
      <c r="E13" s="2974"/>
      <c r="F13" s="2974">
        <f>SUM(D11:D13)</f>
        <v>10271.98</v>
      </c>
    </row>
    <row r="14" spans="1:11">
      <c r="A14" s="2976">
        <v>12</v>
      </c>
      <c r="B14" s="2977" t="s">
        <v>3087</v>
      </c>
      <c r="C14" s="2977" t="s">
        <v>3088</v>
      </c>
      <c r="D14" s="2976">
        <v>891.71</v>
      </c>
      <c r="E14" s="2977" t="s">
        <v>3089</v>
      </c>
      <c r="F14" s="2976"/>
    </row>
    <row r="15" spans="1:11">
      <c r="A15" s="2976">
        <v>13</v>
      </c>
      <c r="B15" s="2977" t="s">
        <v>3087</v>
      </c>
      <c r="C15" s="2977" t="s">
        <v>3090</v>
      </c>
      <c r="D15" s="2976">
        <v>4541.24</v>
      </c>
      <c r="E15" s="2976"/>
      <c r="F15" s="2976">
        <f>SUM(D14:D15)</f>
        <v>5432.95</v>
      </c>
    </row>
    <row r="16" spans="1:11">
      <c r="A16" s="2978">
        <v>14</v>
      </c>
      <c r="B16" s="2979" t="s">
        <v>3091</v>
      </c>
      <c r="C16" s="2979" t="s">
        <v>3090</v>
      </c>
      <c r="D16" s="2978">
        <v>8183.63</v>
      </c>
      <c r="E16" s="2978"/>
      <c r="F16" s="2978"/>
    </row>
    <row r="17" spans="1:6">
      <c r="A17" s="2978">
        <v>15</v>
      </c>
      <c r="B17" s="2979" t="s">
        <v>3091</v>
      </c>
      <c r="C17" s="2979" t="s">
        <v>3088</v>
      </c>
      <c r="D17" s="2978">
        <f>1348.65+112.17</f>
        <v>1460.8200000000002</v>
      </c>
      <c r="E17" s="2979" t="s">
        <v>3089</v>
      </c>
      <c r="F17" s="2978"/>
    </row>
    <row r="18" spans="1:6">
      <c r="A18" s="2978">
        <v>16</v>
      </c>
      <c r="B18" s="2979" t="s">
        <v>3092</v>
      </c>
      <c r="C18" s="2979" t="s">
        <v>3093</v>
      </c>
      <c r="D18" s="2978">
        <v>43.97</v>
      </c>
      <c r="E18" s="2978"/>
      <c r="F18" s="2978">
        <f>SUM(D16:D18)</f>
        <v>9688.42</v>
      </c>
    </row>
    <row r="19" spans="1:6">
      <c r="A19" s="2980">
        <v>17</v>
      </c>
      <c r="B19" s="2981" t="s">
        <v>3094</v>
      </c>
      <c r="C19" s="2981" t="s">
        <v>3078</v>
      </c>
      <c r="D19" s="2980">
        <v>4572.09</v>
      </c>
      <c r="E19" s="2980"/>
      <c r="F19" s="2980"/>
    </row>
    <row r="20" spans="1:6">
      <c r="A20" s="2980">
        <v>18</v>
      </c>
      <c r="B20" s="2981" t="s">
        <v>3094</v>
      </c>
      <c r="C20" s="2981" t="s">
        <v>3076</v>
      </c>
      <c r="D20" s="2980">
        <v>891.66</v>
      </c>
      <c r="E20" s="2981" t="s">
        <v>3082</v>
      </c>
      <c r="F20" s="2980">
        <f>SUM(D19:D20)</f>
        <v>5463.75</v>
      </c>
    </row>
    <row r="21" spans="1:6">
      <c r="A21" s="2982">
        <v>19</v>
      </c>
      <c r="B21" s="2983" t="s">
        <v>3095</v>
      </c>
      <c r="C21" s="2983" t="s">
        <v>3088</v>
      </c>
      <c r="D21" s="2982">
        <v>748.86</v>
      </c>
      <c r="E21" s="2983" t="s">
        <v>3089</v>
      </c>
      <c r="F21" s="2982"/>
    </row>
    <row r="22" spans="1:6">
      <c r="A22" s="2982">
        <v>20</v>
      </c>
      <c r="B22" s="2983" t="s">
        <v>3095</v>
      </c>
      <c r="C22" s="2983" t="s">
        <v>3096</v>
      </c>
      <c r="D22" s="2982">
        <v>4153.03</v>
      </c>
      <c r="E22" s="2983" t="s">
        <v>3097</v>
      </c>
      <c r="F22" s="2982"/>
    </row>
    <row r="23" spans="1:6">
      <c r="A23" s="2982">
        <v>21</v>
      </c>
      <c r="B23" s="2983" t="s">
        <v>3095</v>
      </c>
      <c r="C23" s="2983" t="s">
        <v>3090</v>
      </c>
      <c r="D23" s="2982">
        <v>16041.38</v>
      </c>
      <c r="E23" s="2982"/>
      <c r="F23" s="2982"/>
    </row>
    <row r="24" spans="1:6">
      <c r="A24" s="2982">
        <v>22</v>
      </c>
      <c r="B24" s="2983" t="s">
        <v>3095</v>
      </c>
      <c r="C24" s="2983" t="s">
        <v>3093</v>
      </c>
      <c r="D24" s="2982">
        <f>28.18+26.52</f>
        <v>54.7</v>
      </c>
      <c r="E24" s="2982"/>
      <c r="F24" s="2982">
        <f>SUM(D21:D24)</f>
        <v>20997.969999999998</v>
      </c>
    </row>
    <row r="25" spans="1:6">
      <c r="A25" s="2984">
        <v>23</v>
      </c>
      <c r="B25" s="2985" t="s">
        <v>3098</v>
      </c>
      <c r="C25" s="2985" t="s">
        <v>3096</v>
      </c>
      <c r="D25" s="2984">
        <v>3905.26</v>
      </c>
      <c r="E25" s="2985" t="s">
        <v>3097</v>
      </c>
      <c r="F25" s="2984"/>
    </row>
    <row r="26" spans="1:6">
      <c r="A26" s="2984">
        <v>24</v>
      </c>
      <c r="B26" s="2985" t="s">
        <v>3098</v>
      </c>
      <c r="C26" s="2985" t="s">
        <v>3090</v>
      </c>
      <c r="D26" s="2984">
        <v>10948.61</v>
      </c>
      <c r="E26" s="2984"/>
      <c r="F26" s="2984"/>
    </row>
    <row r="27" spans="1:6">
      <c r="A27" s="2984">
        <v>25</v>
      </c>
      <c r="B27" s="2985" t="s">
        <v>3098</v>
      </c>
      <c r="C27" s="2985" t="s">
        <v>3093</v>
      </c>
      <c r="D27" s="2985">
        <f>11.27+22.26</f>
        <v>33.53</v>
      </c>
      <c r="E27" s="2984"/>
      <c r="F27" s="2984">
        <f>SUM(D25:D27)</f>
        <v>14887.400000000001</v>
      </c>
    </row>
    <row r="28" spans="1:6">
      <c r="A28" s="3085" t="s">
        <v>3099</v>
      </c>
      <c r="B28" s="3086"/>
      <c r="C28" s="3087"/>
      <c r="D28" s="2986">
        <f>SUM(D3:D27)</f>
        <v>103887.26</v>
      </c>
      <c r="E28" s="2986"/>
      <c r="F28" s="2986">
        <f>SUM(F5:F27)</f>
        <v>103887.26000000001</v>
      </c>
    </row>
    <row r="29" spans="1:6">
      <c r="A29" s="2984">
        <v>26</v>
      </c>
      <c r="B29" s="2964" t="s">
        <v>3100</v>
      </c>
      <c r="C29" s="2964" t="s">
        <v>3101</v>
      </c>
      <c r="D29" s="2986">
        <v>4959.53</v>
      </c>
    </row>
    <row r="30" spans="1:6">
      <c r="A30" s="2984">
        <v>27</v>
      </c>
      <c r="B30" s="2964" t="s">
        <v>3100</v>
      </c>
      <c r="C30" s="2964" t="s">
        <v>3102</v>
      </c>
      <c r="D30" s="2986">
        <v>18914.39</v>
      </c>
    </row>
    <row r="31" spans="1:6">
      <c r="A31" s="2984">
        <v>28</v>
      </c>
      <c r="B31" s="2987" t="s">
        <v>3100</v>
      </c>
      <c r="C31" s="2987" t="s">
        <v>3103</v>
      </c>
      <c r="D31" s="2986">
        <f>81.2+4578.66</f>
        <v>4659.8599999999997</v>
      </c>
    </row>
    <row r="32" spans="1:6">
      <c r="A32" s="2984"/>
      <c r="D32" s="2963">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baseColWidth="10" defaultColWidth="9.1640625" defaultRowHeight="14"/>
  <cols>
    <col min="1" max="1" width="12.1640625" style="2222" customWidth="1"/>
    <col min="2" max="2" width="10.1640625" style="2222" customWidth="1"/>
    <col min="3" max="3" width="18.5" style="2222" customWidth="1"/>
    <col min="4" max="4" width="11.6640625" style="2222" customWidth="1"/>
    <col min="5" max="5" width="13.33203125" style="2222" customWidth="1"/>
    <col min="6" max="8" width="11.5" style="2222" customWidth="1"/>
    <col min="9" max="9" width="11.1640625" style="2222" customWidth="1"/>
    <col min="10" max="10" width="3.1640625" style="2222" customWidth="1"/>
    <col min="11" max="16" width="10" style="2222" customWidth="1"/>
    <col min="17" max="17" width="2.6640625" style="2222" customWidth="1"/>
    <col min="18" max="18" width="9.33203125" style="2222" bestFit="1" customWidth="1"/>
    <col min="19" max="19" width="10.5" style="2222" bestFit="1" customWidth="1"/>
    <col min="20" max="16384" width="9.1640625" style="2222"/>
  </cols>
  <sheetData>
    <row r="1" spans="1:16" ht="18">
      <c r="A1" s="2221" t="s">
        <v>1926</v>
      </c>
      <c r="B1" s="1391"/>
      <c r="C1" s="1391"/>
      <c r="D1" s="1391"/>
      <c r="E1" s="1391"/>
      <c r="F1" s="1391"/>
      <c r="G1" s="1391"/>
      <c r="H1" s="1391"/>
      <c r="I1" s="1391"/>
      <c r="J1" s="1391"/>
      <c r="K1" s="1391"/>
      <c r="L1" s="1391"/>
      <c r="M1" s="1391"/>
      <c r="N1" s="1391"/>
      <c r="O1" s="1391"/>
      <c r="P1" s="1391"/>
    </row>
    <row r="2" spans="1:16">
      <c r="A2" s="3097" t="s">
        <v>1927</v>
      </c>
      <c r="B2" s="3097"/>
      <c r="C2" s="3097"/>
      <c r="D2" s="967" t="s">
        <v>1903</v>
      </c>
      <c r="E2" s="2223" t="s">
        <v>1904</v>
      </c>
      <c r="F2" s="1391"/>
      <c r="G2" s="2224"/>
      <c r="H2" s="2225"/>
      <c r="I2" s="2226" t="s">
        <v>1928</v>
      </c>
      <c r="J2" s="1391"/>
      <c r="K2" s="1391"/>
      <c r="L2" s="1391"/>
      <c r="M2" s="1391"/>
      <c r="N2" s="1426"/>
      <c r="O2" s="1391"/>
      <c r="P2" s="1391"/>
    </row>
    <row r="3" spans="1:16" ht="15" thickBot="1">
      <c r="A3" s="3098" t="s">
        <v>1901</v>
      </c>
      <c r="B3" s="3098"/>
      <c r="C3" s="3098"/>
      <c r="D3" s="3003">
        <f>'数据-基础表'!AY6</f>
        <v>5095.4399999999996</v>
      </c>
      <c r="E3" s="46">
        <f>'数据-基础表'!AZ5</f>
        <v>15182.239999999998</v>
      </c>
      <c r="F3" s="1391"/>
      <c r="G3" s="1398"/>
      <c r="H3" s="1247" t="s">
        <v>1902</v>
      </c>
      <c r="I3" s="55">
        <f>ROUND('数据-基础表'!B3/'数据-基础表'!A3,2)</f>
        <v>2.68</v>
      </c>
      <c r="J3" s="1391"/>
      <c r="K3" s="1391"/>
      <c r="L3" s="1391"/>
      <c r="M3" s="1391"/>
      <c r="N3" s="1426"/>
      <c r="O3" s="1391"/>
      <c r="P3" s="1391"/>
    </row>
    <row r="4" spans="1:16">
      <c r="A4" s="3099"/>
      <c r="B4" s="3100"/>
      <c r="C4" s="3101"/>
      <c r="D4" s="2227" t="s">
        <v>1903</v>
      </c>
      <c r="E4" s="2228" t="s">
        <v>1904</v>
      </c>
      <c r="F4" s="1391"/>
      <c r="G4" s="2229" t="s">
        <v>1929</v>
      </c>
      <c r="H4" s="1247" t="s">
        <v>1909</v>
      </c>
      <c r="I4" s="55">
        <f>ROUND(SUMIF('数据-基础表'!I9:AS9,"地上",'数据-基础表'!I5:AS5)/'数据-基础表'!A3,2)</f>
        <v>2.1</v>
      </c>
      <c r="J4" s="1391"/>
      <c r="K4" s="1391"/>
      <c r="L4" s="1391"/>
      <c r="M4" s="1391"/>
      <c r="N4" s="1426"/>
      <c r="O4" s="1391"/>
      <c r="P4" s="1391"/>
    </row>
    <row r="5" spans="1:16">
      <c r="A5" s="47" t="s">
        <v>1905</v>
      </c>
      <c r="B5" s="3102" t="s">
        <v>1906</v>
      </c>
      <c r="C5" s="3102"/>
      <c r="D5" s="48">
        <f>ROUND($D$3*E5/$E$3,2)</f>
        <v>0</v>
      </c>
      <c r="E5" s="49">
        <f>SUMIF('数据-基础表'!$11:$11,"住宅",'数据-基础表'!$5:$5)</f>
        <v>0</v>
      </c>
      <c r="F5" s="1391"/>
      <c r="G5" s="1398"/>
      <c r="H5" s="1247" t="s">
        <v>1902</v>
      </c>
      <c r="I5" s="55">
        <f>ROUND(E31/D31,2)</f>
        <v>2.98</v>
      </c>
      <c r="J5" s="1391"/>
      <c r="K5" s="1391"/>
      <c r="L5" s="1391"/>
      <c r="M5" s="1391"/>
      <c r="N5" s="1391"/>
      <c r="O5" s="1391"/>
      <c r="P5" s="1391"/>
    </row>
    <row r="6" spans="1:16" ht="15" thickBot="1">
      <c r="A6" s="2230"/>
      <c r="B6" s="3102" t="s">
        <v>1907</v>
      </c>
      <c r="C6" s="3102"/>
      <c r="D6" s="48">
        <f>ROUND($D$3*E6/$E$3,2)</f>
        <v>5095.4399999999996</v>
      </c>
      <c r="E6" s="49">
        <f>E3-E5</f>
        <v>15182.239999999998</v>
      </c>
      <c r="F6" s="1391"/>
      <c r="G6" s="2231" t="s">
        <v>1908</v>
      </c>
      <c r="H6" s="1398" t="s">
        <v>1909</v>
      </c>
      <c r="I6" s="939">
        <f>ROUND(F31/D31,2)</f>
        <v>2.98</v>
      </c>
      <c r="J6" s="1391"/>
      <c r="K6" s="1391"/>
      <c r="L6" s="1391"/>
      <c r="M6" s="1391"/>
      <c r="N6" s="1391"/>
      <c r="O6" s="1391"/>
      <c r="P6" s="1391"/>
    </row>
    <row r="7" spans="1:16">
      <c r="A7" s="3094"/>
      <c r="B7" s="3095"/>
      <c r="C7" s="3096"/>
      <c r="D7" s="2227" t="s">
        <v>1903</v>
      </c>
      <c r="E7" s="2232" t="s">
        <v>1910</v>
      </c>
      <c r="F7" s="1391"/>
      <c r="G7" s="2224" t="s">
        <v>1911</v>
      </c>
      <c r="H7" s="64"/>
      <c r="I7" s="420"/>
      <c r="J7" s="1391"/>
      <c r="K7" s="1391"/>
      <c r="L7" s="1391"/>
      <c r="M7" s="1391"/>
      <c r="N7" s="1391"/>
      <c r="O7" s="1391"/>
      <c r="P7" s="1391"/>
    </row>
    <row r="8" spans="1:16">
      <c r="A8" s="47" t="s">
        <v>1912</v>
      </c>
      <c r="B8" s="50" t="s">
        <v>1913</v>
      </c>
      <c r="C8" s="48" t="s">
        <v>1914</v>
      </c>
      <c r="D8" s="48">
        <f t="shared" ref="D8:D15" si="0">ROUND($D$3*E8/$E$3,2)</f>
        <v>5095.4399999999996</v>
      </c>
      <c r="E8" s="51">
        <f>SUMIF('数据-基础表'!BB10:BK10,"地上",'数据-基础表'!BB5:BK5)</f>
        <v>15182.239999999998</v>
      </c>
      <c r="F8" s="1391"/>
      <c r="G8" s="2233"/>
      <c r="H8" s="2233"/>
      <c r="I8" s="1391"/>
      <c r="J8" s="1391"/>
      <c r="K8" s="1391"/>
      <c r="L8" s="1391"/>
      <c r="M8" s="1391"/>
      <c r="N8" s="1391"/>
      <c r="O8" s="1391"/>
      <c r="P8" s="1391"/>
    </row>
    <row r="9" spans="1:16">
      <c r="A9" s="2234"/>
      <c r="B9" s="2235"/>
      <c r="C9" s="48" t="s">
        <v>1915</v>
      </c>
      <c r="D9" s="48">
        <f t="shared" si="0"/>
        <v>0</v>
      </c>
      <c r="E9" s="52">
        <v>0</v>
      </c>
      <c r="F9" s="1391"/>
      <c r="G9" s="2233"/>
      <c r="H9" s="2233"/>
      <c r="I9" s="1391"/>
      <c r="J9" s="1391"/>
      <c r="K9" s="1391"/>
      <c r="L9" s="1391"/>
      <c r="M9" s="1391"/>
      <c r="N9" s="1391"/>
      <c r="O9" s="1391"/>
      <c r="P9" s="1391"/>
    </row>
    <row r="10" spans="1:16">
      <c r="A10" s="2234"/>
      <c r="B10" s="2235"/>
      <c r="C10" s="48" t="s">
        <v>1924</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1916</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1917</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1918</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1930</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1925</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1919</v>
      </c>
      <c r="D16" s="50">
        <f>SUM(D8:D15)</f>
        <v>5095.4399999999996</v>
      </c>
      <c r="E16" s="53">
        <f>SUM(E8:E15)</f>
        <v>15182.239999999998</v>
      </c>
      <c r="F16" s="1391"/>
      <c r="G16" s="2233"/>
      <c r="H16" s="2236" t="s">
        <v>1931</v>
      </c>
      <c r="I16" s="2237"/>
      <c r="J16" s="1391"/>
      <c r="K16" s="3091" t="s">
        <v>1931</v>
      </c>
      <c r="L16" s="3092"/>
      <c r="M16" s="3092"/>
      <c r="N16" s="3092"/>
      <c r="O16" s="3092"/>
      <c r="P16" s="3093"/>
    </row>
    <row r="17" spans="1:19">
      <c r="A17" s="2238" t="s">
        <v>1932</v>
      </c>
      <c r="B17" s="2239" t="s">
        <v>1933</v>
      </c>
      <c r="C17" s="2240" t="s">
        <v>1934</v>
      </c>
      <c r="D17" s="2241" t="s">
        <v>1922</v>
      </c>
      <c r="E17" s="2242" t="s">
        <v>1923</v>
      </c>
      <c r="F17" s="2243"/>
      <c r="G17" s="2244"/>
      <c r="H17" s="2245" t="s">
        <v>1935</v>
      </c>
      <c r="I17" s="2246" t="s">
        <v>1920</v>
      </c>
      <c r="J17" s="1391"/>
      <c r="K17" s="3088" t="s">
        <v>1936</v>
      </c>
      <c r="L17" s="3089"/>
      <c r="M17" s="3090"/>
      <c r="N17" s="3088" t="s">
        <v>1937</v>
      </c>
      <c r="O17" s="3089"/>
      <c r="P17" s="3090"/>
      <c r="R17" s="2224" t="s">
        <v>1938</v>
      </c>
      <c r="S17" s="64"/>
    </row>
    <row r="18" spans="1:19">
      <c r="A18" s="2234"/>
      <c r="B18" s="2247"/>
      <c r="C18" s="2248"/>
      <c r="D18" s="2249"/>
      <c r="E18" s="2250" t="s">
        <v>1939</v>
      </c>
      <c r="F18" s="2251" t="s">
        <v>1940</v>
      </c>
      <c r="G18" s="2252" t="s">
        <v>1941</v>
      </c>
      <c r="H18" s="1262" t="s">
        <v>1942</v>
      </c>
      <c r="I18" s="2253" t="s">
        <v>1943</v>
      </c>
      <c r="J18" s="1391"/>
      <c r="K18" s="1262" t="s">
        <v>1944</v>
      </c>
      <c r="L18" s="2254" t="s">
        <v>1945</v>
      </c>
      <c r="M18" s="1046" t="s">
        <v>1946</v>
      </c>
      <c r="N18" s="1262" t="s">
        <v>1944</v>
      </c>
      <c r="O18" s="2254" t="s">
        <v>1945</v>
      </c>
      <c r="P18" s="1046" t="s">
        <v>1946</v>
      </c>
      <c r="R18" s="1247" t="s">
        <v>1947</v>
      </c>
      <c r="S18" s="1247" t="s">
        <v>1948</v>
      </c>
    </row>
    <row r="19" spans="1:19">
      <c r="A19" s="2255"/>
      <c r="B19" s="50" t="s">
        <v>1921</v>
      </c>
      <c r="C19" s="2256" t="str">
        <f>'数据-基础表'!C13</f>
        <v>皇冠酒店</v>
      </c>
      <c r="D19" s="48">
        <f>ROUND($D$3*E19/$E$3,2)</f>
        <v>5095.4399999999996</v>
      </c>
      <c r="E19" s="56">
        <f t="shared" ref="E19:E26" si="1">SUM(F19:G19)</f>
        <v>15182.239999999998</v>
      </c>
      <c r="F19" s="57">
        <f>'数据-基础表'!I13</f>
        <v>15182.239999999998</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5095.4399999999996</v>
      </c>
      <c r="S19" s="1248">
        <f t="shared" si="5"/>
        <v>15182.239999999998</v>
      </c>
    </row>
    <row r="20" spans="1:19">
      <c r="A20" s="2259"/>
      <c r="B20" s="50" t="s">
        <v>1949</v>
      </c>
      <c r="C20" s="2256"/>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50" t="s">
        <v>1949</v>
      </c>
      <c r="C21" s="2256"/>
      <c r="D21" s="48">
        <f t="shared" si="6"/>
        <v>0</v>
      </c>
      <c r="E21" s="56">
        <f t="shared" si="1"/>
        <v>0</v>
      </c>
      <c r="F21" s="57"/>
      <c r="G21" s="58"/>
      <c r="H21" s="723">
        <f t="shared" si="7"/>
        <v>0</v>
      </c>
      <c r="I21" s="51">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50" t="s">
        <v>1949</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1949</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1949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1949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1949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1950</v>
      </c>
      <c r="D27" s="1392">
        <f>SUM(D19:D26)</f>
        <v>5095.4399999999996</v>
      </c>
      <c r="E27" s="1393">
        <f>IF(SUM(E19:E26)='数据-基础表'!BA5,SUM(E19:E26),IF(F27="地上面积有误","面积有误","地下面积有误"))</f>
        <v>15182.239999999998</v>
      </c>
      <c r="F27" s="1392">
        <f>IF(SUM(F19:F26)=E8,SUM(F19:F26),"地上面积有误")</f>
        <v>15182.239999999998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5095.4399999999996</v>
      </c>
      <c r="S27" s="1247">
        <f>IF(SUM(S19:S26)=$E$3,SUM(S19:S26),SUM(S19:S26)&amp;"误差"&amp;ROUND(SUM(S19:S26)-E3,2))</f>
        <v>15182.239999999998</v>
      </c>
    </row>
    <row r="28" spans="1:19">
      <c r="A28" s="2259"/>
      <c r="B28" s="50" t="s">
        <v>1951</v>
      </c>
      <c r="C28" s="1259" t="s">
        <v>1952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1951</v>
      </c>
      <c r="C29" s="2263" t="s">
        <v>1953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c r="A30" s="2259"/>
      <c r="B30" s="50"/>
      <c r="C30" s="2264" t="s">
        <v>1950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7" t="s">
        <v>1954</v>
      </c>
      <c r="D31" s="729">
        <f>D27+D30</f>
        <v>5095.4399999999996</v>
      </c>
      <c r="E31" s="729">
        <f>E27+E30</f>
        <v>15182.239999999998</v>
      </c>
      <c r="F31" s="730">
        <f>F27+F30</f>
        <v>15182.239999999998</v>
      </c>
      <c r="G31" s="731">
        <f>G27+G30</f>
        <v>0</v>
      </c>
      <c r="H31" s="1391"/>
      <c r="I31" s="1391"/>
      <c r="J31" s="1391"/>
      <c r="K31" s="1391"/>
      <c r="L31" s="1391"/>
      <c r="M31" s="1391"/>
      <c r="N31" s="1391"/>
      <c r="O31" s="1391"/>
      <c r="P31" s="1391"/>
    </row>
    <row r="32" spans="1:19">
      <c r="A32" s="2229"/>
      <c r="B32" s="2229" t="s">
        <v>1955</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26" activePane="bottomRight" state="frozen"/>
      <selection activeCell="C50" sqref="C50"/>
      <selection pane="topRight" activeCell="C50" sqref="C50"/>
      <selection pane="bottomLeft" activeCell="C50" sqref="C50"/>
      <selection pane="bottomRight" activeCell="B22" sqref="B22"/>
    </sheetView>
  </sheetViews>
  <sheetFormatPr baseColWidth="10" defaultColWidth="13.6640625" defaultRowHeight="13"/>
  <cols>
    <col min="1" max="1" width="20.83203125" style="2341" customWidth="1"/>
    <col min="2" max="2" width="12" style="2271" customWidth="1"/>
    <col min="3" max="3" width="10.6640625" style="2271" customWidth="1"/>
    <col min="4" max="4" width="9.1640625" style="2342" customWidth="1"/>
    <col min="5" max="5" width="15" style="2271" bestFit="1" customWidth="1"/>
    <col min="6" max="10" width="8.83203125" style="2271" customWidth="1"/>
    <col min="11" max="12" width="12.33203125" style="2185" customWidth="1"/>
    <col min="13" max="13" width="8.6640625" style="2271" customWidth="1"/>
    <col min="14" max="14" width="11.83203125" style="2271" customWidth="1"/>
    <col min="15" max="15" width="8.5" style="2271" customWidth="1"/>
    <col min="16" max="17" width="10.83203125" style="2271" customWidth="1"/>
    <col min="18" max="19" width="12.5" style="2271" customWidth="1"/>
    <col min="20" max="20" width="12.1640625" style="2271" customWidth="1"/>
    <col min="21" max="21" width="7.5" style="2271" customWidth="1"/>
    <col min="22" max="22" width="6.33203125" style="2271" customWidth="1"/>
    <col min="23" max="24" width="6.6640625" style="2271" customWidth="1"/>
    <col min="25" max="25" width="8.6640625" style="2271" bestFit="1" customWidth="1"/>
    <col min="26" max="30" width="6.6640625" style="2271" customWidth="1"/>
    <col min="31" max="31" width="8" style="2271" customWidth="1"/>
    <col min="32" max="34" width="7.164062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9" thickBot="1">
      <c r="A1" s="2268" t="s">
        <v>1956</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6" thickBot="1">
      <c r="A2" s="2272" t="s">
        <v>1957</v>
      </c>
      <c r="B2" s="1266">
        <f>项目基本情况!D3</f>
        <v>43906</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6" thickBot="1">
      <c r="A4" s="68" t="s">
        <v>1958</v>
      </c>
      <c r="B4" s="2277"/>
      <c r="C4" s="2278"/>
      <c r="D4" s="2279"/>
      <c r="E4" s="2278" t="s">
        <v>1959</v>
      </c>
      <c r="F4" s="2278"/>
      <c r="G4" s="2278"/>
      <c r="H4" s="2278"/>
      <c r="I4" s="2278"/>
      <c r="J4" s="2280"/>
      <c r="K4" s="2281"/>
      <c r="L4" s="2282"/>
      <c r="M4" s="2278"/>
      <c r="N4" s="2278" t="s">
        <v>1960</v>
      </c>
      <c r="O4" s="2278"/>
      <c r="P4" s="2278"/>
      <c r="Q4" s="2278"/>
      <c r="R4" s="2278"/>
      <c r="S4" s="2280"/>
      <c r="T4" s="2283" t="str">
        <f>'数据-汇总表'!I17</f>
        <v>按面积比例</v>
      </c>
      <c r="U4" s="2277" t="s">
        <v>1961</v>
      </c>
      <c r="V4" s="2278"/>
      <c r="W4" s="2278"/>
      <c r="X4" s="2278"/>
      <c r="Y4" s="2280"/>
      <c r="Z4" s="2240" t="s">
        <v>1962</v>
      </c>
      <c r="AA4" s="2240"/>
      <c r="AB4" s="2240"/>
      <c r="AC4" s="2240"/>
      <c r="AD4" s="2240"/>
      <c r="AE4" s="2238" t="s">
        <v>1963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5">
      <c r="A5" s="2285" t="s">
        <v>1964</v>
      </c>
      <c r="B5" s="2286" t="s">
        <v>1965</v>
      </c>
      <c r="C5" s="2287" t="s">
        <v>1966</v>
      </c>
      <c r="D5" s="2288" t="s">
        <v>1967</v>
      </c>
      <c r="E5" s="1268" t="s">
        <v>1968</v>
      </c>
      <c r="F5" s="2289" t="s">
        <v>1969</v>
      </c>
      <c r="G5" s="1268" t="s">
        <v>1970</v>
      </c>
      <c r="H5" s="1268" t="s">
        <v>1971</v>
      </c>
      <c r="I5" s="1268" t="s">
        <v>1972</v>
      </c>
      <c r="J5" s="2290" t="s">
        <v>1973</v>
      </c>
      <c r="K5" s="2291" t="s">
        <v>1974</v>
      </c>
      <c r="L5" s="2292" t="s">
        <v>1975</v>
      </c>
      <c r="M5" s="2293" t="s">
        <v>1976</v>
      </c>
      <c r="N5" s="2294" t="s">
        <v>3111</v>
      </c>
      <c r="O5" s="2292" t="s">
        <v>1977</v>
      </c>
      <c r="P5" s="2295" t="s">
        <v>1978</v>
      </c>
      <c r="Q5" s="69" t="s">
        <v>1979</v>
      </c>
      <c r="R5" s="2296" t="s">
        <v>1980</v>
      </c>
      <c r="S5" s="2297" t="s">
        <v>1981</v>
      </c>
      <c r="T5" s="2298" t="s">
        <v>1982</v>
      </c>
      <c r="U5" s="1267" t="s">
        <v>1983</v>
      </c>
      <c r="V5" s="1268" t="s">
        <v>1984</v>
      </c>
      <c r="W5" s="1268" t="s">
        <v>1985</v>
      </c>
      <c r="X5" s="71"/>
      <c r="Y5" s="70" t="s">
        <v>1986</v>
      </c>
      <c r="Z5" s="2299" t="s">
        <v>1983</v>
      </c>
      <c r="AA5" s="1268" t="s">
        <v>1984</v>
      </c>
      <c r="AB5" s="1268" t="s">
        <v>1985</v>
      </c>
      <c r="AC5" s="71"/>
      <c r="AD5" s="71" t="s">
        <v>1986</v>
      </c>
      <c r="AE5" s="1267" t="s">
        <v>1987</v>
      </c>
      <c r="AF5" s="1268" t="s">
        <v>1988</v>
      </c>
      <c r="AG5" s="70" t="s">
        <v>1989</v>
      </c>
      <c r="AH5" s="1267" t="s">
        <v>1990</v>
      </c>
      <c r="AI5" s="2299" t="s">
        <v>1991</v>
      </c>
      <c r="AJ5" s="2299" t="s">
        <v>1992</v>
      </c>
      <c r="AK5" s="1268" t="s">
        <v>1993</v>
      </c>
      <c r="AL5" s="1268" t="s">
        <v>1994</v>
      </c>
      <c r="AM5" s="70" t="s">
        <v>1995</v>
      </c>
      <c r="AN5" s="2300" t="s">
        <v>1996</v>
      </c>
      <c r="AO5" s="2070" t="s">
        <v>1997</v>
      </c>
      <c r="AP5" s="1249" t="s">
        <v>1998</v>
      </c>
      <c r="AQ5" s="2301" t="s">
        <v>1999</v>
      </c>
      <c r="AR5" s="2301" t="s">
        <v>2000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
      <c r="A6" s="2302" t="str">
        <f>'数据-汇总表'!C19</f>
        <v>皇冠酒店</v>
      </c>
      <c r="B6" s="2303" t="str">
        <f>IF(A6=0,"","经营性")</f>
        <v>经营性</v>
      </c>
      <c r="C6" s="2304" t="s">
        <v>1372</v>
      </c>
      <c r="D6" s="1051">
        <f>SUMIF(项目基本情况!D$12:I$12,C6,项目基本情况!D$14:I$14)</f>
        <v>40</v>
      </c>
      <c r="E6" s="1048">
        <f>IF(B6="","",SUMIF(项目基本情况!D$12:I$12,C6,项目基本情况!D$13:I$13))</f>
        <v>56139</v>
      </c>
      <c r="F6" s="72">
        <f>SUMIF(项目基本情况!D$12:I$12,C6,项目基本情况!D$15:I$15)</f>
        <v>33.51</v>
      </c>
      <c r="G6" s="73">
        <f>IF(ISERROR(ROUND(POWER(1+H6,D6-F6)*(POWER(1+H6,F6)-1)/(POWER(1+H6,D6)-1),3)),0,ROUND(POWER(1+H6,D6-F6)*(POWER(1+H6,F6)-1)/(POWER(1+H6,D6)-1),3))</f>
        <v>0.93799999999999994</v>
      </c>
      <c r="H6" s="802">
        <v>0.05</v>
      </c>
      <c r="I6" s="3005">
        <v>5.5E-2</v>
      </c>
      <c r="J6" s="74">
        <v>8.5000000000000006E-2</v>
      </c>
      <c r="K6" s="1251">
        <f>SUMIF('数据-汇总表'!C$19:C$33,A6,'数据-汇总表'!E$19:E$33)</f>
        <v>15182.239999999998</v>
      </c>
      <c r="L6" s="2989">
        <v>5000</v>
      </c>
      <c r="M6" s="75">
        <f t="shared" ref="M6:M14" si="0">ROUND(K6*L6/10000,0)</f>
        <v>7591</v>
      </c>
      <c r="N6" s="801">
        <v>0.5</v>
      </c>
      <c r="O6" s="75">
        <f>IF($N$5="成新度","——",ROUND(M6*N6,0))</f>
        <v>3796</v>
      </c>
      <c r="P6" s="76">
        <f>IF($N$5="成新度","——",M6-O6)</f>
        <v>3795</v>
      </c>
      <c r="Q6" s="804">
        <v>0.15</v>
      </c>
      <c r="R6" s="77">
        <f ca="1">SUMIF('数据-汇总表'!C$19:C$33,A6,'数据-汇总表'!R$19:R$27)</f>
        <v>5095.4399999999996</v>
      </c>
      <c r="S6" s="54">
        <f>IF('数据-汇总表'!$I$17="按面积比例",SUMIF('数据-汇总表'!C$19:C$33,A6,'数据-汇总表'!K$19:K$33),SUMIF('数据-汇总表'!C$19:C$33,A6,'数据-汇总表'!N$19:N$33))</f>
        <v>0</v>
      </c>
      <c r="T6" s="1442">
        <f>ROUND($L$14*S6/10000,0)</f>
        <v>0</v>
      </c>
      <c r="U6" s="78">
        <f>酒店收入计算!E26</f>
        <v>1867.1999999999996</v>
      </c>
      <c r="V6" s="79">
        <v>3.5000000000000003E-2</v>
      </c>
      <c r="W6" s="79">
        <v>0</v>
      </c>
      <c r="X6" s="1261"/>
      <c r="Y6" s="80">
        <v>1</v>
      </c>
      <c r="Z6" s="81"/>
      <c r="AA6" s="74"/>
      <c r="AB6" s="74"/>
      <c r="AC6" s="1261"/>
      <c r="AD6" s="82"/>
      <c r="AE6" s="1262">
        <f ca="1">IF(AN6="",0,SUMIF(INDIRECT("'"&amp;AN6&amp;"'"&amp;"!E:E"),$AE$5,INDIRECT("'"&amp;AN6&amp;"'"&amp;"!F:F")))</f>
        <v>32.51</v>
      </c>
      <c r="AF6" s="1803"/>
      <c r="AG6" s="147">
        <f>IF(AF6="",0,AE6-AF6)</f>
        <v>0</v>
      </c>
      <c r="AH6" s="2993">
        <v>10000</v>
      </c>
      <c r="AI6" s="2994">
        <v>1</v>
      </c>
      <c r="AJ6" s="86"/>
      <c r="AK6" s="87">
        <v>1.4999999999999999E-2</v>
      </c>
      <c r="AL6" s="87">
        <v>1.5E-3</v>
      </c>
      <c r="AM6" s="2995">
        <v>1.4999999999999999E-2</v>
      </c>
      <c r="AN6" s="2305" t="s">
        <v>3124</v>
      </c>
      <c r="AO6" s="55">
        <f ca="1">SUMIF(INDIRECT("'"&amp;AN6&amp;"'"&amp;"!A:A"),"总价",INDIRECT("'"&amp;AN6&amp;"'"&amp;"!B:B"))</f>
        <v>33701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
      <c r="A7" s="2302">
        <f>'数据-汇总表'!C20</f>
        <v>0</v>
      </c>
      <c r="B7" s="2303" t="str">
        <f t="shared" ref="B7:B13" si="1">IF(A7=0,"","经营性")</f>
        <v/>
      </c>
      <c r="C7" s="2304" t="s">
        <v>27</v>
      </c>
      <c r="D7" s="1051">
        <f>SUMIF(项目基本情况!D$12:I$12,C7,项目基本情况!D$14:I$14)</f>
        <v>50</v>
      </c>
      <c r="E7" s="1048" t="str">
        <f>IF(B7="","",SUMIF(项目基本情况!D$12:I$12,C7,项目基本情况!D$13:I$13))</f>
        <v/>
      </c>
      <c r="F7" s="72">
        <f>SUMIF(项目基本情况!D$12:I$12,C7,项目基本情况!D$15:I$15)</f>
        <v>43.52</v>
      </c>
      <c r="G7" s="73">
        <f t="shared" ref="G7:G11" si="2">IF(ISERROR(ROUND(POWER(1+H7,D7-F7)*(POWER(1+H7,F7)-1)/(POWER(1+H7,D7)-1),3)),0,ROUND(POWER(1+H7,D7-F7)*(POWER(1+H7,F7)-1)/(POWER(1+H7,D7)-1),3))</f>
        <v>0.96399999999999997</v>
      </c>
      <c r="H7" s="802">
        <v>0.05</v>
      </c>
      <c r="I7" s="3005">
        <v>5.5E-2</v>
      </c>
      <c r="J7" s="7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5">
      <c r="A14" s="2307" t="s">
        <v>2001</v>
      </c>
      <c r="B14" s="2303" t="s">
        <v>2002</v>
      </c>
      <c r="C14" s="2308"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30">
      <c r="A15" s="2307" t="s">
        <v>2003</v>
      </c>
      <c r="B15" s="2303" t="s">
        <v>2002</v>
      </c>
      <c r="C15" s="2308" t="s">
        <v>2004</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6" thickBot="1">
      <c r="A16" s="2309" t="s">
        <v>2005</v>
      </c>
      <c r="B16" s="97"/>
      <c r="C16" s="1005"/>
      <c r="D16" s="2310"/>
      <c r="E16" s="97"/>
      <c r="F16" s="97"/>
      <c r="G16" s="98">
        <f>ROUND(SUMPRODUCT(G6:G13,K6:K13)/SUMPRODUCT((G6:G13&gt;0)*(K6:K13)),3)</f>
        <v>0.93799999999999994</v>
      </c>
      <c r="H16" s="99">
        <f>ROUND(SUMPRODUCT(H6:H13,K6:K13)/SUMPRODUCT((H6:H13&gt;0)*(K6:K13)),3)</f>
        <v>0.05</v>
      </c>
      <c r="I16" s="100"/>
      <c r="J16" s="100"/>
      <c r="K16" s="101">
        <f>SUM(K6:K15)</f>
        <v>15182.239999999998</v>
      </c>
      <c r="L16" s="102">
        <f>ROUND(M16*10000/SUM(K6:K14),0)</f>
        <v>5000</v>
      </c>
      <c r="M16" s="102">
        <f>SUM(M6:M14)</f>
        <v>7591</v>
      </c>
      <c r="N16" s="103">
        <f>ROUND(SUMPRODUCT(M6:M14,N6:N14)/M16,3)</f>
        <v>0.5</v>
      </c>
      <c r="O16" s="102">
        <f>SUM(O6:O14)</f>
        <v>3796</v>
      </c>
      <c r="P16" s="102">
        <f>SUM(P6:P14)</f>
        <v>3795</v>
      </c>
      <c r="Q16" s="104">
        <f>ROUND(SUMPRODUCT(Q6:Q13,K6:K13)/SUMPRODUCT((Q6:Q13&gt;0)*(K6:K13)),2)</f>
        <v>0.15</v>
      </c>
      <c r="R16" s="1255">
        <f ca="1">SUM(R6:R13)</f>
        <v>5095.4399999999996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4"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6" thickBot="1">
      <c r="A18" s="68" t="s">
        <v>2006</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5">
      <c r="A19" s="2312" t="s">
        <v>2007</v>
      </c>
      <c r="B19" s="112">
        <v>0</v>
      </c>
      <c r="C19" s="2273" t="s">
        <v>2008</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5">
      <c r="A20" s="2313" t="s">
        <v>2009</v>
      </c>
      <c r="B20" s="113">
        <v>2.5</v>
      </c>
      <c r="C20" s="2273" t="s">
        <v>2010</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5">
      <c r="A21" s="2314" t="s">
        <v>2011</v>
      </c>
      <c r="B21" s="113">
        <v>1.5</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5">
      <c r="A22" s="2313" t="s">
        <v>2012</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c r="A23" s="2314" t="s">
        <v>2013</v>
      </c>
      <c r="B23" s="114">
        <f>B19+B21</f>
        <v>1.5</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6" thickBot="1">
      <c r="A24" s="2315" t="s">
        <v>2014</v>
      </c>
      <c r="B24" s="115">
        <f>B20-B21</f>
        <v>1</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6" thickBot="1">
      <c r="A26" s="2272" t="s">
        <v>2015</v>
      </c>
      <c r="B26" s="2316" t="s">
        <v>2016</v>
      </c>
      <c r="C26" s="2317" t="s">
        <v>2017</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30">
      <c r="A27" s="2318" t="s">
        <v>2018</v>
      </c>
      <c r="B27" s="116">
        <v>160</v>
      </c>
      <c r="C27" s="1763" t="s">
        <v>2019</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30">
      <c r="A28" s="2321" t="s">
        <v>2020</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31" thickBot="1">
      <c r="A29" s="2323" t="s">
        <v>2021</v>
      </c>
      <c r="B29" s="121">
        <f ca="1">成本法!C10</f>
        <v>304</v>
      </c>
      <c r="C29" s="1763" t="s">
        <v>2022</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30">
      <c r="A30" s="2324" t="s">
        <v>2023</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30">
      <c r="A31" s="2321" t="s">
        <v>2024</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31" thickBot="1">
      <c r="A32" s="2325" t="s">
        <v>2025</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5">
      <c r="A33" s="2318" t="s">
        <v>2026</v>
      </c>
      <c r="B33" s="726">
        <v>0.05</v>
      </c>
      <c r="C33" s="1762" t="s">
        <v>2027</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5">
      <c r="A34" s="2321" t="s">
        <v>2028</v>
      </c>
      <c r="B34" s="122">
        <v>0</v>
      </c>
      <c r="C34" s="1762" t="s">
        <v>2029</v>
      </c>
      <c r="D34" s="2274" t="s">
        <v>2030</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5">
      <c r="A35" s="2321" t="s">
        <v>2031</v>
      </c>
      <c r="B35" s="119">
        <v>200</v>
      </c>
      <c r="C35" s="1762" t="s">
        <v>2032</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6" thickBot="1">
      <c r="A36" s="2323" t="s">
        <v>2033</v>
      </c>
      <c r="B36" s="123">
        <v>1.4999999999999999E-2</v>
      </c>
      <c r="C36" s="1762" t="s">
        <v>2034</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5">
      <c r="A37" s="2324" t="s">
        <v>2035</v>
      </c>
      <c r="B37" s="124">
        <v>0.03</v>
      </c>
      <c r="C37" s="1762" t="s">
        <v>2036</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5">
      <c r="A38" s="2321" t="s">
        <v>2037</v>
      </c>
      <c r="B38" s="122">
        <v>0.03</v>
      </c>
      <c r="C38" s="1762" t="s">
        <v>2036</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5">
      <c r="A39" s="2325" t="s">
        <v>2038</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6" thickBot="1">
      <c r="A40" s="2325" t="s">
        <v>2039</v>
      </c>
      <c r="B40" s="1299">
        <f ca="1">存贷款利率!G1</f>
        <v>4.7500000000000001E-2</v>
      </c>
      <c r="C40" s="1762" t="s">
        <v>2040</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5">
      <c r="A41" s="2318" t="s">
        <v>2041</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5">
      <c r="A42" s="2326" t="s">
        <v>2042</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5">
      <c r="A43" s="2326" t="s">
        <v>2043</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5">
      <c r="A44" s="2328" t="s">
        <v>2044</v>
      </c>
      <c r="B44" s="128">
        <v>0.05</v>
      </c>
      <c r="C44" s="1762" t="s">
        <v>2045</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5">
      <c r="A45" s="2328" t="s">
        <v>2046</v>
      </c>
      <c r="B45" s="126">
        <v>0.03</v>
      </c>
      <c r="C45" s="1763" t="s">
        <v>2047</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5">
      <c r="A46" s="2328" t="s">
        <v>2048</v>
      </c>
      <c r="B46" s="126">
        <v>0.02</v>
      </c>
      <c r="C46" s="1763" t="s">
        <v>2049</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6" thickBot="1">
      <c r="A47" s="2329" t="s">
        <v>2050</v>
      </c>
      <c r="B47" s="129">
        <v>0</v>
      </c>
      <c r="C47" s="1763" t="s">
        <v>2051</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5">
      <c r="A48" s="2330" t="s">
        <v>2052</v>
      </c>
      <c r="B48" s="130">
        <v>0.03</v>
      </c>
      <c r="C48" s="1770" t="s">
        <v>2053</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6" thickBot="1">
      <c r="A49" s="2325" t="s">
        <v>2054</v>
      </c>
      <c r="B49" s="126">
        <v>5.0000000000000001E-4</v>
      </c>
      <c r="C49" s="1770" t="s">
        <v>2055</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5">
      <c r="A50" s="2331" t="s">
        <v>2056</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6" thickBot="1">
      <c r="A51" s="2323" t="s">
        <v>2057</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5">
      <c r="A52" s="2331" t="s">
        <v>2058</v>
      </c>
      <c r="B52" s="133">
        <f>SUMIF(A54:A63,B53,B54:B63)</f>
        <v>1.5</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30">
      <c r="A53" s="2321" t="s">
        <v>2059</v>
      </c>
      <c r="B53" s="2332" t="s">
        <v>56</v>
      </c>
      <c r="C53" s="1426" t="s">
        <v>2060</v>
      </c>
      <c r="D53" s="2333" t="s">
        <v>2061</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5">
      <c r="A54" s="2334" t="s">
        <v>2062</v>
      </c>
      <c r="B54" s="84">
        <v>30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5">
      <c r="A55" s="2334" t="s">
        <v>2063</v>
      </c>
      <c r="B55" s="84">
        <v>24</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5">
      <c r="A56" s="2334" t="s">
        <v>2064</v>
      </c>
      <c r="B56" s="84">
        <v>18</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5">
      <c r="A57" s="2334" t="s">
        <v>2065</v>
      </c>
      <c r="B57" s="84">
        <v>12</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5">
      <c r="A58" s="2334" t="s">
        <v>2066</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5">
      <c r="A59" s="2334" t="s">
        <v>2067</v>
      </c>
      <c r="B59" s="84">
        <v>1.5</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5">
      <c r="A60" s="2334" t="s">
        <v>2068</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5">
      <c r="A61" s="2334" t="s">
        <v>2069</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5">
      <c r="A62" s="2334" t="s">
        <v>2070</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6" thickBot="1">
      <c r="A63" s="2336" t="s">
        <v>2071</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baseColWidth="10" defaultColWidth="9" defaultRowHeight="14"/>
  <cols>
    <col min="1" max="1" width="9.5" style="2364" customWidth="1"/>
    <col min="2" max="2" width="24.5" style="2412" customWidth="1"/>
    <col min="3" max="3" width="24.5" style="2411" customWidth="1"/>
    <col min="4" max="4" width="2.6640625" style="2411" customWidth="1"/>
    <col min="5" max="5" width="5.83203125" style="2411" customWidth="1"/>
    <col min="6" max="6" width="27" style="2412" customWidth="1"/>
    <col min="7" max="7" width="27" style="2413" customWidth="1"/>
    <col min="8" max="8" width="11.83203125" style="2391" customWidth="1"/>
    <col min="9" max="9" width="16.6640625" style="2392" customWidth="1"/>
    <col min="10" max="10" width="2.6640625" style="2391" customWidth="1"/>
    <col min="11" max="11" width="11.83203125" style="2391" customWidth="1"/>
    <col min="12" max="12" width="16.6640625" style="2392" customWidth="1"/>
    <col min="13" max="13" width="2.6640625" style="2391" customWidth="1"/>
    <col min="14" max="14" width="11.83203125" style="2391" customWidth="1"/>
    <col min="15" max="15" width="16.6640625" style="2392" customWidth="1"/>
    <col min="16" max="16" width="2.6640625" style="2391" customWidth="1"/>
    <col min="17" max="17" width="11.83203125" style="2391" customWidth="1"/>
    <col min="18" max="18" width="16.6640625" style="2393" customWidth="1"/>
    <col min="19" max="29" width="9" style="2363"/>
    <col min="30" max="16384" width="9" style="2364"/>
  </cols>
  <sheetData>
    <row r="1" spans="1:29" s="2357" customFormat="1" ht="19" thickBot="1">
      <c r="A1" s="3103" t="s">
        <v>2072</v>
      </c>
      <c r="B1" s="3104"/>
      <c r="C1" s="3104"/>
      <c r="D1" s="3104"/>
      <c r="E1" s="3104"/>
      <c r="F1" s="3104"/>
      <c r="G1" s="310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2073</v>
      </c>
      <c r="D2" s="2361"/>
      <c r="E2" s="2362"/>
      <c r="F2" s="2282"/>
      <c r="G2" s="2360" t="s">
        <v>2074</v>
      </c>
      <c r="H2" s="2363"/>
      <c r="I2" s="2363"/>
      <c r="J2" s="2363"/>
      <c r="K2" s="2363"/>
      <c r="L2" s="2363"/>
      <c r="M2" s="2363"/>
      <c r="N2" s="2363"/>
      <c r="O2" s="2363"/>
      <c r="P2" s="2363"/>
      <c r="Q2" s="2363"/>
      <c r="R2" s="2363"/>
    </row>
    <row r="3" spans="1:29" ht="30">
      <c r="A3" s="415" t="s">
        <v>2075</v>
      </c>
      <c r="B3" s="1268" t="s">
        <v>2076</v>
      </c>
      <c r="C3" s="2365"/>
      <c r="D3" s="2366"/>
      <c r="E3" s="431" t="s">
        <v>2075</v>
      </c>
      <c r="F3" s="2367" t="s">
        <v>2077</v>
      </c>
      <c r="G3" s="2368"/>
      <c r="H3" s="2363"/>
      <c r="I3" s="2363"/>
      <c r="J3" s="2363"/>
      <c r="K3" s="2363"/>
      <c r="L3" s="2363"/>
      <c r="M3" s="2363"/>
      <c r="N3" s="2363"/>
      <c r="O3" s="2363"/>
      <c r="P3" s="2363"/>
      <c r="Q3" s="2363"/>
      <c r="R3" s="2363"/>
    </row>
    <row r="4" spans="1:29" ht="15">
      <c r="A4" s="431"/>
      <c r="B4" s="1794" t="s">
        <v>2078</v>
      </c>
      <c r="C4" s="2369"/>
      <c r="D4" s="2366"/>
      <c r="E4" s="2370"/>
      <c r="F4" s="42" t="s">
        <v>2079</v>
      </c>
      <c r="G4" s="2371"/>
      <c r="H4" s="2363"/>
      <c r="I4" s="2363"/>
      <c r="J4" s="2363"/>
      <c r="K4" s="2363"/>
      <c r="L4" s="2363"/>
      <c r="M4" s="2363"/>
      <c r="N4" s="2363"/>
      <c r="O4" s="2363"/>
      <c r="P4" s="2363"/>
      <c r="Q4" s="2363"/>
      <c r="R4" s="2363"/>
    </row>
    <row r="5" spans="1:29" ht="15">
      <c r="A5" s="431"/>
      <c r="B5" s="1794" t="s">
        <v>2080</v>
      </c>
      <c r="C5" s="2369"/>
      <c r="D5" s="2366"/>
      <c r="E5" s="2370"/>
      <c r="F5" s="1794" t="s">
        <v>2081</v>
      </c>
      <c r="G5" s="2371"/>
      <c r="H5" s="2363"/>
      <c r="I5" s="2363"/>
      <c r="J5" s="2363"/>
      <c r="K5" s="2363"/>
      <c r="L5" s="2363"/>
      <c r="M5" s="2363"/>
      <c r="N5" s="2363"/>
      <c r="O5" s="2363"/>
      <c r="P5" s="2363"/>
      <c r="Q5" s="2363"/>
      <c r="R5" s="2363"/>
    </row>
    <row r="6" spans="1:29" ht="15">
      <c r="A6" s="431"/>
      <c r="B6" s="1794" t="s">
        <v>2082</v>
      </c>
      <c r="C6" s="2371"/>
      <c r="D6" s="2366"/>
      <c r="E6" s="2370"/>
      <c r="F6" s="1794" t="s">
        <v>2083</v>
      </c>
      <c r="G6" s="2371"/>
      <c r="H6" s="2363"/>
      <c r="I6" s="2363"/>
      <c r="J6" s="2363"/>
      <c r="K6" s="2363"/>
      <c r="L6" s="2363"/>
      <c r="M6" s="2363"/>
      <c r="N6" s="2363"/>
      <c r="O6" s="2363"/>
      <c r="P6" s="2363"/>
      <c r="Q6" s="2363"/>
      <c r="R6" s="2363"/>
    </row>
    <row r="7" spans="1:29" ht="16" thickBot="1">
      <c r="A7" s="431"/>
      <c r="B7" s="1794" t="s">
        <v>2081</v>
      </c>
      <c r="C7" s="2371"/>
      <c r="D7" s="2372"/>
      <c r="E7" s="2373"/>
      <c r="F7" s="2374" t="s">
        <v>2084</v>
      </c>
      <c r="G7" s="2375"/>
      <c r="H7" s="2363"/>
      <c r="I7" s="2363"/>
      <c r="J7" s="2363"/>
      <c r="K7" s="2363"/>
      <c r="L7" s="2363"/>
      <c r="M7" s="2363"/>
      <c r="N7" s="2363"/>
      <c r="O7" s="2363"/>
      <c r="P7" s="2363"/>
      <c r="Q7" s="2363"/>
      <c r="R7" s="2363"/>
    </row>
    <row r="8" spans="1:29" ht="15">
      <c r="A8" s="431"/>
      <c r="B8" s="1794" t="s">
        <v>2083</v>
      </c>
      <c r="C8" s="2371"/>
      <c r="D8" s="2372"/>
      <c r="E8" s="2372"/>
      <c r="F8" s="1133"/>
      <c r="G8" s="1133"/>
      <c r="H8" s="2363"/>
      <c r="I8" s="2363"/>
      <c r="J8" s="2363"/>
      <c r="K8" s="2363"/>
      <c r="L8" s="2363"/>
      <c r="M8" s="2363"/>
      <c r="N8" s="2363"/>
      <c r="O8" s="2363"/>
      <c r="P8" s="2363"/>
      <c r="Q8" s="2363"/>
      <c r="R8" s="2363"/>
    </row>
    <row r="9" spans="1:29" ht="15">
      <c r="A9" s="431"/>
      <c r="B9" s="1794" t="s">
        <v>2085</v>
      </c>
      <c r="C9" s="2369"/>
      <c r="D9" s="2366"/>
      <c r="E9" s="2372"/>
      <c r="F9" s="1133"/>
      <c r="G9" s="1133"/>
      <c r="H9" s="2363"/>
      <c r="I9" s="2363"/>
      <c r="J9" s="2363"/>
      <c r="K9" s="2363"/>
      <c r="L9" s="2363"/>
      <c r="M9" s="2363"/>
      <c r="N9" s="2363"/>
      <c r="O9" s="2363"/>
      <c r="P9" s="2363"/>
      <c r="Q9" s="2363"/>
      <c r="R9" s="2363"/>
    </row>
    <row r="10" spans="1:29" s="117" customFormat="1" ht="16" thickBot="1">
      <c r="A10" s="2376"/>
      <c r="B10" s="2377" t="s">
        <v>2086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 thickBot="1">
      <c r="A13" s="2389" t="s">
        <v>2087</v>
      </c>
      <c r="B13" s="2383"/>
      <c r="C13" s="2383"/>
      <c r="D13" s="2390"/>
      <c r="E13" s="2383"/>
      <c r="F13" s="2383"/>
      <c r="G13" s="2383"/>
    </row>
    <row r="14" spans="1:29" ht="16" thickBot="1">
      <c r="A14" s="2394"/>
      <c r="B14" s="2395"/>
      <c r="C14" s="2396" t="s">
        <v>2088</v>
      </c>
      <c r="D14" s="2366"/>
      <c r="E14" s="2397"/>
      <c r="F14" s="2397"/>
      <c r="G14" s="2360" t="s">
        <v>2089</v>
      </c>
    </row>
    <row r="15" spans="1:29" ht="30">
      <c r="A15" s="68" t="s">
        <v>2090</v>
      </c>
      <c r="B15" s="1267" t="s">
        <v>2076</v>
      </c>
      <c r="C15" s="2398">
        <f>C3</f>
        <v>0</v>
      </c>
      <c r="D15" s="2366"/>
      <c r="E15" s="2399" t="s">
        <v>2091</v>
      </c>
      <c r="F15" s="1267" t="s">
        <v>2092</v>
      </c>
      <c r="G15" s="135">
        <f>G3</f>
        <v>0</v>
      </c>
    </row>
    <row r="16" spans="1:29" ht="15">
      <c r="A16" s="645"/>
      <c r="B16" s="2400" t="s">
        <v>2078</v>
      </c>
      <c r="C16" s="2401">
        <f>C4</f>
        <v>0</v>
      </c>
      <c r="D16" s="2366"/>
      <c r="E16" s="2402"/>
      <c r="F16" s="2403" t="s">
        <v>2079</v>
      </c>
      <c r="G16" s="136">
        <f>G4</f>
        <v>0</v>
      </c>
    </row>
    <row r="17" spans="1:18" ht="15">
      <c r="A17" s="645"/>
      <c r="B17" s="2400" t="s">
        <v>2080</v>
      </c>
      <c r="C17" s="2401">
        <f>C5</f>
        <v>0</v>
      </c>
      <c r="D17" s="2372"/>
      <c r="E17" s="2402"/>
      <c r="F17" s="2403" t="s">
        <v>2093</v>
      </c>
      <c r="G17" s="1568"/>
    </row>
    <row r="18" spans="1:18" ht="15">
      <c r="A18" s="645"/>
      <c r="B18" s="2403" t="s">
        <v>2082</v>
      </c>
      <c r="C18" s="136">
        <f>C6</f>
        <v>0</v>
      </c>
      <c r="D18" s="2372"/>
      <c r="E18" s="2402"/>
      <c r="F18" s="2403" t="s">
        <v>2084</v>
      </c>
      <c r="G18" s="136">
        <f>G7</f>
        <v>0</v>
      </c>
    </row>
    <row r="19" spans="1:18" ht="15">
      <c r="A19" s="645"/>
      <c r="B19" s="2403" t="s">
        <v>2094</v>
      </c>
      <c r="C19" s="1568"/>
      <c r="D19" s="2366"/>
      <c r="E19" s="2402"/>
      <c r="F19" s="1794" t="s">
        <v>2081</v>
      </c>
      <c r="G19" s="136">
        <f>G5</f>
        <v>0</v>
      </c>
    </row>
    <row r="20" spans="1:18" ht="15">
      <c r="A20" s="645"/>
      <c r="B20" s="2403" t="s">
        <v>2095</v>
      </c>
      <c r="C20" s="2401">
        <f>C9</f>
        <v>0</v>
      </c>
      <c r="D20" s="2372"/>
      <c r="E20" s="2402"/>
      <c r="F20" s="1794" t="s">
        <v>2096</v>
      </c>
      <c r="G20" s="136">
        <f>G6</f>
        <v>0</v>
      </c>
    </row>
    <row r="21" spans="1:18" ht="15">
      <c r="A21" s="645"/>
      <c r="B21" s="1794" t="s">
        <v>2081</v>
      </c>
      <c r="C21" s="136">
        <f>C7</f>
        <v>0</v>
      </c>
      <c r="D21" s="2366"/>
      <c r="E21" s="2402"/>
      <c r="F21" s="2403" t="s">
        <v>2097</v>
      </c>
      <c r="G21" s="2404"/>
    </row>
    <row r="22" spans="1:18" ht="13.5" customHeight="1">
      <c r="A22" s="645"/>
      <c r="B22" s="1794" t="s">
        <v>2083</v>
      </c>
      <c r="C22" s="136">
        <f>C8</f>
        <v>0</v>
      </c>
      <c r="D22" s="2366"/>
      <c r="E22" s="2402"/>
      <c r="F22" s="2403" t="s">
        <v>2086</v>
      </c>
      <c r="G22" s="1568"/>
    </row>
    <row r="23" spans="1:18" s="2363" customFormat="1" ht="16" thickBot="1">
      <c r="A23" s="645"/>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6" thickBot="1">
      <c r="A24" s="2408"/>
      <c r="B24" s="2406" t="s">
        <v>2099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abSelected="1" workbookViewId="0">
      <selection activeCell="F5" sqref="F5"/>
    </sheetView>
  </sheetViews>
  <sheetFormatPr baseColWidth="10" defaultColWidth="9" defaultRowHeight="14"/>
  <cols>
    <col min="1" max="1" width="23.33203125" style="1737" customWidth="1"/>
    <col min="2" max="9" width="15.6640625" style="1737" customWidth="1"/>
    <col min="10" max="16384" width="9" style="1737"/>
  </cols>
  <sheetData>
    <row r="1" spans="1:10" ht="18">
      <c r="A1" s="1742" t="s">
        <v>1360</v>
      </c>
      <c r="B1" s="1742">
        <f>SUM(B14:B23)</f>
        <v>15182.239999999998</v>
      </c>
      <c r="C1" s="1741"/>
      <c r="D1" s="1741"/>
      <c r="E1" s="1741"/>
      <c r="F1" s="1741"/>
      <c r="G1" s="1739"/>
    </row>
    <row r="2" spans="1:10" ht="18">
      <c r="A2" s="1742" t="s">
        <v>1348</v>
      </c>
      <c r="B2" s="1742">
        <f>SUM(C14:C23)</f>
        <v>5095.4399999999996</v>
      </c>
      <c r="C2" s="1741"/>
      <c r="D2" s="1741"/>
      <c r="E2" s="1741"/>
      <c r="F2" s="1741"/>
      <c r="G2" s="1739"/>
    </row>
    <row r="3" spans="1:10" ht="18">
      <c r="A3" s="1742" t="s">
        <v>1357</v>
      </c>
      <c r="B3" s="1743">
        <f>项目基本情况!D3</f>
        <v>43906</v>
      </c>
      <c r="C3" s="1741"/>
      <c r="D3" s="1741"/>
      <c r="E3" s="1741"/>
      <c r="F3" s="1741"/>
      <c r="G3" s="1739"/>
    </row>
    <row r="4" spans="1:10" ht="36">
      <c r="A4" s="1742" t="s">
        <v>1356</v>
      </c>
      <c r="B4" s="1742" t="s">
        <v>1355</v>
      </c>
      <c r="C4" s="1742" t="s">
        <v>1354</v>
      </c>
      <c r="D4" s="1742" t="s">
        <v>1353</v>
      </c>
      <c r="E4" s="1741"/>
      <c r="F4" s="1739"/>
      <c r="G4" s="1739"/>
    </row>
    <row r="5" spans="1:10" ht="18">
      <c r="A5" s="1742" t="s">
        <v>1352</v>
      </c>
      <c r="B5" s="1742">
        <f ca="1">SUM(D14:D23)</f>
        <v>25192</v>
      </c>
      <c r="C5" s="1742">
        <f ca="1">ROUND(B5*10000/$B$1,0)</f>
        <v>16593</v>
      </c>
      <c r="D5" s="1742">
        <f ca="1">ROUND(B5*10000/$B$2,0)</f>
        <v>49440</v>
      </c>
      <c r="E5" s="1741"/>
      <c r="F5" s="1739"/>
      <c r="G5" s="1739"/>
    </row>
    <row r="6" spans="1:10" ht="18">
      <c r="A6" s="1742" t="s">
        <v>1351</v>
      </c>
      <c r="B6" s="1742">
        <f>SUM(G14:G23)</f>
        <v>0</v>
      </c>
      <c r="C6" s="1742">
        <f>ROUND(B6*10000/$B$1,0)</f>
        <v>0</v>
      </c>
      <c r="D6" s="1742">
        <f>ROUND(B6*10000/$B$2,0)</f>
        <v>0</v>
      </c>
      <c r="E6" s="1741"/>
      <c r="F6" s="1739"/>
      <c r="G6" s="1739"/>
    </row>
    <row r="7" spans="1:10" ht="18">
      <c r="A7" s="1742" t="s">
        <v>1359</v>
      </c>
      <c r="B7" s="1742">
        <f ca="1">SUM(H14:H23)</f>
        <v>25192</v>
      </c>
      <c r="C7" s="1742">
        <f ca="1">ROUND(B7*10000/$B$1,0)</f>
        <v>16593</v>
      </c>
      <c r="D7" s="1742">
        <f ca="1">ROUND(B7*10000/$B$2,0)</f>
        <v>49440</v>
      </c>
      <c r="E7" s="1741"/>
      <c r="F7" s="1739"/>
      <c r="G7" s="1739"/>
    </row>
    <row r="8" spans="1:10" ht="18">
      <c r="A8" s="1742" t="s">
        <v>1280</v>
      </c>
      <c r="B8" s="1742">
        <f>SUM(I14:I23)</f>
        <v>0</v>
      </c>
      <c r="C8" s="1742">
        <f>ROUND(B8*10000/$B$1,0)</f>
        <v>0</v>
      </c>
      <c r="D8" s="1742">
        <f>ROUND(B8*10000/$B$2,0)</f>
        <v>0</v>
      </c>
      <c r="E8" s="1741"/>
      <c r="F8" s="1739"/>
      <c r="G8" s="1739"/>
    </row>
    <row r="9" spans="1:10" ht="18">
      <c r="A9" s="1742" t="s">
        <v>1350</v>
      </c>
      <c r="B9" s="1744"/>
      <c r="C9" s="1741"/>
      <c r="D9" s="1741"/>
      <c r="E9" s="1741"/>
      <c r="F9" s="1739"/>
      <c r="G9" s="1739"/>
    </row>
    <row r="10" spans="1:10" ht="18">
      <c r="A10" s="1742" t="s">
        <v>1349</v>
      </c>
      <c r="B10" s="1744"/>
      <c r="C10" s="1741"/>
      <c r="D10" s="1741"/>
      <c r="E10" s="1741"/>
      <c r="F10" s="1739"/>
      <c r="G10" s="1739"/>
    </row>
    <row r="11" spans="1:10" ht="18">
      <c r="A11" s="1742" t="s">
        <v>1365</v>
      </c>
      <c r="B11" s="1744"/>
      <c r="C11" s="1741"/>
      <c r="D11" s="1741"/>
      <c r="E11" s="1741"/>
      <c r="F11" s="1739"/>
      <c r="G11" s="1739"/>
    </row>
    <row r="12" spans="1:10" ht="17">
      <c r="A12" s="1741"/>
      <c r="B12" s="1741"/>
      <c r="C12" s="1741"/>
      <c r="D12" s="1741"/>
      <c r="E12" s="1741"/>
      <c r="F12" s="1739"/>
      <c r="G12" s="1739"/>
    </row>
    <row r="13" spans="1:10" ht="36">
      <c r="A13" s="1747" t="s">
        <v>1364</v>
      </c>
      <c r="B13" s="1740" t="s">
        <v>1361</v>
      </c>
      <c r="C13" s="1740" t="s">
        <v>1363</v>
      </c>
      <c r="D13" s="1740" t="s">
        <v>1362</v>
      </c>
      <c r="E13" s="1742" t="s">
        <v>1354</v>
      </c>
      <c r="F13" s="1742" t="s">
        <v>1353</v>
      </c>
      <c r="G13" s="1740" t="s">
        <v>1347</v>
      </c>
      <c r="H13" s="1740" t="s">
        <v>1358</v>
      </c>
      <c r="I13" s="1740" t="s">
        <v>1346</v>
      </c>
      <c r="J13" s="1739"/>
    </row>
    <row r="14" spans="1:10" ht="18">
      <c r="A14" s="1738" t="s">
        <v>1345</v>
      </c>
      <c r="B14" s="1740">
        <f>结果表!B118</f>
        <v>15182.239999999998</v>
      </c>
      <c r="C14" s="2996">
        <f>结果表!C118</f>
        <v>5095.4399999999996</v>
      </c>
      <c r="D14" s="2996">
        <f ca="1">结果表!H118</f>
        <v>25192</v>
      </c>
      <c r="E14" s="2996">
        <f ca="1">ROUND(D14*10000/B14,0)</f>
        <v>16593</v>
      </c>
      <c r="F14" s="2996">
        <f ca="1">ROUND(D14*10000/C14,0)</f>
        <v>49440</v>
      </c>
      <c r="G14" s="2996" t="str">
        <f>结果表!D122</f>
        <v>——</v>
      </c>
      <c r="H14" s="2996">
        <f ca="1">结果表!D124</f>
        <v>25192</v>
      </c>
      <c r="I14" s="2996" t="str">
        <f>结果表!D126</f>
        <v>——</v>
      </c>
      <c r="J14" s="1739"/>
    </row>
    <row r="15" spans="1:10" ht="17">
      <c r="A15" s="1738" t="s">
        <v>1344</v>
      </c>
      <c r="B15" s="2997"/>
      <c r="C15" s="2997"/>
      <c r="D15" s="2997"/>
      <c r="E15" s="2996" t="e">
        <f t="shared" ref="E15:E23" si="0">ROUND(D15*10000/B15,0)</f>
        <v>#DIV/0!</v>
      </c>
      <c r="F15" s="2996" t="e">
        <f t="shared" ref="F15:F23" si="1">ROUND(D15*10000/C15,0)</f>
        <v>#DIV/0!</v>
      </c>
      <c r="G15" s="2997"/>
      <c r="H15" s="2997">
        <f>D15</f>
        <v>0</v>
      </c>
      <c r="I15" s="2997"/>
      <c r="J15" s="1739"/>
    </row>
    <row r="16" spans="1:10" ht="17">
      <c r="A16" s="1738" t="s">
        <v>1343</v>
      </c>
      <c r="B16" s="2997"/>
      <c r="C16" s="2997"/>
      <c r="D16" s="2997"/>
      <c r="E16" s="2996" t="e">
        <f t="shared" si="0"/>
        <v>#DIV/0!</v>
      </c>
      <c r="F16" s="2996" t="e">
        <f t="shared" si="1"/>
        <v>#DIV/0!</v>
      </c>
      <c r="G16" s="2997"/>
      <c r="H16" s="2997">
        <f>D16</f>
        <v>0</v>
      </c>
      <c r="I16" s="2997"/>
    </row>
    <row r="17" spans="1:9" ht="17">
      <c r="A17" s="1738" t="s">
        <v>1342</v>
      </c>
      <c r="B17" s="1745"/>
      <c r="C17" s="1745"/>
      <c r="D17" s="1745"/>
      <c r="E17" s="1740" t="e">
        <f t="shared" si="0"/>
        <v>#DIV/0!</v>
      </c>
      <c r="F17" s="1740" t="e">
        <f t="shared" si="1"/>
        <v>#DIV/0!</v>
      </c>
      <c r="G17" s="1746"/>
      <c r="H17" s="1746"/>
      <c r="I17" s="1745"/>
    </row>
    <row r="18" spans="1:9" ht="17">
      <c r="A18" s="1738" t="s">
        <v>1341</v>
      </c>
      <c r="B18" s="1745"/>
      <c r="C18" s="1745"/>
      <c r="D18" s="1745"/>
      <c r="E18" s="1740" t="e">
        <f t="shared" si="0"/>
        <v>#DIV/0!</v>
      </c>
      <c r="F18" s="1740" t="e">
        <f t="shared" si="1"/>
        <v>#DIV/0!</v>
      </c>
      <c r="G18" s="1745"/>
      <c r="H18" s="1745"/>
      <c r="I18" s="1745"/>
    </row>
    <row r="19" spans="1:9" ht="17">
      <c r="A19" s="1738" t="s">
        <v>1340</v>
      </c>
      <c r="B19" s="1745"/>
      <c r="C19" s="1745"/>
      <c r="D19" s="1745"/>
      <c r="E19" s="1740" t="e">
        <f t="shared" si="0"/>
        <v>#DIV/0!</v>
      </c>
      <c r="F19" s="1740" t="e">
        <f t="shared" si="1"/>
        <v>#DIV/0!</v>
      </c>
      <c r="G19" s="1745"/>
      <c r="H19" s="1745"/>
      <c r="I19" s="1745"/>
    </row>
    <row r="20" spans="1:9" ht="17">
      <c r="A20" s="1738" t="s">
        <v>1339</v>
      </c>
      <c r="B20" s="1745"/>
      <c r="C20" s="1745"/>
      <c r="D20" s="1745"/>
      <c r="E20" s="1740" t="e">
        <f t="shared" si="0"/>
        <v>#DIV/0!</v>
      </c>
      <c r="F20" s="1740" t="e">
        <f t="shared" si="1"/>
        <v>#DIV/0!</v>
      </c>
      <c r="G20" s="3004"/>
      <c r="H20" s="1745"/>
      <c r="I20" s="1745"/>
    </row>
    <row r="21" spans="1:9" ht="17">
      <c r="A21" s="1738" t="s">
        <v>1338</v>
      </c>
      <c r="B21" s="1745"/>
      <c r="C21" s="1745"/>
      <c r="D21" s="1745"/>
      <c r="E21" s="1740" t="e">
        <f t="shared" si="0"/>
        <v>#DIV/0!</v>
      </c>
      <c r="F21" s="1740" t="e">
        <f t="shared" si="1"/>
        <v>#DIV/0!</v>
      </c>
      <c r="G21" s="1745"/>
      <c r="H21" s="1745"/>
      <c r="I21" s="1745"/>
    </row>
    <row r="22" spans="1:9" ht="17">
      <c r="A22" s="1738" t="s">
        <v>1337</v>
      </c>
      <c r="B22" s="1745"/>
      <c r="C22" s="1745"/>
      <c r="D22" s="1745"/>
      <c r="E22" s="1740" t="e">
        <f t="shared" si="0"/>
        <v>#DIV/0!</v>
      </c>
      <c r="F22" s="1740" t="e">
        <f t="shared" si="1"/>
        <v>#DIV/0!</v>
      </c>
      <c r="G22" s="1745"/>
      <c r="H22" s="1745"/>
      <c r="I22" s="1745"/>
    </row>
    <row r="23" spans="1:9" ht="17">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topLeftCell="A13" zoomScaleNormal="100" zoomScaleSheetLayoutView="100" zoomScalePageLayoutView="80" workbookViewId="0">
      <selection activeCell="H30" sqref="H30"/>
    </sheetView>
  </sheetViews>
  <sheetFormatPr baseColWidth="10"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640625" style="795" bestFit="1" customWidth="1"/>
    <col min="14" max="26" width="12.6640625" style="795"/>
    <col min="27" max="35" width="12.6640625" style="2419"/>
    <col min="36" max="16384" width="12.6640625" style="2420"/>
  </cols>
  <sheetData>
    <row r="1" spans="1:12" ht="21.75" customHeight="1" thickBot="1">
      <c r="A1" s="2221" t="s">
        <v>2100</v>
      </c>
      <c r="B1" s="2414"/>
      <c r="C1" s="2415"/>
      <c r="D1" s="2414"/>
      <c r="E1" s="2414"/>
      <c r="F1" s="2416" t="s">
        <v>2101</v>
      </c>
      <c r="G1" s="2066" t="s">
        <v>2102</v>
      </c>
      <c r="H1" s="2417" t="str">
        <f>IF(G1="现房","——","估价对象范围")</f>
        <v>估价对象范围</v>
      </c>
      <c r="I1" s="2418" t="s">
        <v>3133</v>
      </c>
    </row>
    <row r="2" spans="1:12" ht="21.75" customHeight="1" thickBot="1">
      <c r="A2" s="3177" t="str">
        <f>项目基本情况!S2</f>
        <v>北京市出让国有建设用地使用权及在建建筑物房地产</v>
      </c>
      <c r="B2" s="3178"/>
      <c r="C2" s="3178"/>
      <c r="D2" s="3178"/>
      <c r="E2" s="3178"/>
      <c r="F2" s="3178"/>
      <c r="G2" s="3178"/>
      <c r="H2" s="3178"/>
      <c r="I2" s="3179"/>
    </row>
    <row r="3" spans="1:12" ht="14">
      <c r="A3" s="3180" t="s">
        <v>2103</v>
      </c>
      <c r="B3" s="3181"/>
      <c r="C3" s="3181"/>
      <c r="D3" s="3181"/>
      <c r="E3" s="3181"/>
      <c r="F3" s="3181"/>
      <c r="G3" s="3181"/>
      <c r="H3" s="3181"/>
      <c r="I3" s="3181"/>
    </row>
    <row r="4" spans="1:12" ht="15">
      <c r="A4" s="2421" t="s">
        <v>2104</v>
      </c>
      <c r="B4" s="2422" t="s">
        <v>2105</v>
      </c>
      <c r="C4" s="2423" t="s">
        <v>3130</v>
      </c>
      <c r="D4" s="2423" t="s">
        <v>3131</v>
      </c>
      <c r="E4" s="3161" t="s">
        <v>2106</v>
      </c>
      <c r="F4" s="3174"/>
      <c r="G4" s="3174"/>
      <c r="H4" s="3174"/>
      <c r="I4" s="316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4">
      <c r="A5" s="3152" t="s">
        <v>2107</v>
      </c>
      <c r="B5" s="3072">
        <v>25</v>
      </c>
      <c r="C5" s="3182"/>
      <c r="D5" s="3170"/>
      <c r="E5" s="140" t="s">
        <v>2108</v>
      </c>
      <c r="F5" s="2425"/>
      <c r="G5" s="2425"/>
      <c r="H5" s="2425"/>
      <c r="I5" s="1830"/>
    </row>
    <row r="6" spans="1:12" ht="14">
      <c r="A6" s="3152"/>
      <c r="B6" s="3072"/>
      <c r="C6" s="3184"/>
      <c r="D6" s="3170"/>
      <c r="E6" s="140" t="s">
        <v>2109</v>
      </c>
      <c r="F6" s="2425"/>
      <c r="G6" s="2425"/>
      <c r="H6" s="2425"/>
      <c r="I6" s="1830"/>
    </row>
    <row r="7" spans="1:12" ht="14">
      <c r="A7" s="3152"/>
      <c r="B7" s="3072"/>
      <c r="C7" s="3183"/>
      <c r="D7" s="3170"/>
      <c r="E7" s="140" t="s">
        <v>2110</v>
      </c>
      <c r="F7" s="2425"/>
      <c r="G7" s="2425"/>
      <c r="H7" s="2425"/>
      <c r="I7" s="1830"/>
    </row>
    <row r="8" spans="1:12" ht="14">
      <c r="A8" s="3152" t="s">
        <v>2111</v>
      </c>
      <c r="B8" s="3072">
        <v>15</v>
      </c>
      <c r="C8" s="3182"/>
      <c r="D8" s="3170"/>
      <c r="E8" s="140" t="s">
        <v>2112</v>
      </c>
      <c r="F8" s="2425"/>
      <c r="G8" s="2425"/>
      <c r="H8" s="2425"/>
      <c r="I8" s="1830"/>
    </row>
    <row r="9" spans="1:12" ht="14">
      <c r="A9" s="3152"/>
      <c r="B9" s="3072"/>
      <c r="C9" s="3183"/>
      <c r="D9" s="3170"/>
      <c r="E9" s="140" t="s">
        <v>2113</v>
      </c>
      <c r="F9" s="2425"/>
      <c r="G9" s="2425"/>
      <c r="H9" s="2425"/>
      <c r="I9" s="1830"/>
    </row>
    <row r="10" spans="1:12" ht="14">
      <c r="A10" s="3152" t="s">
        <v>2114</v>
      </c>
      <c r="B10" s="3072">
        <v>15</v>
      </c>
      <c r="C10" s="3182"/>
      <c r="D10" s="3170"/>
      <c r="E10" s="140" t="s">
        <v>2115</v>
      </c>
      <c r="F10" s="2425"/>
      <c r="G10" s="2425"/>
      <c r="H10" s="2425"/>
      <c r="I10" s="1830"/>
    </row>
    <row r="11" spans="1:12" ht="14">
      <c r="A11" s="3152"/>
      <c r="B11" s="3072"/>
      <c r="C11" s="3183"/>
      <c r="D11" s="3170"/>
      <c r="E11" s="140" t="s">
        <v>2116</v>
      </c>
      <c r="F11" s="2425"/>
      <c r="G11" s="2425"/>
      <c r="H11" s="2425"/>
      <c r="I11" s="1830"/>
    </row>
    <row r="12" spans="1:12" ht="14">
      <c r="A12" s="3152" t="s">
        <v>2117</v>
      </c>
      <c r="B12" s="3072">
        <v>15</v>
      </c>
      <c r="C12" s="3182"/>
      <c r="D12" s="3170"/>
      <c r="E12" s="140" t="s">
        <v>2118</v>
      </c>
      <c r="F12" s="2425"/>
      <c r="G12" s="2425"/>
      <c r="H12" s="2425"/>
      <c r="I12" s="1830"/>
    </row>
    <row r="13" spans="1:12" ht="14">
      <c r="A13" s="3152"/>
      <c r="B13" s="3072"/>
      <c r="C13" s="3183"/>
      <c r="D13" s="3170"/>
      <c r="E13" s="140" t="s">
        <v>2119</v>
      </c>
      <c r="F13" s="2425"/>
      <c r="G13" s="2425"/>
      <c r="H13" s="2425"/>
      <c r="I13" s="1830"/>
    </row>
    <row r="14" spans="1:12" ht="14">
      <c r="A14" s="3152" t="s">
        <v>2120</v>
      </c>
      <c r="B14" s="3072">
        <v>30</v>
      </c>
      <c r="C14" s="3182">
        <v>5</v>
      </c>
      <c r="D14" s="3170">
        <v>5</v>
      </c>
      <c r="E14" s="140" t="s">
        <v>2121</v>
      </c>
      <c r="F14" s="2425"/>
      <c r="G14" s="2425"/>
      <c r="H14" s="2425"/>
      <c r="I14" s="1830"/>
    </row>
    <row r="15" spans="1:12" ht="14">
      <c r="A15" s="3152"/>
      <c r="B15" s="3072"/>
      <c r="C15" s="3184"/>
      <c r="D15" s="3170"/>
      <c r="E15" s="140" t="s">
        <v>2122</v>
      </c>
      <c r="F15" s="2425"/>
      <c r="G15" s="2425"/>
      <c r="H15" s="2425"/>
      <c r="I15" s="1830"/>
    </row>
    <row r="16" spans="1:12" ht="14">
      <c r="A16" s="3152"/>
      <c r="B16" s="3072"/>
      <c r="C16" s="3183"/>
      <c r="D16" s="3170"/>
      <c r="E16" s="140" t="s">
        <v>2123</v>
      </c>
      <c r="F16" s="2425"/>
      <c r="G16" s="2425"/>
      <c r="H16" s="2425"/>
      <c r="I16" s="1830"/>
    </row>
    <row r="17" spans="1:35" ht="14">
      <c r="A17" s="2426" t="s">
        <v>2124</v>
      </c>
      <c r="B17" s="64"/>
      <c r="C17" s="141">
        <f>SUM(C5:C16)</f>
        <v>5</v>
      </c>
      <c r="D17" s="141">
        <f>SUM(D5:D16)</f>
        <v>5</v>
      </c>
      <c r="E17" s="138"/>
      <c r="F17" s="138"/>
      <c r="G17" s="138"/>
      <c r="H17" s="138"/>
      <c r="I17" s="138"/>
      <c r="K17" s="2424"/>
      <c r="L17" s="2427" t="s">
        <v>2125</v>
      </c>
      <c r="M17" s="2427" t="s">
        <v>2126</v>
      </c>
    </row>
    <row r="18" spans="1:35" ht="15" thickBot="1">
      <c r="A18" s="2428" t="s">
        <v>2127</v>
      </c>
      <c r="B18" s="2429"/>
      <c r="C18" s="142">
        <f>ROUND(C17/SUM(C17:D17),2)</f>
        <v>0.5</v>
      </c>
      <c r="D18" s="142">
        <f>1-C18</f>
        <v>0.5</v>
      </c>
      <c r="E18" s="138"/>
      <c r="F18" s="138"/>
      <c r="G18" s="138"/>
      <c r="H18" s="138"/>
      <c r="I18" s="138"/>
      <c r="K18" s="2424" t="s">
        <v>2128</v>
      </c>
      <c r="L18" s="2424">
        <f>IF(C1="",'数据-汇总表'!E3,SUMIF(项目类型,C1,'数据-汇总表'!E17:E26)+SUMIF(项目类型,C1,'数据-汇总表'!I17:I26))</f>
        <v>15182.239999999998</v>
      </c>
      <c r="M18" s="2424">
        <f>IF(C1="",'数据-汇总表'!E3,SUMIF(项目类型,C1,'数据-汇总表'!E17:E26))</f>
        <v>15182.239999999998</v>
      </c>
    </row>
    <row r="19" spans="1:35" ht="14">
      <c r="A19" s="2430" t="s">
        <v>2129</v>
      </c>
      <c r="B19" s="2431" t="s">
        <v>2130</v>
      </c>
      <c r="C19" s="143">
        <f ca="1">SUMIF(INDIRECT("'"&amp;C4&amp;"'"&amp;"!A:A"),结果表!B19,INDIRECT("'"&amp;C4&amp;"'"&amp;"!B:B"))</f>
        <v>27329</v>
      </c>
      <c r="D19" s="144">
        <f ca="1">SUMIF(INDIRECT("'"&amp;D4&amp;"'"&amp;"!A:A"),结果表!B19,INDIRECT("'"&amp;D4&amp;"'"&amp;"!B:B"))</f>
        <v>23055</v>
      </c>
      <c r="E19" s="2430" t="s">
        <v>2131</v>
      </c>
      <c r="F19" s="2431" t="s">
        <v>2130</v>
      </c>
      <c r="G19" s="145">
        <f ca="1">ROUND(C19*$C$18+D19*$D$18,0)</f>
        <v>25192</v>
      </c>
      <c r="H19" s="2432" t="s">
        <v>2132</v>
      </c>
      <c r="I19" s="138"/>
      <c r="K19" s="2424" t="s">
        <v>2133</v>
      </c>
      <c r="L19" s="2424">
        <f>IF(C1="",'数据-汇总表'!D3,SUMIF(项目类型,C1,'数据-汇总表'!D17:D26)+SUMIF(项目类型,C1,'数据-汇总表'!H17:H27))</f>
        <v>5095.4399999999996</v>
      </c>
      <c r="M19" s="2424">
        <f>IF(C1="",'数据-汇总表'!D3,SUMIF(项目类型,C1,'数据-汇总表'!D17:D26))</f>
        <v>5095.4399999999996</v>
      </c>
    </row>
    <row r="20" spans="1:35" ht="14">
      <c r="A20" s="2433"/>
      <c r="B20" s="1247" t="s">
        <v>2134</v>
      </c>
      <c r="C20" s="146">
        <f ca="1">SUMIF(INDIRECT("'"&amp;C4&amp;"'"&amp;"!A:A"),结果表!B20,INDIRECT("'"&amp;C4&amp;"'"&amp;"!B:B"))</f>
        <v>18001</v>
      </c>
      <c r="D20" s="147">
        <f ca="1">SUMIF(INDIRECT("'"&amp;D4&amp;"'"&amp;"!A:A"),结果表!B20,INDIRECT("'"&amp;D4&amp;"'"&amp;"!B:B"))</f>
        <v>15186</v>
      </c>
      <c r="E20" s="2433"/>
      <c r="F20" s="1247" t="s">
        <v>2134</v>
      </c>
      <c r="G20" s="148">
        <f ca="1">ROUND(C20*$C$18+D20*$D$18,0)</f>
        <v>16594</v>
      </c>
      <c r="H20" s="980" t="s">
        <v>2135</v>
      </c>
      <c r="I20" s="138"/>
    </row>
    <row r="21" spans="1:35" ht="15" customHeight="1" thickBot="1">
      <c r="A21" s="1000"/>
      <c r="B21" s="2434" t="s">
        <v>2136</v>
      </c>
      <c r="C21" s="789">
        <f ca="1">ROUND(C19*10000/L19,0)</f>
        <v>53634</v>
      </c>
      <c r="D21" s="790">
        <f ca="1">ROUND(D19*10000/L19,0)</f>
        <v>45246</v>
      </c>
      <c r="E21" s="1000"/>
      <c r="F21" s="2434" t="s">
        <v>2136</v>
      </c>
      <c r="G21" s="149">
        <f ca="1">ROUND(G19*10000/L19,0)</f>
        <v>49440</v>
      </c>
      <c r="H21" s="2435" t="s">
        <v>2135</v>
      </c>
      <c r="I21" s="138"/>
    </row>
    <row r="22" spans="1:35" ht="15" thickBot="1">
      <c r="A22" s="2277" t="s">
        <v>2137</v>
      </c>
      <c r="B22" s="2436"/>
      <c r="C22" s="2437"/>
      <c r="D22" s="791">
        <f ca="1">IF(C19&lt;D19,D19/C19-1,C19/D19-1)</f>
        <v>0.18538278030795929</v>
      </c>
      <c r="E22" s="138"/>
      <c r="F22" s="138"/>
      <c r="G22" s="138"/>
      <c r="H22" s="138"/>
      <c r="I22" s="138"/>
    </row>
    <row r="23" spans="1:35" ht="14" thickBot="1">
      <c r="A23" s="2414"/>
      <c r="B23" s="2414"/>
      <c r="C23" s="2414"/>
      <c r="D23" s="2414"/>
      <c r="E23" s="138"/>
      <c r="F23" s="138"/>
      <c r="G23" s="138"/>
      <c r="H23" s="138"/>
      <c r="I23" s="138"/>
    </row>
    <row r="24" spans="1:35" ht="14">
      <c r="A24" s="3191" t="s">
        <v>2138</v>
      </c>
      <c r="B24" s="2431" t="s">
        <v>2130</v>
      </c>
      <c r="C24" s="145">
        <f>IF(B30=0,0,D30)</f>
        <v>0</v>
      </c>
      <c r="D24" s="2438"/>
      <c r="E24" s="138"/>
      <c r="F24" s="138"/>
      <c r="G24" s="138"/>
      <c r="H24" s="138"/>
      <c r="I24" s="138"/>
    </row>
    <row r="25" spans="1:35" ht="14">
      <c r="A25" s="3192"/>
      <c r="B25" s="1247" t="s">
        <v>2134</v>
      </c>
      <c r="C25" s="150">
        <f>IF(B30=0,0,C30)</f>
        <v>0</v>
      </c>
      <c r="D25" s="2439"/>
      <c r="E25" s="138"/>
      <c r="F25" s="138"/>
      <c r="G25" s="138"/>
      <c r="H25" s="138"/>
      <c r="I25" s="138"/>
    </row>
    <row r="26" spans="1:35" ht="13.5" customHeight="1">
      <c r="A26" s="2440" t="s">
        <v>2139</v>
      </c>
      <c r="B26" s="151" t="s">
        <v>2140</v>
      </c>
      <c r="C26" s="151" t="s">
        <v>2141</v>
      </c>
      <c r="D26" s="152" t="s">
        <v>2142</v>
      </c>
      <c r="E26" s="138"/>
      <c r="F26" s="138"/>
      <c r="G26" s="138"/>
      <c r="H26" s="138"/>
      <c r="I26" s="138"/>
    </row>
    <row r="27" spans="1:35" ht="14">
      <c r="A27" s="2440"/>
      <c r="B27" s="151">
        <v>0</v>
      </c>
      <c r="C27" s="151">
        <v>0</v>
      </c>
      <c r="D27" s="152">
        <f>ROUND(C27*B27/10000,0)</f>
        <v>0</v>
      </c>
      <c r="E27" s="138"/>
      <c r="F27" s="138"/>
      <c r="G27" s="138"/>
      <c r="H27" s="138"/>
      <c r="I27" s="138"/>
    </row>
    <row r="28" spans="1:35" ht="14">
      <c r="A28" s="2440"/>
      <c r="B28" s="151"/>
      <c r="C28" s="151"/>
      <c r="D28" s="152"/>
      <c r="E28" s="138"/>
      <c r="F28" s="138"/>
      <c r="G28" s="138"/>
      <c r="H28" s="138"/>
      <c r="I28" s="138"/>
    </row>
    <row r="29" spans="1:35" ht="14">
      <c r="A29" s="2440"/>
      <c r="B29" s="151"/>
      <c r="C29" s="151"/>
      <c r="D29" s="152"/>
      <c r="E29" s="138"/>
      <c r="F29" s="138"/>
      <c r="G29" s="138"/>
      <c r="H29" s="138"/>
      <c r="I29" s="138"/>
    </row>
    <row r="30" spans="1:35" ht="14">
      <c r="A30" s="151" t="s">
        <v>2143</v>
      </c>
      <c r="B30" s="151"/>
      <c r="C30" s="151"/>
      <c r="D30" s="151"/>
      <c r="E30" s="2912" t="s">
        <v>3016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2144</v>
      </c>
      <c r="B32" s="2444"/>
      <c r="C32" s="153">
        <f ca="1">IF(D32="总价",G19-C24,G20-C25)</f>
        <v>25192</v>
      </c>
      <c r="D32" s="2445" t="s">
        <v>2145</v>
      </c>
      <c r="E32" s="138"/>
      <c r="F32" s="138"/>
      <c r="G32" s="138"/>
      <c r="H32" s="138"/>
      <c r="I32" s="138"/>
    </row>
    <row r="33" spans="1:15" ht="14">
      <c r="A33" s="957" t="s">
        <v>2146</v>
      </c>
      <c r="B33" s="2446"/>
      <c r="C33" s="2447" t="s">
        <v>3132</v>
      </c>
      <c r="D33" s="2448" t="s">
        <v>3130</v>
      </c>
      <c r="E33" s="2449" t="s">
        <v>2147</v>
      </c>
      <c r="F33" s="2450" t="str">
        <f>IF(D32="楼面单价","取值（单价）","取值（总价）")</f>
        <v>取值（总价）</v>
      </c>
      <c r="G33" s="138"/>
      <c r="H33" s="138"/>
      <c r="I33" s="138"/>
    </row>
    <row r="34" spans="1:15" ht="14">
      <c r="A34" s="2451"/>
      <c r="B34" s="2452" t="s">
        <v>2148</v>
      </c>
      <c r="C34" s="157">
        <f ca="1">IF(C33="自定义",F34,C32-C35)</f>
        <v>20028</v>
      </c>
      <c r="D34" s="1055">
        <f ca="1">IF(C33="自定义",ROUND(C34/C32,3),IF(C33="收益比率",SUMIF(INDIRECT("'"&amp;D33&amp;"'"&amp;"!b:b"),"土地收益比率",INDIRECT("'"&amp;D33&amp;"'"&amp;"!c:c")),SUMIF(INDIRECT("'"&amp;D33&amp;"'"&amp;"!b:b"),"土地成本比率",INDIRECT("'"&amp;D33&amp;"'"&amp;"!c:c"))))</f>
        <v>0.79500000000000004</v>
      </c>
      <c r="E34" s="2453" t="s">
        <v>2149</v>
      </c>
      <c r="F34" s="1735"/>
      <c r="G34" s="138"/>
      <c r="H34" s="138"/>
      <c r="I34" s="138"/>
    </row>
    <row r="35" spans="1:15" ht="15" thickBot="1">
      <c r="A35" s="2454"/>
      <c r="B35" s="2455" t="s">
        <v>2150</v>
      </c>
      <c r="C35" s="1440">
        <f ca="1">IF(C33="自定义",F35,ROUND(C32*D35,0))</f>
        <v>5164</v>
      </c>
      <c r="D35" s="1441">
        <f ca="1">IF(C33="自定义",ROUND(C35/C32,3),IF(C33="收益比率",SUMIF(INDIRECT("'"&amp;D33&amp;"'"&amp;"!b:b"),"建筑物收益比率",INDIRECT("'"&amp;D33&amp;"'"&amp;"!c:c")),SUMIF(INDIRECT("'"&amp;D33&amp;"'"&amp;"!b:b"),"建筑物成本比率",INDIRECT("'"&amp;D33&amp;"'"&amp;"!c:c"))))</f>
        <v>0.20499999999999999</v>
      </c>
      <c r="E35" s="2456" t="s">
        <v>2151</v>
      </c>
      <c r="F35" s="163"/>
      <c r="G35" s="138"/>
      <c r="H35" s="138"/>
      <c r="I35" s="138"/>
    </row>
    <row r="36" spans="1:15" ht="15" thickBot="1">
      <c r="A36" s="3171" t="s">
        <v>2152</v>
      </c>
      <c r="B36" s="2457" t="s">
        <v>2153</v>
      </c>
      <c r="C36" s="154"/>
      <c r="D36" s="2458"/>
      <c r="E36" s="2459"/>
      <c r="F36" s="2460"/>
      <c r="G36" s="138"/>
      <c r="H36" s="138"/>
      <c r="I36" s="138"/>
    </row>
    <row r="37" spans="1:15" ht="15" thickBot="1">
      <c r="A37" s="3172"/>
      <c r="B37" s="2263" t="s">
        <v>2154</v>
      </c>
      <c r="C37" s="156"/>
      <c r="D37" s="1391"/>
      <c r="E37" s="1391"/>
      <c r="F37" s="2460"/>
      <c r="G37" s="138"/>
      <c r="H37" s="138"/>
      <c r="I37" s="138"/>
    </row>
    <row r="38" spans="1:15" ht="15" thickBot="1">
      <c r="A38" s="3173"/>
      <c r="B38" s="2461" t="s">
        <v>2155</v>
      </c>
      <c r="C38" s="727"/>
      <c r="D38" s="2462" t="s">
        <v>2156</v>
      </c>
      <c r="E38" s="1391"/>
      <c r="F38" s="2460"/>
      <c r="G38" s="138"/>
      <c r="H38" s="138"/>
      <c r="I38" s="138"/>
    </row>
    <row r="39" spans="1:15" ht="14">
      <c r="A39" s="2433" t="s">
        <v>2157</v>
      </c>
      <c r="B39" s="2463" t="s">
        <v>2158</v>
      </c>
      <c r="C39" s="2464" t="s">
        <v>2159</v>
      </c>
      <c r="D39" s="2464" t="s">
        <v>2160</v>
      </c>
      <c r="E39" s="2465" t="s">
        <v>2161</v>
      </c>
      <c r="F39" s="2460"/>
      <c r="G39" s="138"/>
      <c r="H39" s="138"/>
      <c r="I39" s="138"/>
    </row>
    <row r="40" spans="1:15" ht="14">
      <c r="A40" s="2466" t="s">
        <v>2162</v>
      </c>
      <c r="B40" s="158"/>
      <c r="C40" s="159"/>
      <c r="D40" s="159"/>
      <c r="E40" s="160"/>
      <c r="F40" s="2460"/>
      <c r="G40" s="138"/>
      <c r="H40" s="138"/>
      <c r="I40" s="138"/>
    </row>
    <row r="41" spans="1:15" ht="14">
      <c r="A41" s="2466" t="s">
        <v>2163</v>
      </c>
      <c r="B41" s="158"/>
      <c r="C41" s="159"/>
      <c r="D41" s="159"/>
      <c r="E41" s="160"/>
      <c r="F41" s="2460"/>
      <c r="G41" s="138"/>
      <c r="H41" s="138"/>
      <c r="I41" s="138"/>
    </row>
    <row r="42" spans="1:15" ht="15" thickBot="1">
      <c r="A42" s="2467"/>
      <c r="B42" s="161"/>
      <c r="C42" s="162"/>
      <c r="D42" s="162"/>
      <c r="E42" s="163"/>
      <c r="F42" s="2460"/>
      <c r="G42" s="138"/>
      <c r="H42" s="138"/>
      <c r="I42" s="138"/>
    </row>
    <row r="43" spans="1:15" ht="13">
      <c r="A43" s="2161"/>
      <c r="B43" s="2161"/>
      <c r="C43" s="2161"/>
      <c r="D43" s="2161"/>
      <c r="E43" s="2161"/>
      <c r="F43" s="2468"/>
      <c r="G43" s="2468"/>
      <c r="H43" s="2468"/>
      <c r="I43" s="2469"/>
    </row>
    <row r="44" spans="1:15" ht="18">
      <c r="A44" s="2470" t="s">
        <v>2164</v>
      </c>
      <c r="B44" s="2471"/>
      <c r="C44" s="2471"/>
      <c r="D44" s="2472"/>
      <c r="E44" s="2472"/>
      <c r="F44" s="2473"/>
      <c r="G44" s="2473"/>
      <c r="H44" s="2473"/>
      <c r="I44" s="2473"/>
      <c r="J44" s="2474" t="s">
        <v>2165</v>
      </c>
      <c r="K44" s="2475"/>
      <c r="L44" s="2475"/>
      <c r="M44" s="2475"/>
      <c r="N44" s="2475"/>
      <c r="O44" s="2475"/>
    </row>
    <row r="45" spans="1:15" ht="14.25" customHeight="1" thickBot="1">
      <c r="A45" s="3188" t="s">
        <v>2166</v>
      </c>
      <c r="B45" s="3189"/>
      <c r="C45" s="3190"/>
      <c r="D45" s="164">
        <f ca="1">ROUND(H101*F45,0)</f>
        <v>25192</v>
      </c>
      <c r="E45" s="165" t="s">
        <v>2167</v>
      </c>
      <c r="F45" s="166">
        <v>1</v>
      </c>
      <c r="G45" s="167" t="s">
        <v>2168</v>
      </c>
      <c r="H45" s="138"/>
      <c r="I45" s="138"/>
      <c r="J45" s="3107" t="s">
        <v>2169</v>
      </c>
      <c r="K45" s="3107"/>
      <c r="L45" s="3107"/>
      <c r="M45" s="3107"/>
      <c r="N45" s="3107"/>
      <c r="O45" s="3107"/>
    </row>
    <row r="46" spans="1:15" ht="14.25" customHeight="1">
      <c r="A46" s="3185" t="s">
        <v>2170</v>
      </c>
      <c r="B46" s="3186"/>
      <c r="C46" s="3186"/>
      <c r="D46" s="3186"/>
      <c r="E46" s="3186"/>
      <c r="F46" s="3186"/>
      <c r="G46" s="3187"/>
      <c r="H46" s="2476"/>
      <c r="I46" s="168"/>
      <c r="J46" s="1808">
        <v>1</v>
      </c>
      <c r="K46" s="3107" t="s">
        <v>2171</v>
      </c>
      <c r="L46" s="3107"/>
      <c r="M46" s="3108"/>
      <c r="N46" s="3108"/>
      <c r="O46" s="3108"/>
    </row>
    <row r="47" spans="1:15" ht="12" customHeight="1">
      <c r="A47" s="169" t="s">
        <v>2172</v>
      </c>
      <c r="B47" s="170"/>
      <c r="C47" s="171"/>
      <c r="D47" s="172" t="s">
        <v>2173</v>
      </c>
      <c r="E47" s="24" t="s">
        <v>2174</v>
      </c>
      <c r="F47" s="173" t="s">
        <v>2175</v>
      </c>
      <c r="G47" s="174" t="s">
        <v>2176</v>
      </c>
      <c r="H47" s="2476"/>
      <c r="I47" s="168"/>
      <c r="J47" s="1808">
        <v>2</v>
      </c>
      <c r="K47" s="3107" t="s">
        <v>2177</v>
      </c>
      <c r="L47" s="3107"/>
      <c r="M47" s="3109">
        <f>'数据-取费表'!B2</f>
        <v>43906</v>
      </c>
      <c r="N47" s="3109"/>
      <c r="O47" s="3109"/>
    </row>
    <row r="48" spans="1:15" ht="30">
      <c r="A48" s="3175" t="s">
        <v>2178</v>
      </c>
      <c r="B48" s="3176"/>
      <c r="C48" s="3176"/>
      <c r="D48" s="140">
        <f>IF(H48="情况1",0,IF(H48="情况2",D52,IF(H48="情况3",D53,IF(H48="情况4",D54))))</f>
        <v>0</v>
      </c>
      <c r="E48" s="1797" t="str">
        <f>IF(H48="情况4","(销售额-原购置价)×税（费）率","销售额×税（费）率")</f>
        <v>销售额×税（费）率</v>
      </c>
      <c r="F48" s="175" t="str">
        <f>IF(H48="情况1","免征",'数据-取费表'!B41)</f>
        <v>免征</v>
      </c>
      <c r="G48" s="2477" t="s">
        <v>2179</v>
      </c>
      <c r="H48" s="2478" t="s">
        <v>2180</v>
      </c>
      <c r="I48" s="2476"/>
      <c r="J48" s="1808">
        <v>3</v>
      </c>
      <c r="K48" s="3107" t="s">
        <v>2181</v>
      </c>
      <c r="L48" s="3107"/>
      <c r="M48" s="3110">
        <f ca="1">H101</f>
        <v>25192</v>
      </c>
      <c r="N48" s="3110"/>
      <c r="O48" s="3110"/>
    </row>
    <row r="49" spans="1:35" ht="25.5" customHeight="1">
      <c r="A49" s="176" t="s">
        <v>2182</v>
      </c>
      <c r="B49" s="3155" t="s">
        <v>2183</v>
      </c>
      <c r="C49" s="3155"/>
      <c r="D49" s="177">
        <v>0</v>
      </c>
      <c r="E49" s="23" t="s">
        <v>2184</v>
      </c>
      <c r="F49" s="28" t="s">
        <v>34</v>
      </c>
      <c r="G49" s="3136"/>
      <c r="H49" s="138"/>
      <c r="I49" s="2479"/>
      <c r="J49" s="1808">
        <v>4</v>
      </c>
      <c r="K49" s="3107" t="str">
        <f>IF(项目基本情况!E8="房地产抵押价值","房地产抵押价值","抵押担保权已注销时的房地产抵押价值")</f>
        <v>抵押担保权已注销时的房地产抵押价值</v>
      </c>
      <c r="L49" s="3107"/>
      <c r="M49" s="3110">
        <f ca="1">IF(项目基本情况!E8="房地产抵押价值",H107,H109)</f>
        <v>25192</v>
      </c>
      <c r="N49" s="3110"/>
      <c r="O49" s="3110"/>
    </row>
    <row r="50" spans="1:35" ht="25.5" customHeight="1">
      <c r="A50" s="178"/>
      <c r="B50" s="3155" t="s">
        <v>2185</v>
      </c>
      <c r="C50" s="3155"/>
      <c r="D50" s="179"/>
      <c r="E50" s="31"/>
      <c r="F50" s="180"/>
      <c r="G50" s="3137"/>
      <c r="H50" s="138"/>
      <c r="I50" s="2479"/>
      <c r="J50" s="3107" t="s">
        <v>2186</v>
      </c>
      <c r="K50" s="3107"/>
      <c r="L50" s="3107"/>
      <c r="M50" s="3107"/>
      <c r="N50" s="3107"/>
      <c r="O50" s="3107"/>
    </row>
    <row r="51" spans="1:35" ht="12" customHeight="1">
      <c r="A51" s="181"/>
      <c r="B51" s="3155" t="s">
        <v>2187</v>
      </c>
      <c r="C51" s="3155"/>
      <c r="D51" s="182"/>
      <c r="E51" s="30"/>
      <c r="F51" s="180"/>
      <c r="G51" s="3138"/>
      <c r="H51" s="138"/>
      <c r="I51" s="2479"/>
      <c r="J51" s="2480" t="s">
        <v>2188</v>
      </c>
      <c r="K51" s="3107" t="s">
        <v>2189</v>
      </c>
      <c r="L51" s="3107"/>
      <c r="M51" s="2480" t="s">
        <v>2190</v>
      </c>
      <c r="N51" s="2480" t="s">
        <v>2191</v>
      </c>
      <c r="O51" s="2480" t="s">
        <v>2192</v>
      </c>
    </row>
    <row r="52" spans="1:35" ht="24" customHeight="1">
      <c r="A52" s="183" t="s">
        <v>2193</v>
      </c>
      <c r="B52" s="3155" t="s">
        <v>2194</v>
      </c>
      <c r="C52" s="3155"/>
      <c r="D52" s="182">
        <f ca="1">ROUND(D45*'数据-取费表'!B41/(1+'数据-取费表'!C42),0)</f>
        <v>1320</v>
      </c>
      <c r="E52" s="11" t="s">
        <v>2195</v>
      </c>
      <c r="F52" s="184">
        <f>'数据-取费表'!B41</f>
        <v>5.5000000000000007E-2</v>
      </c>
      <c r="G52" s="2481"/>
      <c r="H52" s="138"/>
      <c r="I52" s="2479"/>
      <c r="J52" s="1808">
        <v>1</v>
      </c>
      <c r="K52" s="3130" t="s">
        <v>2196</v>
      </c>
      <c r="L52" s="3130"/>
      <c r="M52" s="1750">
        <f>D48</f>
        <v>0</v>
      </c>
      <c r="N52" s="1808" t="str">
        <f>E48</f>
        <v>销售额×税（费）率</v>
      </c>
      <c r="O52" s="1751" t="str">
        <f>F48</f>
        <v>免征</v>
      </c>
    </row>
    <row r="53" spans="1:35" ht="12" customHeight="1">
      <c r="A53" s="183" t="s">
        <v>2197</v>
      </c>
      <c r="B53" s="3156" t="s">
        <v>2198</v>
      </c>
      <c r="C53" s="3157"/>
      <c r="D53" s="182">
        <f ca="1">ROUND(D45*'数据-取费表'!B41/(1+'数据-取费表'!C42),0)</f>
        <v>1320</v>
      </c>
      <c r="E53" s="11" t="s">
        <v>2195</v>
      </c>
      <c r="F53" s="184">
        <f>'数据-取费表'!B41</f>
        <v>5.5000000000000007E-2</v>
      </c>
      <c r="G53" s="2481"/>
      <c r="H53" s="138"/>
      <c r="I53" s="2479"/>
      <c r="J53" s="1808">
        <v>2</v>
      </c>
      <c r="K53" s="3130" t="s">
        <v>2199</v>
      </c>
      <c r="L53" s="3130"/>
      <c r="M53" s="1750">
        <f t="shared" ref="M53:O54" ca="1" si="0">D55</f>
        <v>13</v>
      </c>
      <c r="N53" s="1808" t="str">
        <f t="shared" si="0"/>
        <v>销售额×税（费）率</v>
      </c>
      <c r="O53" s="1751">
        <f t="shared" si="0"/>
        <v>5.0000000000000001E-4</v>
      </c>
    </row>
    <row r="54" spans="1:35" ht="12" customHeight="1">
      <c r="A54" s="183" t="s">
        <v>2200</v>
      </c>
      <c r="B54" s="3156" t="s">
        <v>2201</v>
      </c>
      <c r="C54" s="3157"/>
      <c r="D54" s="182">
        <f ca="1">C68</f>
        <v>1320</v>
      </c>
      <c r="E54" s="30" t="s">
        <v>2202</v>
      </c>
      <c r="F54" s="184">
        <f>'数据-取费表'!B41</f>
        <v>5.5000000000000007E-2</v>
      </c>
      <c r="G54" s="2481"/>
      <c r="H54" s="2482"/>
      <c r="I54" s="2479"/>
      <c r="J54" s="1808">
        <v>3</v>
      </c>
      <c r="K54" s="3130" t="s">
        <v>2203</v>
      </c>
      <c r="L54" s="3130"/>
      <c r="M54" s="1750">
        <f t="shared" ca="1" si="0"/>
        <v>14281</v>
      </c>
      <c r="N54" s="1808" t="str">
        <f t="shared" si="0"/>
        <v>增值额×税（费）率</v>
      </c>
      <c r="O54" s="1752" t="str">
        <f t="shared" si="0"/>
        <v>——</v>
      </c>
    </row>
    <row r="55" spans="1:35" ht="24" customHeight="1">
      <c r="A55" s="3194" t="s">
        <v>2204</v>
      </c>
      <c r="B55" s="3176"/>
      <c r="C55" s="3176"/>
      <c r="D55" s="185">
        <f ca="1">IF(H55="个人住宅",0,ROUND(D45*I55,0))</f>
        <v>13</v>
      </c>
      <c r="E55" s="11" t="s">
        <v>2205</v>
      </c>
      <c r="F55" s="184">
        <f>IF(H55="正常",I55,"免征")</f>
        <v>5.0000000000000001E-4</v>
      </c>
      <c r="G55" s="2481"/>
      <c r="H55" s="2478" t="s">
        <v>2206</v>
      </c>
      <c r="I55" s="186">
        <f>'数据-取费表'!B49</f>
        <v>5.0000000000000001E-4</v>
      </c>
      <c r="J55" s="1808" t="str">
        <f>IF(H59="非个人房产","",4)</f>
        <v/>
      </c>
      <c r="K55" s="3130" t="str">
        <f>IF(H59="非个人房产","——","个人所得税")</f>
        <v>——</v>
      </c>
      <c r="L55" s="3130"/>
      <c r="M55" s="1753" t="str">
        <f>D59</f>
        <v>——</v>
      </c>
      <c r="N55" s="1806" t="str">
        <f>E59</f>
        <v>——</v>
      </c>
      <c r="O55" s="1754" t="str">
        <f>F59</f>
        <v>——</v>
      </c>
    </row>
    <row r="56" spans="1:35" ht="30">
      <c r="A56" s="3194" t="s">
        <v>2207</v>
      </c>
      <c r="B56" s="3176"/>
      <c r="C56" s="3176"/>
      <c r="D56" s="185">
        <f ca="1">IF(H56="个人住宅",D57,D58)</f>
        <v>14281</v>
      </c>
      <c r="E56" s="11" t="s">
        <v>2208</v>
      </c>
      <c r="F56" s="184" t="str">
        <f>IF(H56="正常",F58,"免征")</f>
        <v>——</v>
      </c>
      <c r="G56" s="2483" t="s">
        <v>2209</v>
      </c>
      <c r="H56" s="2484" t="s">
        <v>2206</v>
      </c>
      <c r="I56" s="2485"/>
      <c r="J56" s="1808" t="str">
        <f>IF(项目基本情况!K6="上海银行",IF(J55="",4,J55+1),"")</f>
        <v/>
      </c>
      <c r="K56" s="3113" t="str">
        <f>IF(项目基本情况!K6="上海银行","其他处置费用","")</f>
        <v/>
      </c>
      <c r="L56" s="3114"/>
      <c r="M56" s="1750" t="str">
        <f>IF(项目基本情况!K6="上海银行",M69,"")</f>
        <v/>
      </c>
      <c r="N56" s="3116" t="str">
        <f>IF(项目基本情况!K6="上海银行","包含处置中涉及的律师、诉讼、拍卖、评估等费用","")</f>
        <v/>
      </c>
      <c r="O56" s="3117"/>
    </row>
    <row r="57" spans="1:35" ht="15">
      <c r="A57" s="183" t="s">
        <v>2182</v>
      </c>
      <c r="B57" s="3161" t="s">
        <v>2210</v>
      </c>
      <c r="C57" s="3162"/>
      <c r="D57" s="187">
        <v>0</v>
      </c>
      <c r="E57" s="23" t="s">
        <v>2184</v>
      </c>
      <c r="F57" s="155"/>
      <c r="G57" s="2481"/>
      <c r="H57" s="2485"/>
      <c r="I57" s="2485"/>
      <c r="J57" s="3130">
        <f>IF(AND(J55="",J56=""),4,IF(项目基本情况!K6="上海银行",结果表!J56+1,结果表!J55+1))</f>
        <v>4</v>
      </c>
      <c r="K57" s="3130" t="s">
        <v>2211</v>
      </c>
      <c r="L57" s="2486" t="s">
        <v>2212</v>
      </c>
      <c r="M57" s="1755"/>
      <c r="N57" s="1756">
        <f ca="1">SUMIF(M52:M56,"&lt;9e307")</f>
        <v>14294</v>
      </c>
      <c r="O57" s="2487"/>
      <c r="P57" s="1749">
        <f ca="1">N57/M49</f>
        <v>0.56740234995236583</v>
      </c>
    </row>
    <row r="58" spans="1:35" ht="30">
      <c r="A58" s="183" t="s">
        <v>2193</v>
      </c>
      <c r="B58" s="3161" t="s">
        <v>2213</v>
      </c>
      <c r="C58" s="3174"/>
      <c r="D58" s="185">
        <f ca="1">IF(H58="转让取得",C81,C97)</f>
        <v>14281</v>
      </c>
      <c r="E58" s="11" t="s">
        <v>2208</v>
      </c>
      <c r="F58" s="24" t="s">
        <v>34</v>
      </c>
      <c r="G58" s="2481"/>
      <c r="H58" s="2484" t="s">
        <v>2214</v>
      </c>
      <c r="I58" s="2485"/>
      <c r="J58" s="3130"/>
      <c r="K58" s="3130"/>
      <c r="L58" s="2486" t="s">
        <v>2215</v>
      </c>
      <c r="M58" s="1757"/>
      <c r="N58" s="2488" t="str">
        <f ca="1">NUMBERSTRING(INT(N57*10000),2)&amp;"元整"</f>
        <v>壹亿肆仟贰佰玖拾肆万元整</v>
      </c>
      <c r="O58" s="2489"/>
    </row>
    <row r="59" spans="1:35" ht="31" thickBot="1">
      <c r="A59" s="3134" t="s">
        <v>2216</v>
      </c>
      <c r="B59" s="3135"/>
      <c r="C59" s="3135"/>
      <c r="D59" s="188" t="str">
        <f>IF(H59="非个人房产","——",IF(H59="个人住宅",0,ROUND(D45*I59,0)))</f>
        <v>——</v>
      </c>
      <c r="E59" s="189" t="str">
        <f>IF(H59="非个人房产","——","销售额×税（费）率")</f>
        <v>——</v>
      </c>
      <c r="F59" s="190" t="str">
        <f>IF(H59="非个人房产","——",IF(H59="个人住宅","免征",I59))</f>
        <v>——</v>
      </c>
      <c r="G59" s="2490" t="s">
        <v>2209</v>
      </c>
      <c r="H59" s="2484" t="s">
        <v>2217</v>
      </c>
      <c r="I59" s="191">
        <v>0.01</v>
      </c>
      <c r="J59" s="3132">
        <f>J57+1</f>
        <v>5</v>
      </c>
      <c r="K59" s="3130" t="s">
        <v>2218</v>
      </c>
      <c r="L59" s="1808" t="s">
        <v>2212</v>
      </c>
      <c r="M59" s="1758"/>
      <c r="N59" s="1759">
        <f ca="1">M49-N57</f>
        <v>10898</v>
      </c>
      <c r="O59" s="2491"/>
    </row>
    <row r="60" spans="1:35" ht="12" customHeight="1">
      <c r="A60" s="2492"/>
      <c r="B60" s="2414"/>
      <c r="C60" s="2414"/>
      <c r="D60" s="2414"/>
      <c r="E60" s="2162"/>
      <c r="F60" s="2485"/>
      <c r="G60" s="2485"/>
      <c r="H60" s="2493"/>
      <c r="I60" s="138"/>
      <c r="J60" s="3133"/>
      <c r="K60" s="3130"/>
      <c r="L60" s="2486" t="s">
        <v>2215</v>
      </c>
      <c r="M60" s="1757"/>
      <c r="N60" s="2488" t="str">
        <f ca="1">NUMBERSTRING(INT(N59*10000),2)&amp;"元整"</f>
        <v>壹亿零捌佰玖拾捌万元整</v>
      </c>
      <c r="O60" s="2489"/>
    </row>
    <row r="61" spans="1:35" ht="15" thickBot="1">
      <c r="A61" s="3193" t="s">
        <v>2219</v>
      </c>
      <c r="B61" s="3193"/>
      <c r="C61" s="3193"/>
      <c r="D61" s="3193"/>
      <c r="E61" s="3193"/>
      <c r="F61" s="2485"/>
      <c r="G61" s="2485"/>
      <c r="H61" s="2493"/>
      <c r="I61" s="138"/>
      <c r="J61" s="1808">
        <f>J59+1</f>
        <v>6</v>
      </c>
      <c r="K61" s="3130" t="s">
        <v>2220</v>
      </c>
      <c r="L61" s="3130"/>
      <c r="M61" s="1760"/>
      <c r="N61" s="1761">
        <f ca="1">ROUND(N59*10000/'数据-汇总表'!E3,0)</f>
        <v>7178</v>
      </c>
      <c r="O61" s="2494"/>
    </row>
    <row r="62" spans="1:35" ht="15">
      <c r="A62" s="3150" t="s">
        <v>2221</v>
      </c>
      <c r="B62" s="3151"/>
      <c r="C62" s="1800"/>
      <c r="D62" s="1800" t="s">
        <v>2222</v>
      </c>
      <c r="E62" s="192" t="s">
        <v>2223</v>
      </c>
      <c r="F62" s="2485"/>
      <c r="G62" s="2485"/>
      <c r="H62" s="2493"/>
      <c r="I62" s="138"/>
    </row>
    <row r="63" spans="1:35" ht="15">
      <c r="A63" s="203" t="s">
        <v>775</v>
      </c>
      <c r="B63" s="193" t="s">
        <v>2224</v>
      </c>
      <c r="C63" s="194">
        <f ca="1">ROUND((C64+C65)/(1+'数据-取费表'!C42),0)</f>
        <v>23992</v>
      </c>
      <c r="D63" s="195"/>
      <c r="E63" s="196"/>
      <c r="F63" s="2485"/>
      <c r="G63" s="2485"/>
      <c r="H63" s="2493"/>
      <c r="I63" s="138"/>
      <c r="J63" s="3115" t="s">
        <v>2225</v>
      </c>
      <c r="K63" s="2495" t="s">
        <v>2226</v>
      </c>
      <c r="L63" s="1748">
        <f ca="1">IF(M49&gt;10000,M49*0.5%,IF(AND(M49&gt;1000,M49&lt;=10000),M49*1%,IF(AND(M49&gt;100,M49&lt;=1000),M49*3%,IF(AND(M49&gt;10,M49&lt;=100),M49*5%,M49*8%))))</f>
        <v>125.96000000000001</v>
      </c>
      <c r="M63" s="24">
        <f ca="1">ROUND(L63,1)</f>
        <v>126</v>
      </c>
      <c r="Z63" s="2419"/>
      <c r="AI63" s="2420"/>
    </row>
    <row r="64" spans="1:35" ht="14.25" customHeight="1">
      <c r="A64" s="197" t="s">
        <v>770</v>
      </c>
      <c r="B64" s="198" t="s">
        <v>2227</v>
      </c>
      <c r="C64" s="199">
        <f ca="1">D45</f>
        <v>25192</v>
      </c>
      <c r="D64" s="200" t="s">
        <v>32</v>
      </c>
      <c r="E64" s="201"/>
      <c r="F64" s="2485"/>
      <c r="G64" s="2485"/>
      <c r="H64" s="2493"/>
      <c r="I64" s="138"/>
      <c r="J64" s="3115"/>
      <c r="K64" s="2495" t="s">
        <v>2228</v>
      </c>
      <c r="L64" s="1748">
        <f ca="1">IF(M49&gt;2000,M49*0.5%,IF(AND(M49&gt;1000,M49&lt;=2000),M49*0.6%,IF(AND(M49&gt;500,M49&lt;=1000),M49*0.7%,IF(AND(M49&gt;200,M49&lt;=500),M49*0.8%,IF(AND(M49&gt;100,M49&lt;=200),M49*0.9%,IF(AND(M49&gt;50,M49&lt;=100),M49*1%,IF(AND(M49&gt;20,M49&lt;=50),M49*1.5%,IF(AND(M49&gt;10,M49&lt;=20),M49*2%,IF(AND(M49&gt;1,M49&lt;=10),M49*2.5%)))))))))</f>
        <v>125.96000000000001</v>
      </c>
      <c r="M64" s="24">
        <f t="shared" ref="M64:M65" ca="1" si="1">ROUND(L64,1)</f>
        <v>126</v>
      </c>
      <c r="N64" s="138" t="s">
        <v>2229</v>
      </c>
      <c r="Z64" s="2419"/>
      <c r="AI64" s="2420"/>
    </row>
    <row r="65" spans="1:35" ht="14.25" customHeight="1">
      <c r="A65" s="197" t="s">
        <v>771</v>
      </c>
      <c r="B65" s="198" t="s">
        <v>2230</v>
      </c>
      <c r="C65" s="202"/>
      <c r="D65" s="200"/>
      <c r="E65" s="201"/>
      <c r="F65" s="2485"/>
      <c r="G65" s="2485"/>
      <c r="H65" s="2493"/>
      <c r="I65" s="138"/>
      <c r="J65" s="3115"/>
      <c r="K65" s="2495" t="s">
        <v>2231</v>
      </c>
      <c r="L65" s="1748">
        <f ca="1">IF(M49&gt;1000,M49*0.1%,IF(AND(M49&gt;500,M49&lt;=1000),M49*0.5%,IF(AND(M49&gt;50,M49&lt;=500),M49*1%,IF(AND(M49&gt;1,M49&lt;=50),M49*1.5%))))</f>
        <v>25.192</v>
      </c>
      <c r="M65" s="24">
        <f t="shared" ca="1" si="1"/>
        <v>25.2</v>
      </c>
      <c r="N65" s="138" t="s">
        <v>2229</v>
      </c>
      <c r="Z65" s="2419"/>
      <c r="AI65" s="2420"/>
    </row>
    <row r="66" spans="1:35" ht="14.25" customHeight="1">
      <c r="A66" s="203" t="s">
        <v>772</v>
      </c>
      <c r="B66" s="204" t="s">
        <v>2232</v>
      </c>
      <c r="C66" s="205"/>
      <c r="D66" s="206" t="s">
        <v>32</v>
      </c>
      <c r="E66" s="1772" t="s">
        <v>1366</v>
      </c>
      <c r="F66" s="2485"/>
      <c r="G66" s="2485"/>
      <c r="H66" s="2493"/>
      <c r="I66" s="138"/>
      <c r="J66" s="3115"/>
      <c r="K66" s="2495" t="s">
        <v>2233</v>
      </c>
      <c r="L66" s="1748">
        <f ca="1">M49*0.5%</f>
        <v>125.96000000000001</v>
      </c>
      <c r="M66" s="24">
        <f ca="1">IF(L66&gt;0.5,0.5,ROUND(L66,0))</f>
        <v>0.5</v>
      </c>
      <c r="N66" s="138" t="s">
        <v>2234</v>
      </c>
      <c r="Z66" s="2419"/>
      <c r="AI66" s="2420"/>
    </row>
    <row r="67" spans="1:35" ht="14.25" customHeight="1">
      <c r="A67" s="203" t="s">
        <v>773</v>
      </c>
      <c r="B67" s="204" t="s">
        <v>2235</v>
      </c>
      <c r="C67" s="207">
        <f ca="1">C63-C66</f>
        <v>23992</v>
      </c>
      <c r="D67" s="200" t="s">
        <v>32</v>
      </c>
      <c r="E67" s="201"/>
      <c r="F67" s="2485"/>
      <c r="G67" s="2485"/>
      <c r="H67" s="2493"/>
      <c r="I67" s="138"/>
      <c r="J67" s="3115"/>
      <c r="K67" s="2495" t="s">
        <v>2236</v>
      </c>
      <c r="L67" s="1748">
        <f ca="1">IF(M49&gt;=10000,(8.25+(M49-10000)*0.01%),IF(AND(M49&gt;=8000,M49&lt;10000),(7.85+(M49-8000)*0.02%),IF(AND(M49&gt;=5000,M49&lt;8000),(6.65+(M49-5000)*0.04%),IF(AND(M49&gt;=2000,M49&lt;5000),(4.25+(PM49-2000)*0.08%),IF(AND(M49&gt;=1000,M49&lt;2000),(2.75+(M49-1000)*0.15%),IF(AND(M49&gt;=100,M49&lt;1000),(0.5+(M49-100)*0.25%),IF(AND(M49&gt;0,M49&lt;100),M49*0.5%)))))))</f>
        <v>9.7691999999999997</v>
      </c>
      <c r="M67" s="24">
        <f ca="1">ROUND(L67*0.9,1)</f>
        <v>8.8000000000000007</v>
      </c>
      <c r="Z67" s="2419"/>
      <c r="AI67" s="2420"/>
    </row>
    <row r="68" spans="1:35" ht="14.25" customHeight="1" thickBot="1">
      <c r="A68" s="208" t="s">
        <v>774</v>
      </c>
      <c r="B68" s="209" t="s">
        <v>2237</v>
      </c>
      <c r="C68" s="210">
        <f ca="1">IF(C67&lt;=0,0,ROUND(C67*D68,0))</f>
        <v>1320</v>
      </c>
      <c r="D68" s="211">
        <f>'数据-取费表'!B41</f>
        <v>5.5000000000000007E-2</v>
      </c>
      <c r="E68" s="212"/>
      <c r="F68" s="2485"/>
      <c r="G68" s="2485"/>
      <c r="H68" s="2493"/>
      <c r="I68" s="138"/>
      <c r="J68" s="3115"/>
      <c r="K68" s="2495" t="s">
        <v>2238</v>
      </c>
      <c r="L68" s="1748">
        <f ca="1">IF(M49&gt;10000,M49*0.5%,IF(AND(M49&gt;5000,M49&lt;=10000),M49*1%,IF(AND(M49&gt;1000,M49&lt;=5000),M49*2%,IF(AND(M49&gt;200,M49&lt;=1000),M49*3%,M49*5%))))</f>
        <v>125.96000000000001</v>
      </c>
      <c r="M68" s="24">
        <f ca="1">ROUND(L68,1)</f>
        <v>126</v>
      </c>
      <c r="Z68" s="2419"/>
      <c r="AI68" s="2420"/>
    </row>
    <row r="69" spans="1:35" s="2442" customFormat="1" ht="16.5" customHeight="1">
      <c r="A69" s="2496"/>
      <c r="B69" s="2497"/>
      <c r="C69" s="2498"/>
      <c r="D69" s="2499"/>
      <c r="E69" s="2500"/>
      <c r="F69" s="2162"/>
      <c r="G69" s="2162"/>
      <c r="H69" s="2161"/>
      <c r="I69" s="2414"/>
      <c r="J69" s="3115"/>
      <c r="K69" s="2495" t="s">
        <v>2239</v>
      </c>
      <c r="L69" s="2501"/>
      <c r="M69" s="24">
        <f ca="1">ROUND(SUM(M63:M68),0)</f>
        <v>413</v>
      </c>
      <c r="N69" s="1749">
        <f ca="1">M69/M49</f>
        <v>1.6394093362972373E-2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59" t="s">
        <v>2240</v>
      </c>
      <c r="B70" s="3160"/>
      <c r="C70" s="3160"/>
      <c r="D70" s="3160"/>
      <c r="E70" s="3160"/>
      <c r="F70" s="3160"/>
      <c r="G70" s="3160"/>
      <c r="H70" s="316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5">
      <c r="A71" s="3150" t="s">
        <v>2221</v>
      </c>
      <c r="B71" s="3151"/>
      <c r="C71" s="1800"/>
      <c r="D71" s="1800" t="s">
        <v>2222</v>
      </c>
      <c r="E71" s="213" t="s">
        <v>2223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5">
      <c r="A72" s="203" t="s">
        <v>775</v>
      </c>
      <c r="B72" s="204" t="s">
        <v>2241</v>
      </c>
      <c r="C72" s="207">
        <f ca="1">ROUND(D45/(1+'数据-取费表'!C42),0)</f>
        <v>23992</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5">
      <c r="A73" s="203" t="s">
        <v>772</v>
      </c>
      <c r="B73" s="173" t="s">
        <v>2242</v>
      </c>
      <c r="C73" s="207">
        <f ca="1">C74+C78</f>
        <v>120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30">
      <c r="A74" s="217" t="s">
        <v>770</v>
      </c>
      <c r="B74" s="198" t="s">
        <v>2243</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5">
      <c r="A75" s="217" t="s">
        <v>776</v>
      </c>
      <c r="B75" s="198" t="s">
        <v>2244</v>
      </c>
      <c r="C75" s="218"/>
      <c r="D75" s="200" t="s">
        <v>32</v>
      </c>
      <c r="E75" s="219" t="s">
        <v>2245</v>
      </c>
      <c r="F75" s="2507" t="s">
        <v>2246</v>
      </c>
      <c r="G75" s="219" t="s">
        <v>2247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2248</v>
      </c>
      <c r="C76" s="200">
        <f>IF(F75="购房发票",ROUND(C75*H75*D76,0),0)</f>
        <v>0</v>
      </c>
      <c r="D76" s="222">
        <v>0.05</v>
      </c>
      <c r="E76" s="3156" t="s">
        <v>2249</v>
      </c>
      <c r="F76" s="3155"/>
      <c r="G76" s="3155"/>
      <c r="H76" s="315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2250</v>
      </c>
      <c r="C77" s="200">
        <f>ROUND(IF(G77="个人住宅",0,IF(G77="2016年5月1日前购买",C75*D77,C75*D77/(1+'数据-取费表'!C42))),0)</f>
        <v>0</v>
      </c>
      <c r="D77" s="223">
        <f>'数据-取费表'!B48+'数据-取费表'!B49</f>
        <v>3.0499999999999999E-2</v>
      </c>
      <c r="E77" s="15" t="s">
        <v>2251</v>
      </c>
      <c r="F77" s="224"/>
      <c r="G77" s="2509" t="s">
        <v>2252</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2253</v>
      </c>
      <c r="C78" s="225">
        <f ca="1">ROUND(D45*D78/(1+'数据-取费表'!C42),0)</f>
        <v>120</v>
      </c>
      <c r="D78" s="226">
        <f>'数据-取费表'!B43</f>
        <v>5.000000000000001E-3</v>
      </c>
      <c r="E78" s="3147" t="s">
        <v>2254</v>
      </c>
      <c r="F78" s="3148"/>
      <c r="G78" s="3148"/>
      <c r="H78" s="314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5">
      <c r="A79" s="2511" t="s">
        <v>779</v>
      </c>
      <c r="B79" s="204" t="s">
        <v>2255</v>
      </c>
      <c r="C79" s="207">
        <f ca="1">C72-C73</f>
        <v>23872</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30">
      <c r="A80" s="2511" t="s">
        <v>780</v>
      </c>
      <c r="B80" s="204" t="s">
        <v>2256</v>
      </c>
      <c r="C80" s="227">
        <f ca="1">IF(C79&lt;=0,0,C79/C73)</f>
        <v>198.93333333333334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16" thickBot="1">
      <c r="A81" s="2512" t="s">
        <v>781</v>
      </c>
      <c r="B81" s="209" t="s">
        <v>2257</v>
      </c>
      <c r="C81" s="228">
        <f ca="1">ROUND(IF(C79&lt;=0,0,IF(C80&gt;=200%,C79*60%-C73*35%,IF(C80&gt;=100%,C79*50%-C73*15%,IF(C80&gt;=50%,C79*40%-C73*5%,IF(C80&lt;50%,C79*30%,0))))),0)</f>
        <v>14281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9" t="s">
        <v>2258</v>
      </c>
      <c r="B83" s="3160"/>
      <c r="C83" s="3160"/>
      <c r="D83" s="3160"/>
      <c r="E83" s="3160"/>
      <c r="F83" s="3160"/>
      <c r="G83" s="3160"/>
      <c r="H83" s="316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5">
      <c r="A84" s="3150" t="s">
        <v>2221</v>
      </c>
      <c r="B84" s="3151"/>
      <c r="C84" s="1800"/>
      <c r="D84" s="1800" t="s">
        <v>2222</v>
      </c>
      <c r="E84" s="213" t="s">
        <v>2223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5">
      <c r="A85" s="203" t="s">
        <v>775</v>
      </c>
      <c r="B85" s="204" t="s">
        <v>2241</v>
      </c>
      <c r="C85" s="207">
        <f ca="1">ROUND(D45/(1+'数据-取费表'!C42),0)</f>
        <v>23992</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5">
      <c r="A86" s="203" t="s">
        <v>772</v>
      </c>
      <c r="B86" s="173" t="s">
        <v>2242</v>
      </c>
      <c r="C86" s="207">
        <f ca="1">IF(H88="仅含出让金",C87+C90+C91+C92+C93+C94,C87+C91+C92+C93+C94)</f>
        <v>120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5">
      <c r="A87" s="217" t="s">
        <v>770</v>
      </c>
      <c r="B87" s="198" t="s">
        <v>2259</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5">
      <c r="A88" s="217" t="s">
        <v>776</v>
      </c>
      <c r="B88" s="198" t="s">
        <v>2260</v>
      </c>
      <c r="C88" s="236"/>
      <c r="D88" s="226"/>
      <c r="E88" s="237" t="s">
        <v>2261</v>
      </c>
      <c r="F88" s="1796"/>
      <c r="G88" s="238" t="s">
        <v>2262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5">
      <c r="A89" s="217" t="s">
        <v>777</v>
      </c>
      <c r="B89" s="198" t="s">
        <v>2250</v>
      </c>
      <c r="C89" s="225">
        <f>ROUND(C88*D89,0)</f>
        <v>0</v>
      </c>
      <c r="D89" s="226">
        <f>'数据-取费表'!B48+'数据-取费表'!B49</f>
        <v>3.0499999999999999E-2</v>
      </c>
      <c r="E89" s="237" t="s">
        <v>2263</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5">
      <c r="A90" s="217" t="s">
        <v>771</v>
      </c>
      <c r="B90" s="198" t="s">
        <v>2264</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2265</v>
      </c>
      <c r="B91" s="198" t="s">
        <v>2266</v>
      </c>
      <c r="C91" s="225">
        <f>IF(H91="——",成本法!C33,I91)</f>
        <v>0</v>
      </c>
      <c r="D91" s="226"/>
      <c r="E91" s="3147" t="s">
        <v>2267</v>
      </c>
      <c r="F91" s="3148"/>
      <c r="G91" s="3148"/>
      <c r="H91" s="2514" t="s">
        <v>2268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2269</v>
      </c>
      <c r="B92" s="198" t="s">
        <v>2270</v>
      </c>
      <c r="C92" s="225">
        <f>ROUND((C87+C90+C91)*D92,0)</f>
        <v>0</v>
      </c>
      <c r="D92" s="226">
        <v>0.1</v>
      </c>
      <c r="E92" s="3147" t="s">
        <v>2271</v>
      </c>
      <c r="F92" s="3148"/>
      <c r="G92" s="3148"/>
      <c r="H92" s="314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2272</v>
      </c>
      <c r="B93" s="198" t="s">
        <v>2253</v>
      </c>
      <c r="C93" s="225">
        <f ca="1">ROUND(D45*D93/(1+'数据-取费表'!C42),0)</f>
        <v>120</v>
      </c>
      <c r="D93" s="226">
        <f>'数据-取费表'!B43</f>
        <v>5.000000000000001E-3</v>
      </c>
      <c r="E93" s="3147" t="s">
        <v>2254</v>
      </c>
      <c r="F93" s="3148"/>
      <c r="G93" s="3148"/>
      <c r="H93" s="314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2273</v>
      </c>
      <c r="B94" s="198" t="s">
        <v>2274</v>
      </c>
      <c r="C94" s="236">
        <f>ROUND((C87+C90+C91)*D94,0)</f>
        <v>0</v>
      </c>
      <c r="D94" s="226">
        <v>0.2</v>
      </c>
      <c r="E94" s="3195" t="s">
        <v>2275</v>
      </c>
      <c r="F94" s="3196"/>
      <c r="G94" s="3196"/>
      <c r="H94" s="319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5">
      <c r="A95" s="2511" t="s">
        <v>779</v>
      </c>
      <c r="B95" s="204" t="s">
        <v>2255</v>
      </c>
      <c r="C95" s="207">
        <f ca="1">ROUND(C85-C86,0)</f>
        <v>23872</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30">
      <c r="A96" s="2511" t="s">
        <v>780</v>
      </c>
      <c r="B96" s="204" t="s">
        <v>2256</v>
      </c>
      <c r="C96" s="227">
        <f ca="1">IF(C95&lt;=0,0,C95/C86)</f>
        <v>198.93333333333334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16" thickBot="1">
      <c r="A97" s="2512" t="s">
        <v>781</v>
      </c>
      <c r="B97" s="209" t="s">
        <v>2257</v>
      </c>
      <c r="C97" s="228">
        <f ca="1">ROUND(IF(C95&lt;=0,0,IF(C96&gt;=200%,C95*60%-C86*35%,IF(C96&gt;=100%,C95*50%-C86*15%,IF(C96&gt;=50%,C95*40%-C86*5%,IF(C96&lt;50%,C95*30%,0))))),0)</f>
        <v>14281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2276</v>
      </c>
      <c r="B99" s="2414"/>
      <c r="C99" s="2414"/>
      <c r="D99" s="2414"/>
      <c r="E99" s="2162"/>
      <c r="F99" s="2162"/>
      <c r="G99" s="2162"/>
      <c r="H99" s="2161"/>
      <c r="I99" s="138"/>
    </row>
    <row r="100" spans="1:35" ht="18.75" customHeight="1">
      <c r="A100" s="3099" t="s">
        <v>2277</v>
      </c>
      <c r="B100" s="3100"/>
      <c r="C100" s="3100"/>
      <c r="D100" s="3131"/>
      <c r="E100" s="3100" t="s">
        <v>2278</v>
      </c>
      <c r="F100" s="3100"/>
      <c r="G100" s="3100"/>
      <c r="H100" s="3131"/>
      <c r="I100" s="138"/>
    </row>
    <row r="101" spans="1:35" ht="18.75" customHeight="1">
      <c r="A101" s="3139" t="s">
        <v>2279</v>
      </c>
      <c r="B101" s="3140"/>
      <c r="C101" s="736" t="str">
        <f>C4</f>
        <v>成本法</v>
      </c>
      <c r="D101" s="737" t="str">
        <f>D4</f>
        <v>假设开发法</v>
      </c>
      <c r="E101" s="3111" t="s">
        <v>2280</v>
      </c>
      <c r="F101" s="3112"/>
      <c r="G101" s="2516" t="s">
        <v>2281</v>
      </c>
      <c r="H101" s="1045">
        <f ca="1">H118</f>
        <v>25192</v>
      </c>
      <c r="I101" s="138"/>
    </row>
    <row r="102" spans="1:35" ht="18.75" customHeight="1">
      <c r="A102" s="3141" t="s">
        <v>2282</v>
      </c>
      <c r="B102" s="2516" t="s">
        <v>2281</v>
      </c>
      <c r="C102" s="736">
        <f ca="1">C19</f>
        <v>27329</v>
      </c>
      <c r="D102" s="737">
        <f ca="1">D19</f>
        <v>23055</v>
      </c>
      <c r="E102" s="3111"/>
      <c r="F102" s="3112"/>
      <c r="G102" s="2516" t="s">
        <v>2283</v>
      </c>
      <c r="H102" s="371">
        <f ca="1">I118</f>
        <v>16593</v>
      </c>
      <c r="I102" s="138"/>
    </row>
    <row r="103" spans="1:35" ht="42.75" customHeight="1">
      <c r="A103" s="3141"/>
      <c r="B103" s="2516" t="s">
        <v>2283</v>
      </c>
      <c r="C103" s="738">
        <f ca="1">C20</f>
        <v>18001</v>
      </c>
      <c r="D103" s="739">
        <f ca="1">D20</f>
        <v>15186</v>
      </c>
      <c r="E103" s="3105" t="s">
        <v>2284</v>
      </c>
      <c r="F103" s="3106"/>
      <c r="G103" s="2517" t="s">
        <v>2285</v>
      </c>
      <c r="H103" s="1045">
        <f>IF(D36="正常操作",H104+H105+H106,H105+H106)</f>
        <v>0</v>
      </c>
      <c r="I103" s="138"/>
    </row>
    <row r="104" spans="1:35" ht="18.75" customHeight="1">
      <c r="A104" s="3141" t="s">
        <v>2286</v>
      </c>
      <c r="B104" s="2518" t="s">
        <v>2281</v>
      </c>
      <c r="C104" s="740">
        <f ca="1">H118</f>
        <v>25192</v>
      </c>
      <c r="D104" s="741"/>
      <c r="E104" s="2263" t="s">
        <v>2287</v>
      </c>
      <c r="F104" s="2254"/>
      <c r="G104" s="2517" t="s">
        <v>2285</v>
      </c>
      <c r="H104" s="1046">
        <f>IF(D36="同一抵押权人同一抵押物续贷",C36&amp;"（未扣减，详见特别提示）",C36)</f>
        <v>0</v>
      </c>
      <c r="I104" s="138"/>
    </row>
    <row r="105" spans="1:35" ht="18.75" customHeight="1" thickBot="1">
      <c r="A105" s="3153"/>
      <c r="B105" s="2519" t="s">
        <v>2283</v>
      </c>
      <c r="C105" s="742">
        <f ca="1">I118</f>
        <v>16593</v>
      </c>
      <c r="D105" s="743"/>
      <c r="E105" s="2263" t="s">
        <v>2288</v>
      </c>
      <c r="F105" s="2254"/>
      <c r="G105" s="2517" t="s">
        <v>2285</v>
      </c>
      <c r="H105" s="1046">
        <f>C37</f>
        <v>0</v>
      </c>
      <c r="I105" s="138"/>
    </row>
    <row r="106" spans="1:35" ht="18.75" customHeight="1">
      <c r="A106" s="2414" t="s">
        <v>2289</v>
      </c>
      <c r="B106" s="2414"/>
      <c r="C106" s="2414"/>
      <c r="D106" s="2414"/>
      <c r="E106" s="2520" t="s">
        <v>2290</v>
      </c>
      <c r="F106" s="2254"/>
      <c r="G106" s="2517" t="s">
        <v>2285</v>
      </c>
      <c r="H106" s="1046">
        <f>C38</f>
        <v>0</v>
      </c>
      <c r="I106" s="138"/>
    </row>
    <row r="107" spans="1:35" ht="18.75" customHeight="1">
      <c r="A107" s="138"/>
      <c r="B107" s="138"/>
      <c r="C107" s="138"/>
      <c r="D107" s="138"/>
      <c r="E107" s="3142" t="str">
        <f>IF(项目基本情况!E8="已注销","——","3.房地产抵押价值")</f>
        <v>——</v>
      </c>
      <c r="F107" s="3112"/>
      <c r="G107" s="2516" t="s">
        <v>2281</v>
      </c>
      <c r="H107" s="1045" t="str">
        <f>IF(E107="——","——",H101-H103)</f>
        <v>——</v>
      </c>
      <c r="I107" s="138"/>
    </row>
    <row r="108" spans="1:35" ht="18.75" customHeight="1">
      <c r="A108" s="138"/>
      <c r="B108" s="138"/>
      <c r="C108" s="138"/>
      <c r="D108" s="138"/>
      <c r="E108" s="3142"/>
      <c r="F108" s="3112"/>
      <c r="G108" s="2516" t="s">
        <v>2283</v>
      </c>
      <c r="H108" s="371"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12"/>
      <c r="G109" s="2516" t="s">
        <v>2281</v>
      </c>
      <c r="H109" s="348">
        <f ca="1">IF(E109="——","——",H101-H105-H106)</f>
        <v>25192</v>
      </c>
      <c r="I109" s="138"/>
    </row>
    <row r="110" spans="1:35" ht="18.75" customHeight="1">
      <c r="A110" s="138"/>
      <c r="B110" s="138"/>
      <c r="C110" s="138"/>
      <c r="D110" s="138"/>
      <c r="E110" s="3142"/>
      <c r="F110" s="3112"/>
      <c r="G110" s="2516" t="s">
        <v>2283</v>
      </c>
      <c r="H110" s="371">
        <f ca="1">IF(H109="——","——",ROUND(H109*10000/'数据-汇总表'!E3,0))</f>
        <v>16593</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6" t="s">
        <v>2281</v>
      </c>
      <c r="H111" s="1045" t="str">
        <f>IF(E111="——","——",N59)</f>
        <v>——</v>
      </c>
      <c r="I111" s="138"/>
    </row>
    <row r="112" spans="1:35" ht="18.75" customHeight="1" thickBot="1">
      <c r="A112" s="138"/>
      <c r="B112" s="138"/>
      <c r="C112" s="138"/>
      <c r="D112" s="138"/>
      <c r="E112" s="3145"/>
      <c r="F112" s="3146"/>
      <c r="G112" s="2521" t="s">
        <v>2283</v>
      </c>
      <c r="H112" s="790" t="str">
        <f>IF(E111="——","——",N61)</f>
        <v>——</v>
      </c>
      <c r="I112" s="138"/>
    </row>
    <row r="113" spans="1:11" ht="18.75" customHeight="1">
      <c r="A113" s="138"/>
      <c r="B113" s="138"/>
      <c r="C113" s="138"/>
      <c r="D113" s="138"/>
      <c r="E113" s="3154" t="s">
        <v>2289</v>
      </c>
      <c r="F113" s="3154"/>
      <c r="G113" s="3154"/>
      <c r="H113" s="3154"/>
      <c r="I113" s="138"/>
    </row>
    <row r="114" spans="1:11" ht="3.75" customHeight="1">
      <c r="A114" s="2414"/>
      <c r="B114" s="2414"/>
      <c r="C114" s="2414"/>
      <c r="D114" s="2414"/>
      <c r="E114" s="2492"/>
      <c r="F114" s="2492"/>
      <c r="G114" s="2492"/>
      <c r="H114" s="2492"/>
      <c r="I114" s="2414"/>
    </row>
    <row r="115" spans="1:11" ht="18.75" customHeight="1">
      <c r="A115" s="3167" t="s">
        <v>2291</v>
      </c>
      <c r="B115" s="3168"/>
      <c r="C115" s="3168"/>
      <c r="D115" s="3168"/>
      <c r="E115" s="3168"/>
      <c r="F115" s="3168"/>
      <c r="G115" s="3168"/>
      <c r="H115" s="3168"/>
      <c r="I115" s="3169"/>
    </row>
    <row r="116" spans="1:11" ht="27" customHeight="1">
      <c r="A116" s="3072" t="s">
        <v>2292</v>
      </c>
      <c r="B116" s="3121" t="s">
        <v>2293</v>
      </c>
      <c r="C116" s="3121" t="s">
        <v>2294</v>
      </c>
      <c r="D116" s="3127" t="s">
        <v>2295</v>
      </c>
      <c r="E116" s="3128"/>
      <c r="F116" s="3163" t="s">
        <v>2296</v>
      </c>
      <c r="G116" s="3163"/>
      <c r="H116" s="3072" t="s">
        <v>2297</v>
      </c>
      <c r="I116" s="3072"/>
    </row>
    <row r="117" spans="1:11" ht="18.75" customHeight="1">
      <c r="A117" s="3072"/>
      <c r="B117" s="3122"/>
      <c r="C117" s="3122"/>
      <c r="D117" s="1794" t="s">
        <v>2298</v>
      </c>
      <c r="E117" s="1794" t="s">
        <v>2299</v>
      </c>
      <c r="F117" s="1794" t="s">
        <v>2298</v>
      </c>
      <c r="G117" s="1794" t="s">
        <v>2300</v>
      </c>
      <c r="H117" s="1794" t="s">
        <v>2298</v>
      </c>
      <c r="I117" s="1794" t="s">
        <v>2300</v>
      </c>
    </row>
    <row r="118" spans="1:11" ht="75" customHeight="1">
      <c r="A118" s="2522" t="str">
        <f>项目基本情况!S2</f>
        <v>北京市出让国有建设用地使用权及在建建筑物房地产</v>
      </c>
      <c r="B118" s="1794">
        <f>M18</f>
        <v>15182.239999999998</v>
      </c>
      <c r="C118" s="1794">
        <f>M19</f>
        <v>5095.4399999999996</v>
      </c>
      <c r="D118" s="1794">
        <f ca="1">ROUND(IF(D32="总价",C34,E118*B118/10000),0)</f>
        <v>20028</v>
      </c>
      <c r="E118" s="1794">
        <f ca="1">ROUND(IF(C33="自定义",IF(D32="楼面单价",C34,D118*10000/B118),I118-G118),0)</f>
        <v>13192</v>
      </c>
      <c r="F118" s="1794">
        <f ca="1">ROUND(IF(D32="总价",C35,G118*B118/10000),0)</f>
        <v>5164</v>
      </c>
      <c r="G118" s="1794">
        <f ca="1">ROUND(IF(D32="楼面单价",C35,F118*10000/B118),0)</f>
        <v>3401</v>
      </c>
      <c r="H118" s="1794">
        <f ca="1">ROUND(IF(D32="总价",C32,I118*B118/10000),0)</f>
        <v>25192</v>
      </c>
      <c r="I118" s="1794">
        <f ca="1">ROUND(IF(D32="楼面单价",C32,H118*10000/B118),0)</f>
        <v>16593</v>
      </c>
    </row>
    <row r="119" spans="1:11" ht="18.75" customHeight="1">
      <c r="A119" s="3072" t="s">
        <v>2301</v>
      </c>
      <c r="B119" s="3072"/>
      <c r="C119" s="3072"/>
      <c r="D119" s="3123" t="str">
        <f ca="1">NUMBERSTRING(INT(D118*10000),2)&amp;"元整"</f>
        <v>贰亿零贰拾捌万元整</v>
      </c>
      <c r="E119" s="3124"/>
      <c r="F119" s="3123" t="str">
        <f ca="1">NUMBERSTRING(INT(F118*10000),2)&amp;"元整"</f>
        <v>伍仟壹佰陆拾肆万元整</v>
      </c>
      <c r="G119" s="3124"/>
      <c r="H119" s="3123" t="str">
        <f ca="1">NUMBERSTRING(INT(H118*10000),2)&amp;"元整"</f>
        <v>贰亿伍仟壹佰玖拾贰万元整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19" t="str">
        <f>IF(D120=0,"故，本次评估不存在"&amp;A120,"故，本次评估"&amp;A120&amp;"为人民币"&amp;D120&amp;"万元整。")</f>
        <v>故，本次评估不存在估价师知悉的法定优先受偿款</v>
      </c>
    </row>
    <row r="121" spans="1:11" ht="18.75" customHeight="1">
      <c r="A121" s="3164" t="s">
        <v>2301</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
      </c>
      <c r="B122" s="3129"/>
      <c r="C122" s="3129"/>
      <c r="D122" s="3118" t="str">
        <f>H107</f>
        <v>——</v>
      </c>
      <c r="E122" s="3119"/>
      <c r="F122" s="3119"/>
      <c r="G122" s="3119"/>
      <c r="H122" s="3119"/>
      <c r="I122" s="3120"/>
    </row>
    <row r="123" spans="1:11" ht="18.75" customHeight="1">
      <c r="A123" s="3072" t="s">
        <v>2301</v>
      </c>
      <c r="B123" s="3072"/>
      <c r="C123" s="3072"/>
      <c r="D123" s="3123" t="e">
        <f>NUMBERSTRING(INT(D122*10000),2)&amp;"元整"</f>
        <v>#VALUE!</v>
      </c>
      <c r="E123" s="3125"/>
      <c r="F123" s="3125"/>
      <c r="G123" s="3125"/>
      <c r="H123" s="3125"/>
      <c r="I123" s="3124"/>
    </row>
    <row r="124" spans="1:11" ht="18.75" customHeight="1">
      <c r="A124" s="3129" t="str">
        <f>IF(项目基本情况!B9="房地产市场价值","",MID(E109,3,LEN(E109)-2))</f>
        <v>抵押担保权已注销时的房地产抵押价值</v>
      </c>
      <c r="B124" s="3129"/>
      <c r="C124" s="3129"/>
      <c r="D124" s="3118">
        <f ca="1">H109</f>
        <v>25192</v>
      </c>
      <c r="E124" s="3119"/>
      <c r="F124" s="3119"/>
      <c r="G124" s="3119"/>
      <c r="H124" s="3119"/>
      <c r="I124" s="3120"/>
    </row>
    <row r="125" spans="1:11" ht="18.75" customHeight="1">
      <c r="A125" s="3072" t="s">
        <v>2301</v>
      </c>
      <c r="B125" s="3072"/>
      <c r="C125" s="3072"/>
      <c r="D125" s="3123" t="str">
        <f ca="1">NUMBERSTRING(INT(D124*10000),2)&amp;"元整"</f>
        <v>贰亿伍仟壹佰玖拾贰万元整</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2" t="s">
        <v>2301</v>
      </c>
      <c r="B127" s="3072"/>
      <c r="C127" s="3072"/>
      <c r="D127" s="3123" t="e">
        <f>NUMBERSTRING(INT(D126*10000),2)&amp;"元整"</f>
        <v>#VALUE!</v>
      </c>
      <c r="E127" s="3125"/>
      <c r="F127" s="3125"/>
      <c r="G127" s="3125"/>
      <c r="H127" s="3125"/>
      <c r="I127" s="3124"/>
    </row>
    <row r="128" spans="1:11" ht="21.75" customHeight="1">
      <c r="A128" s="3126" t="s">
        <v>2302</v>
      </c>
      <c r="B128" s="3126"/>
      <c r="C128" s="3126"/>
      <c r="D128" s="3126"/>
      <c r="E128" s="3126"/>
      <c r="F128" s="3126"/>
      <c r="G128" s="3126"/>
      <c r="H128" s="3126"/>
      <c r="I128" s="3126"/>
    </row>
    <row r="129" spans="1:35" ht="21.75" customHeight="1">
      <c r="A129" s="2523" t="s">
        <v>2303</v>
      </c>
      <c r="B129" s="2524"/>
      <c r="C129" s="2525" t="s">
        <v>2304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2305</v>
      </c>
      <c r="G135" s="2540"/>
      <c r="H135" s="2540"/>
      <c r="I135" s="2541" t="s">
        <v>2306</v>
      </c>
    </row>
    <row r="136" spans="1:35" ht="21.75" customHeight="1">
      <c r="A136" s="795"/>
      <c r="B136" s="2542"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2308</v>
      </c>
    </row>
    <row r="139" spans="1:35" ht="21.75" customHeight="1">
      <c r="A139" s="795"/>
      <c r="B139" s="2542" t="s">
        <v>2309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2308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E23" sqref="E23"/>
    </sheetView>
  </sheetViews>
  <sheetFormatPr baseColWidth="10" defaultColWidth="9" defaultRowHeight="14"/>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0" t="str">
        <f>项目基本情况!B5</f>
        <v>北京星华蓝光置业有限公司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opLeftCell="A40" workbookViewId="0">
      <selection activeCell="C52" sqref="C52"/>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2310</v>
      </c>
      <c r="B1" s="1935"/>
      <c r="C1" s="242"/>
      <c r="D1" s="242"/>
      <c r="E1" s="242"/>
      <c r="F1" s="242"/>
      <c r="G1" s="1378">
        <f>MATCH(B1,'数据-取费表'!A6:A16,0)+5</f>
        <v>7</v>
      </c>
    </row>
    <row r="2" spans="1:9" s="244" customFormat="1" ht="18" customHeight="1">
      <c r="A2" s="245" t="s">
        <v>2311</v>
      </c>
      <c r="B2" s="246">
        <f ca="1">IF(D2="——",C52,C52-E2)</f>
        <v>27329</v>
      </c>
      <c r="C2" s="243" t="s">
        <v>2312</v>
      </c>
      <c r="D2" s="2545" t="s">
        <v>70</v>
      </c>
      <c r="E2" s="1439" t="e">
        <f ca="1">SUMIF(INDIRECT("'"&amp;G2&amp;"'"&amp;"!A:A"),"承租人权益价值",INDIRECT("'"&amp;G2&amp;"'"&amp;"!c:c"))</f>
        <v>#REF!</v>
      </c>
      <c r="F2" s="2546" t="s">
        <v>2312</v>
      </c>
      <c r="G2" s="2547"/>
    </row>
    <row r="3" spans="1:9" s="244" customFormat="1" ht="18" customHeight="1" thickBot="1">
      <c r="A3" s="247" t="s">
        <v>2313</v>
      </c>
      <c r="B3" s="248">
        <f ca="1">ROUND(B2*10000/(IF(B1="",'数据-汇总表'!E3,INDIRECT("'数据-取费表'!k"&amp;$G$1))),0)</f>
        <v>18001</v>
      </c>
      <c r="C3" s="243" t="s">
        <v>2314</v>
      </c>
      <c r="D3" s="243"/>
      <c r="E3" s="243"/>
      <c r="F3" s="243"/>
      <c r="G3" s="243"/>
    </row>
    <row r="4" spans="1:9" s="252" customFormat="1" ht="16">
      <c r="A4" s="249" t="s">
        <v>2315</v>
      </c>
      <c r="B4" s="250"/>
      <c r="C4" s="250"/>
      <c r="D4" s="250"/>
      <c r="E4" s="250"/>
      <c r="F4" s="250"/>
      <c r="G4" s="251"/>
    </row>
    <row r="5" spans="1:9" s="258" customFormat="1" ht="13.5" customHeight="1">
      <c r="A5" s="299" t="s">
        <v>2316</v>
      </c>
      <c r="B5" s="254" t="s">
        <v>2317</v>
      </c>
      <c r="C5" s="255">
        <f ca="1">C6+C7+C8</f>
        <v>16591</v>
      </c>
      <c r="D5" s="255" t="s">
        <v>2318</v>
      </c>
      <c r="E5" s="256" t="s">
        <v>2319</v>
      </c>
      <c r="F5" s="256" t="s">
        <v>2320</v>
      </c>
      <c r="G5" s="257"/>
    </row>
    <row r="6" spans="1:9" s="258" customFormat="1" ht="13.5" customHeight="1">
      <c r="A6" s="949" t="s">
        <v>2321</v>
      </c>
      <c r="B6" s="259" t="s">
        <v>2322</v>
      </c>
      <c r="C6" s="260">
        <f ca="1">'基准地价修正-商业'!B2+'基准地价修正-办公'!B2</f>
        <v>15805</v>
      </c>
      <c r="D6" s="261"/>
      <c r="E6" s="262"/>
      <c r="F6" s="262"/>
      <c r="G6" s="263"/>
    </row>
    <row r="7" spans="1:9" s="258" customFormat="1" ht="13.5" customHeight="1">
      <c r="A7" s="949" t="s">
        <v>2323</v>
      </c>
      <c r="B7" s="259" t="s">
        <v>2324</v>
      </c>
      <c r="C7" s="264">
        <f ca="1">ROUND(C6*F7,0)</f>
        <v>482</v>
      </c>
      <c r="D7" s="264"/>
      <c r="E7" s="262"/>
      <c r="F7" s="265">
        <f>IF(项目基本情况!B8="出让",0,'数据-取费表'!B48+'数据-取费表'!B49)</f>
        <v>3.0499999999999999E-2</v>
      </c>
      <c r="G7" s="263"/>
    </row>
    <row r="8" spans="1:9" s="267" customFormat="1" ht="14">
      <c r="A8" s="949" t="s">
        <v>2325</v>
      </c>
      <c r="B8" s="259" t="s">
        <v>2326</v>
      </c>
      <c r="C8" s="264">
        <f ca="1">IF(G8="已包含在土地购买价格中","0",IF(B1="",'数据-取费表'!B29,IF(G9="全部缴纳",C9+C10,H9)))</f>
        <v>304</v>
      </c>
      <c r="D8" s="266"/>
      <c r="E8" s="264"/>
      <c r="F8" s="265"/>
      <c r="G8" s="2548" t="s">
        <v>3112</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160</v>
      </c>
      <c r="F9" s="265"/>
      <c r="G9" s="2549" t="s">
        <v>3113</v>
      </c>
      <c r="H9" s="1389"/>
      <c r="I9" s="2550" t="s">
        <v>2328</v>
      </c>
    </row>
    <row r="10" spans="1:9" s="258" customFormat="1" ht="13.5" customHeight="1">
      <c r="A10" s="950" t="s">
        <v>801</v>
      </c>
      <c r="B10" s="268" t="s">
        <v>2329</v>
      </c>
      <c r="C10" s="269">
        <f ca="1">ROUND(D10*E10/10000,0)</f>
        <v>304</v>
      </c>
      <c r="D10" s="1032">
        <f ca="1">IF(B1="",'数据-汇总表'!E6,IF(INDIRECT("'数据-取费表'!c"&amp;$G$1)="住宅",INDIRECT("'数据-取费表'!s"&amp;$G$1),INDIRECT("'数据-取费表'!k"&amp;$G$1)+INDIRECT("'数据-取费表'!s"&amp;$G$1)))</f>
        <v>15182.239999999998</v>
      </c>
      <c r="E10" s="269">
        <f>'数据-取费表'!B28</f>
        <v>200</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15182.239999999998</v>
      </c>
      <c r="E19" s="255">
        <f>'数据-取费表'!B31</f>
        <v>200</v>
      </c>
      <c r="F19" s="275"/>
      <c r="G19" s="2548" t="s">
        <v>3114</v>
      </c>
    </row>
    <row r="20" spans="1:7" s="258" customFormat="1" ht="13.5" customHeight="1">
      <c r="A20" s="299" t="s">
        <v>2342</v>
      </c>
      <c r="B20" s="254" t="s">
        <v>2343</v>
      </c>
      <c r="C20" s="276">
        <f ca="1">ROUND((C5+C19)*F20,0)</f>
        <v>498</v>
      </c>
      <c r="D20" s="276"/>
      <c r="E20" s="276"/>
      <c r="F20" s="277">
        <f>'数据-取费表'!B37</f>
        <v>0.03</v>
      </c>
      <c r="G20" s="278" t="s">
        <v>2344</v>
      </c>
    </row>
    <row r="21" spans="1:7" s="258" customFormat="1" ht="13.5" customHeight="1">
      <c r="A21" s="299" t="s">
        <v>2345</v>
      </c>
      <c r="B21" s="254" t="s">
        <v>2346</v>
      </c>
      <c r="C21" s="279">
        <f>F21</f>
        <v>0.03</v>
      </c>
      <c r="D21" s="280" t="s">
        <v>2347</v>
      </c>
      <c r="E21" s="276"/>
      <c r="F21" s="277">
        <f>'数据-取费表'!B38</f>
        <v>0.03</v>
      </c>
      <c r="G21" s="278" t="s">
        <v>2348</v>
      </c>
    </row>
    <row r="22" spans="1:7" s="258" customFormat="1" ht="13.5" customHeight="1">
      <c r="A22" s="299" t="s">
        <v>2349</v>
      </c>
      <c r="B22" s="254" t="s">
        <v>2350</v>
      </c>
      <c r="C22" s="1353">
        <f ca="1">ROUND(SUM(C23:C25),0)</f>
        <v>1214</v>
      </c>
      <c r="D22" s="279">
        <f ca="1">C26</f>
        <v>1.1000000000000001E-3</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4">
        <f ca="1">ROUND(IF('数据-取费表'!B22&lt;=1,C5*F22*'数据-取费表'!B23,C5*(POWER((1+F22),'数据-取费表'!B23)-1)),0)</f>
        <v>1196</v>
      </c>
      <c r="D23" s="282"/>
      <c r="E23" s="282"/>
      <c r="F23" s="283"/>
      <c r="G23" s="284" t="s">
        <v>2353</v>
      </c>
    </row>
    <row r="24" spans="1:7" s="258" customFormat="1" ht="13.5" customHeight="1">
      <c r="A24" s="951" t="s">
        <v>2354</v>
      </c>
      <c r="B24" s="259" t="s">
        <v>2355</v>
      </c>
      <c r="C24" s="1354">
        <f ca="1">ROUND(IF('数据-取费表'!B22&lt;=1,C19*F22*('数据-取费表'!B19/2+'数据-取费表'!B21),C19*(POWER((1+F22),('数据-取费表'!B19/2+'数据-取费表'!B21))-1)),0)</f>
        <v>0</v>
      </c>
      <c r="D24" s="282"/>
      <c r="E24" s="282"/>
      <c r="F24" s="283"/>
      <c r="G24" s="284" t="s">
        <v>2356</v>
      </c>
    </row>
    <row r="25" spans="1:7" s="258" customFormat="1" ht="30">
      <c r="A25" s="951" t="s">
        <v>2357</v>
      </c>
      <c r="B25" s="259" t="s">
        <v>2358</v>
      </c>
      <c r="C25" s="1354">
        <f ca="1">ROUND(IF('数据-取费表'!B22&lt;=1,C20*F22*'数据-取费表'!B23/2,C20*(POWER((1+F22),'数据-取费表'!B23/2)-1)),0)</f>
        <v>18</v>
      </c>
      <c r="D25" s="282"/>
      <c r="E25" s="285"/>
      <c r="F25" s="283"/>
      <c r="G25" s="286" t="s">
        <v>2359</v>
      </c>
    </row>
    <row r="26" spans="1:7" s="258" customFormat="1" ht="14">
      <c r="A26" s="951" t="s">
        <v>795</v>
      </c>
      <c r="B26" s="259" t="s">
        <v>2360</v>
      </c>
      <c r="C26" s="282">
        <f ca="1">ROUND(IF('数据-取费表'!B22&lt;=1,F21*F22*'数据-取费表'!B23/2,F21*(POWER((1+F22),'数据-取费表'!B23/2)-1)),4)</f>
        <v>1.1000000000000001E-3</v>
      </c>
      <c r="D26" s="282"/>
      <c r="E26" s="285"/>
      <c r="F26" s="283"/>
      <c r="G26" s="287"/>
    </row>
    <row r="27" spans="1:7" s="258" customFormat="1" ht="30">
      <c r="A27" s="299" t="s">
        <v>2361</v>
      </c>
      <c r="B27" s="288" t="s">
        <v>2362</v>
      </c>
      <c r="C27" s="289">
        <f ca="1">C28</f>
        <v>1538</v>
      </c>
      <c r="D27" s="279">
        <f ca="1">C29</f>
        <v>2.7000000000000001E-3</v>
      </c>
      <c r="E27" s="280" t="s">
        <v>2363</v>
      </c>
      <c r="F27" s="290">
        <f ca="1">IF(B1="",'数据-取费表'!Q16,INDIRECT("'数据-取费表'!q"&amp;$G$1))</f>
        <v>0.15</v>
      </c>
      <c r="G27" s="291" t="s">
        <v>2364</v>
      </c>
    </row>
    <row r="28" spans="1:7" s="258" customFormat="1" ht="13.5" customHeight="1">
      <c r="A28" s="951" t="s">
        <v>791</v>
      </c>
      <c r="B28" s="292" t="s">
        <v>2365</v>
      </c>
      <c r="C28" s="293">
        <f ca="1">ROUND((C5+C19+C20)*F27*'数据-取费表'!B21/'数据-取费表'!B20,0)</f>
        <v>1538</v>
      </c>
      <c r="D28" s="279"/>
      <c r="E28" s="280"/>
      <c r="F28" s="290"/>
      <c r="G28" s="291"/>
    </row>
    <row r="29" spans="1:7" s="258" customFormat="1" ht="13.5" customHeight="1">
      <c r="A29" s="951" t="s">
        <v>792</v>
      </c>
      <c r="B29" s="292" t="s">
        <v>2366</v>
      </c>
      <c r="C29" s="282">
        <f ca="1">ROUND(C21*F27*'数据-取费表'!B21/'数据-取费表'!B20,4)</f>
        <v>2.7000000000000001E-3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21713</v>
      </c>
      <c r="D31" s="274"/>
      <c r="E31" s="255"/>
      <c r="F31" s="294"/>
      <c r="G31" s="278" t="s">
        <v>2371</v>
      </c>
    </row>
    <row r="32" spans="1:7" s="252" customFormat="1" ht="16">
      <c r="A32" s="296" t="s">
        <v>2372</v>
      </c>
      <c r="B32" s="297"/>
      <c r="C32" s="297"/>
      <c r="D32" s="297"/>
      <c r="E32" s="297"/>
      <c r="F32" s="297"/>
      <c r="G32" s="298"/>
    </row>
    <row r="33" spans="1:7" s="258" customFormat="1" ht="13.5" customHeight="1">
      <c r="A33" s="299" t="s">
        <v>782</v>
      </c>
      <c r="B33" s="254" t="s">
        <v>2373</v>
      </c>
      <c r="C33" s="300">
        <f ca="1">SUM(C34:C38)</f>
        <v>4195</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3796</v>
      </c>
      <c r="D34" s="261"/>
      <c r="E34" s="264"/>
      <c r="F34" s="301">
        <f ca="1">IF('数据-取费表'!B24=0,1,IF(B1="",'数据-取费表'!N16,INDIRECT("'数据-取费表'!n"&amp;$G$1)))</f>
        <v>0.5</v>
      </c>
      <c r="G34" s="263" t="s">
        <v>2375</v>
      </c>
    </row>
    <row r="35" spans="1:7" ht="13.5" customHeight="1">
      <c r="A35" s="951" t="s">
        <v>796</v>
      </c>
      <c r="B35" s="259" t="s">
        <v>2376</v>
      </c>
      <c r="C35" s="264">
        <f ca="1">ROUND(C34*F35,0)</f>
        <v>190</v>
      </c>
      <c r="D35" s="264"/>
      <c r="E35" s="264"/>
      <c r="F35" s="303">
        <f>'数据-取费表'!B33</f>
        <v>0.05</v>
      </c>
      <c r="G35" s="263" t="s">
        <v>2377</v>
      </c>
    </row>
    <row r="36" spans="1:7" ht="30">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152</v>
      </c>
      <c r="D37" s="261">
        <f ca="1">D19</f>
        <v>15182.239999999998</v>
      </c>
      <c r="E37" s="293">
        <f>'数据-取费表'!B35</f>
        <v>200</v>
      </c>
      <c r="F37" s="303"/>
      <c r="G37" s="305" t="s">
        <v>2381</v>
      </c>
    </row>
    <row r="38" spans="1:7" ht="13.5" customHeight="1">
      <c r="A38" s="951" t="s">
        <v>799</v>
      </c>
      <c r="B38" s="259" t="s">
        <v>2382</v>
      </c>
      <c r="C38" s="264">
        <f ca="1">ROUND(C34*F38,0)</f>
        <v>57</v>
      </c>
      <c r="D38" s="264"/>
      <c r="E38" s="264"/>
      <c r="F38" s="303">
        <f>'数据-取费表'!B36</f>
        <v>1.4999999999999999E-2</v>
      </c>
      <c r="G38" s="263" t="s">
        <v>2377</v>
      </c>
    </row>
    <row r="39" spans="1:7" s="258" customFormat="1" ht="13.5" customHeight="1">
      <c r="A39" s="299" t="s">
        <v>2383</v>
      </c>
      <c r="B39" s="254" t="s">
        <v>2384</v>
      </c>
      <c r="C39" s="276">
        <f ca="1">ROUND(C33*F20,0)</f>
        <v>126</v>
      </c>
      <c r="D39" s="276"/>
      <c r="E39" s="276"/>
      <c r="F39" s="277"/>
      <c r="G39" s="278" t="s">
        <v>2385</v>
      </c>
    </row>
    <row r="40" spans="1:7" s="258" customFormat="1" ht="13.5" customHeight="1">
      <c r="A40" s="299" t="s">
        <v>2386</v>
      </c>
      <c r="B40" s="254" t="s">
        <v>2387</v>
      </c>
      <c r="C40" s="1727">
        <f>F21</f>
        <v>0.03</v>
      </c>
      <c r="D40" s="280" t="s">
        <v>2388</v>
      </c>
      <c r="E40" s="276"/>
      <c r="F40" s="277"/>
      <c r="G40" s="278" t="s">
        <v>2389</v>
      </c>
    </row>
    <row r="41" spans="1:7" s="258" customFormat="1" ht="13.5" customHeight="1">
      <c r="A41" s="299" t="s">
        <v>2390</v>
      </c>
      <c r="B41" s="254" t="s">
        <v>2391</v>
      </c>
      <c r="C41" s="276">
        <f ca="1">ROUND(SUM(C42:C43),0)</f>
        <v>153</v>
      </c>
      <c r="D41" s="279">
        <f ca="1">C44</f>
        <v>1.1000000000000001E-3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149</v>
      </c>
      <c r="D42" s="282"/>
      <c r="E42" s="282"/>
      <c r="F42" s="283"/>
      <c r="G42" s="3198" t="s">
        <v>2393</v>
      </c>
    </row>
    <row r="43" spans="1:7" ht="13.5" customHeight="1">
      <c r="A43" s="951" t="s">
        <v>792</v>
      </c>
      <c r="B43" s="259" t="s">
        <v>2394</v>
      </c>
      <c r="C43" s="282">
        <f ca="1">ROUND(IF('数据-取费表'!B22&lt;=1,C39*F22*'数据-取费表'!B21/2,C39*(POWER((1+F22),'数据-取费表'!B21/2)-1)),0)</f>
        <v>4</v>
      </c>
      <c r="D43" s="282"/>
      <c r="E43" s="282"/>
      <c r="F43" s="283"/>
      <c r="G43" s="3199"/>
    </row>
    <row r="44" spans="1:7" ht="13.5" customHeight="1">
      <c r="A44" s="951" t="s">
        <v>793</v>
      </c>
      <c r="B44" s="259" t="s">
        <v>2395</v>
      </c>
      <c r="C44" s="282">
        <f ca="1">ROUND(IF('数据-取费表'!B22&lt;=1,C40*F22*'数据-取费表'!B21/2,C40*(POWER((1+F22),'数据-取费表'!B21/2)-1)),4)</f>
        <v>1.1000000000000001E-3</v>
      </c>
      <c r="D44" s="282"/>
      <c r="E44" s="282"/>
      <c r="F44" s="283"/>
      <c r="G44" s="3200"/>
    </row>
    <row r="45" spans="1:7" s="258" customFormat="1" ht="13.5" customHeight="1">
      <c r="A45" s="299" t="s">
        <v>2396</v>
      </c>
      <c r="B45" s="288" t="s">
        <v>2362</v>
      </c>
      <c r="C45" s="289">
        <f ca="1">C46</f>
        <v>648</v>
      </c>
      <c r="D45" s="279">
        <f ca="1">C47</f>
        <v>4.4999999999999997E-3</v>
      </c>
      <c r="E45" s="280" t="s">
        <v>2388</v>
      </c>
      <c r="F45" s="290"/>
      <c r="G45" s="291" t="s">
        <v>2397</v>
      </c>
    </row>
    <row r="46" spans="1:7" s="258" customFormat="1" ht="13.5" customHeight="1">
      <c r="A46" s="951" t="s">
        <v>791</v>
      </c>
      <c r="B46" s="292" t="s">
        <v>2398</v>
      </c>
      <c r="C46" s="293">
        <f ca="1">ROUND((C33+C39)*F27,0)</f>
        <v>648</v>
      </c>
      <c r="D46" s="307"/>
      <c r="E46" s="280"/>
      <c r="F46" s="290"/>
      <c r="G46" s="291"/>
    </row>
    <row r="47" spans="1:7" s="258" customFormat="1" ht="13.5" customHeight="1">
      <c r="A47" s="951" t="s">
        <v>792</v>
      </c>
      <c r="B47" s="292" t="s">
        <v>2399</v>
      </c>
      <c r="C47" s="282">
        <f ca="1">ROUND(C40*F27,4)</f>
        <v>4.4999999999999997E-3</v>
      </c>
      <c r="D47" s="307"/>
      <c r="E47" s="280"/>
      <c r="F47" s="290"/>
      <c r="G47" s="291"/>
    </row>
    <row r="48" spans="1:7" s="258" customFormat="1" ht="13.5" customHeight="1">
      <c r="A48" s="299" t="s">
        <v>2361</v>
      </c>
      <c r="B48" s="254" t="s">
        <v>2400</v>
      </c>
      <c r="C48" s="1727">
        <f>ROUND(F30/(1+'数据-取费表'!C42),4)</f>
        <v>5.2400000000000002E-2</v>
      </c>
      <c r="D48" s="280" t="s">
        <v>2388</v>
      </c>
      <c r="E48" s="276"/>
      <c r="F48" s="281"/>
      <c r="G48" s="278" t="s">
        <v>2401</v>
      </c>
    </row>
    <row r="49" spans="1:7" ht="16.5" customHeight="1">
      <c r="A49" s="299" t="s">
        <v>2367</v>
      </c>
      <c r="B49" s="254" t="s">
        <v>2402</v>
      </c>
      <c r="C49" s="276">
        <f ca="1">ROUND((C33+C39+C41+C45)/(1-C40-D41-D45-C48),0)</f>
        <v>5616</v>
      </c>
      <c r="D49" s="276"/>
      <c r="E49" s="276"/>
      <c r="F49" s="308"/>
      <c r="G49" s="278" t="s">
        <v>2403</v>
      </c>
    </row>
    <row r="50" spans="1:7" s="302" customFormat="1" ht="30">
      <c r="A50" s="299" t="s">
        <v>2404</v>
      </c>
      <c r="B50" s="254" t="s">
        <v>2405</v>
      </c>
      <c r="C50" s="276"/>
      <c r="D50" s="276"/>
      <c r="E50" s="276"/>
      <c r="F50" s="308">
        <f>IF('数据-取费表'!B24=0,'数据-取费表'!N16,1)</f>
        <v>1</v>
      </c>
      <c r="G50" s="291" t="s">
        <v>2406</v>
      </c>
    </row>
    <row r="51" spans="1:7" ht="16.5" customHeight="1">
      <c r="A51" s="299" t="s">
        <v>2407</v>
      </c>
      <c r="B51" s="254" t="s">
        <v>2408</v>
      </c>
      <c r="C51" s="276">
        <f ca="1">ROUND(C49*F50,0)</f>
        <v>5616</v>
      </c>
      <c r="D51" s="276"/>
      <c r="E51" s="276"/>
      <c r="F51" s="308"/>
      <c r="G51" s="278" t="s">
        <v>2409</v>
      </c>
    </row>
    <row r="52" spans="1:7" s="252" customFormat="1" ht="17" thickBot="1">
      <c r="A52" s="309" t="s">
        <v>2410</v>
      </c>
      <c r="B52" s="310"/>
      <c r="C52" s="311">
        <f ca="1">C31+C51</f>
        <v>27329</v>
      </c>
      <c r="D52" s="310"/>
      <c r="E52" s="310"/>
      <c r="F52" s="310"/>
      <c r="G52" s="312"/>
    </row>
    <row r="55" spans="1:7" ht="16">
      <c r="B55" s="314" t="s">
        <v>2411</v>
      </c>
      <c r="C55" s="315"/>
    </row>
    <row r="56" spans="1:7" ht="14">
      <c r="B56" s="317" t="s">
        <v>1507</v>
      </c>
      <c r="C56" s="319">
        <f ca="1">1-C57</f>
        <v>0.79500000000000004</v>
      </c>
    </row>
    <row r="57" spans="1:7" ht="14">
      <c r="B57" s="317" t="s">
        <v>1508</v>
      </c>
      <c r="C57" s="318">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2310</v>
      </c>
      <c r="B1" s="1935"/>
      <c r="C1" s="2551" t="s">
        <v>2412</v>
      </c>
      <c r="D1" s="242"/>
      <c r="E1" s="242"/>
      <c r="F1" s="242"/>
      <c r="G1" s="1378">
        <f>MATCH(B1,'数据-取费表'!A6:A16,0)+5</f>
        <v>7</v>
      </c>
      <c r="H1" s="1281" t="str">
        <f>IF(ISERROR(FIND("住宅",B1)),"非住宅","住宅")</f>
        <v>非住宅</v>
      </c>
    </row>
    <row r="2" spans="1:8" s="244" customFormat="1" ht="18" customHeight="1">
      <c r="A2" s="245" t="s">
        <v>2311</v>
      </c>
      <c r="B2" s="246">
        <f ca="1">ROUND(IF(D2="——",C52/10000,C52/10000-E2),0)</f>
        <v>12342</v>
      </c>
      <c r="C2" s="243" t="s">
        <v>2312</v>
      </c>
      <c r="D2" s="2545" t="s">
        <v>70</v>
      </c>
      <c r="E2" s="1439" t="e">
        <f ca="1">SUMIF(INDIRECT("'"&amp;G2&amp;"'"&amp;"!A:A"),"承租人权益价值",INDIRECT("'"&amp;G2&amp;"'"&amp;"!c:c"))</f>
        <v>#REF!</v>
      </c>
      <c r="F2" s="2546" t="s">
        <v>2312</v>
      </c>
      <c r="G2" s="2547"/>
    </row>
    <row r="3" spans="1:8" s="244" customFormat="1" ht="18" customHeight="1" thickBot="1">
      <c r="A3" s="247" t="s">
        <v>2313</v>
      </c>
      <c r="B3" s="248">
        <f ca="1">ROUND(B2*10000/(IF(B1="",'数据-汇总表'!E3,INDIRECT("'数据-取费表'!k"&amp;$G$1))),0)</f>
        <v>8129</v>
      </c>
      <c r="C3" s="243" t="s">
        <v>2314</v>
      </c>
      <c r="D3" s="243"/>
      <c r="E3" s="243"/>
      <c r="F3" s="243"/>
      <c r="G3" s="243"/>
    </row>
    <row r="4" spans="1:8" s="252" customFormat="1" ht="16">
      <c r="A4" s="249" t="s">
        <v>2315</v>
      </c>
      <c r="B4" s="250"/>
      <c r="C4" s="250"/>
      <c r="D4" s="250"/>
      <c r="E4" s="250"/>
      <c r="F4" s="250"/>
      <c r="G4" s="251"/>
    </row>
    <row r="5" spans="1:8" s="258" customFormat="1" ht="13.5" customHeight="1">
      <c r="A5" s="299" t="s">
        <v>2316</v>
      </c>
      <c r="B5" s="254" t="s">
        <v>2317</v>
      </c>
      <c r="C5" s="255">
        <f ca="1">C6+C7+C8</f>
        <v>3036448</v>
      </c>
      <c r="D5" s="255" t="s">
        <v>2318</v>
      </c>
      <c r="E5" s="256" t="s">
        <v>2319</v>
      </c>
      <c r="F5" s="256" t="s">
        <v>2320</v>
      </c>
      <c r="G5" s="257"/>
    </row>
    <row r="6" spans="1:8" s="258" customFormat="1" ht="13.5" customHeight="1">
      <c r="A6" s="949" t="s">
        <v>2321</v>
      </c>
      <c r="B6" s="259" t="s">
        <v>2322</v>
      </c>
      <c r="C6" s="260"/>
      <c r="D6" s="261"/>
      <c r="E6" s="262"/>
      <c r="F6" s="262"/>
      <c r="G6" s="263"/>
    </row>
    <row r="7" spans="1:8" s="258" customFormat="1" ht="13.5" customHeight="1">
      <c r="A7" s="949" t="s">
        <v>2323</v>
      </c>
      <c r="B7" s="259" t="s">
        <v>2324</v>
      </c>
      <c r="C7" s="264">
        <f>ROUND(C6*F7,0)</f>
        <v>0</v>
      </c>
      <c r="D7" s="264"/>
      <c r="E7" s="262"/>
      <c r="F7" s="265">
        <f>IF(项目基本情况!B8="出让",0,'数据-取费表'!B48+'数据-取费表'!B49)</f>
        <v>3.0499999999999999E-2</v>
      </c>
      <c r="G7" s="263"/>
    </row>
    <row r="8" spans="1:8" s="267" customFormat="1" ht="14">
      <c r="A8" s="949" t="s">
        <v>2325</v>
      </c>
      <c r="B8" s="259" t="s">
        <v>2326</v>
      </c>
      <c r="C8" s="264">
        <f ca="1">IF(G8="已包含在土地购买价格中",0,C9+C10)</f>
        <v>3036448</v>
      </c>
      <c r="D8" s="266"/>
      <c r="E8" s="264"/>
      <c r="F8" s="265"/>
      <c r="G8" s="2548"/>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2329</v>
      </c>
      <c r="C10" s="269">
        <f ca="1">ROUND(D10*E10,0)</f>
        <v>3036448</v>
      </c>
      <c r="D10" s="1032">
        <f ca="1">IF(B1="",'数据-汇总表'!E6,IF(INDIRECT("'数据-取费表'!c"&amp;$G$1)="住宅",INDIRECT("'数据-取费表'!s"&amp;$G$1),INDIRECT("'数据-取费表'!k"&amp;$G$1)+INDIRECT("'数据-取费表'!s"&amp;$G$1)))</f>
        <v>15182.239999999998</v>
      </c>
      <c r="E10" s="269">
        <f>'数据-取费表'!B28</f>
        <v>200</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f ca="1">IF(G19="已包含在土地取得成本中","0",ROUND(D19*E19,0))</f>
        <v>3036448</v>
      </c>
      <c r="D19" s="1036">
        <f ca="1">D9+D10</f>
        <v>15182.239999999998</v>
      </c>
      <c r="E19" s="255">
        <f>'数据-取费表'!B31</f>
        <v>200</v>
      </c>
      <c r="F19" s="275"/>
      <c r="G19" s="2548"/>
    </row>
    <row r="20" spans="1:7" s="258" customFormat="1" ht="13.5" customHeight="1">
      <c r="A20" s="299" t="s">
        <v>2423</v>
      </c>
      <c r="B20" s="254" t="s">
        <v>2424</v>
      </c>
      <c r="C20" s="276">
        <f ca="1">ROUND((C5+C19)*F20,0)</f>
        <v>182187</v>
      </c>
      <c r="D20" s="276"/>
      <c r="E20" s="276"/>
      <c r="F20" s="277">
        <f>'数据-取费表'!B37</f>
        <v>0.03</v>
      </c>
      <c r="G20" s="278" t="s">
        <v>2425</v>
      </c>
    </row>
    <row r="21" spans="1:7" s="258" customFormat="1" ht="13.5" customHeight="1">
      <c r="A21" s="299" t="s">
        <v>2426</v>
      </c>
      <c r="B21" s="254" t="s">
        <v>2427</v>
      </c>
      <c r="C21" s="279">
        <f>F21</f>
        <v>0.03</v>
      </c>
      <c r="D21" s="280" t="s">
        <v>2428</v>
      </c>
      <c r="E21" s="276"/>
      <c r="F21" s="277">
        <f>'数据-取费表'!B38</f>
        <v>0.03</v>
      </c>
      <c r="G21" s="278" t="s">
        <v>2429</v>
      </c>
    </row>
    <row r="22" spans="1:7" s="258" customFormat="1" ht="13.5" customHeight="1">
      <c r="A22" s="299" t="s">
        <v>2430</v>
      </c>
      <c r="B22" s="254" t="s">
        <v>2431</v>
      </c>
      <c r="C22" s="1379">
        <f ca="1">ROUND(SUM(C23:C25),0)</f>
        <v>757931</v>
      </c>
      <c r="D22" s="279">
        <f ca="1">C26</f>
        <v>1.8E-3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0">
        <f ca="1">ROUND(IF('数据-取费表'!B22&lt;=1,C5*F22*'数据-取费表'!B22,C5*(POWER((1+F22),'数据-取费表'!B22)-1)),0)</f>
        <v>373525</v>
      </c>
      <c r="D23" s="282"/>
      <c r="E23" s="282"/>
      <c r="F23" s="283"/>
      <c r="G23" s="284" t="s">
        <v>2433</v>
      </c>
    </row>
    <row r="24" spans="1:7" s="258" customFormat="1" ht="13.5" customHeight="1">
      <c r="A24" s="951" t="s">
        <v>2323</v>
      </c>
      <c r="B24" s="259" t="s">
        <v>2434</v>
      </c>
      <c r="C24" s="1380">
        <f ca="1">ROUND(IF('数据-取费表'!B22&lt;=1,C19*F22*('数据-取费表'!B19/2+'数据-取费表'!B20),C19*(POWER((1+F22),('数据-取费表'!B19/2+'数据-取费表'!B20))-1)),0)</f>
        <v>373525</v>
      </c>
      <c r="D24" s="282"/>
      <c r="E24" s="282"/>
      <c r="F24" s="283"/>
      <c r="G24" s="284" t="s">
        <v>2435</v>
      </c>
    </row>
    <row r="25" spans="1:7" s="258" customFormat="1" ht="30">
      <c r="A25" s="951" t="s">
        <v>2325</v>
      </c>
      <c r="B25" s="259" t="s">
        <v>2436</v>
      </c>
      <c r="C25" s="1380">
        <f ca="1">ROUND(IF('数据-取费表'!B22&lt;=1,C20*F22*'数据-取费表'!B22/2,C20*(POWER((1+F22),'数据-取费表'!B22/2)-1)),0)</f>
        <v>10881</v>
      </c>
      <c r="D25" s="282"/>
      <c r="E25" s="285"/>
      <c r="F25" s="283"/>
      <c r="G25" s="286" t="s">
        <v>2437</v>
      </c>
    </row>
    <row r="26" spans="1:7" s="258" customFormat="1" ht="14">
      <c r="A26" s="951" t="s">
        <v>795</v>
      </c>
      <c r="B26" s="259" t="s">
        <v>2360</v>
      </c>
      <c r="C26" s="282">
        <f ca="1">ROUND(IF('数据-取费表'!B22&lt;=1,F21*F22*'数据-取费表'!B22/2,F21*(POWER((1+F22),'数据-取费表'!B22/2)-1)),4)</f>
        <v>1.8E-3</v>
      </c>
      <c r="D26" s="282"/>
      <c r="E26" s="285"/>
      <c r="F26" s="283"/>
      <c r="G26" s="287"/>
    </row>
    <row r="27" spans="1:7" s="258" customFormat="1" ht="30">
      <c r="A27" s="299" t="s">
        <v>2361</v>
      </c>
      <c r="B27" s="288" t="s">
        <v>2362</v>
      </c>
      <c r="C27" s="289">
        <f ca="1">C28</f>
        <v>938262</v>
      </c>
      <c r="D27" s="279">
        <f ca="1">C29</f>
        <v>4.4999999999999997E-3</v>
      </c>
      <c r="E27" s="280" t="s">
        <v>2363</v>
      </c>
      <c r="F27" s="290">
        <f ca="1">IF(B1="",'数据-取费表'!Q16,INDIRECT("'数据-取费表'!q"&amp;$G$1))</f>
        <v>0.15</v>
      </c>
      <c r="G27" s="291" t="s">
        <v>2364</v>
      </c>
    </row>
    <row r="28" spans="1:7" s="258" customFormat="1" ht="13.5" customHeight="1">
      <c r="A28" s="951" t="s">
        <v>791</v>
      </c>
      <c r="B28" s="292" t="s">
        <v>2365</v>
      </c>
      <c r="C28" s="293">
        <f ca="1">ROUND((C5+C19+C20)*F27,0)</f>
        <v>938262</v>
      </c>
      <c r="D28" s="279"/>
      <c r="E28" s="280"/>
      <c r="F28" s="290"/>
      <c r="G28" s="291"/>
    </row>
    <row r="29" spans="1:7" s="258" customFormat="1" ht="13.5" customHeight="1">
      <c r="A29" s="951" t="s">
        <v>792</v>
      </c>
      <c r="B29" s="292" t="s">
        <v>2366</v>
      </c>
      <c r="C29" s="282">
        <f ca="1">ROUND(C21*F27,4)</f>
        <v>4.4999999999999997E-3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8725201</v>
      </c>
      <c r="D31" s="274"/>
      <c r="E31" s="255"/>
      <c r="F31" s="294"/>
      <c r="G31" s="278" t="s">
        <v>2371</v>
      </c>
    </row>
    <row r="32" spans="1:7" s="252" customFormat="1" ht="16">
      <c r="A32" s="296" t="s">
        <v>2438</v>
      </c>
      <c r="B32" s="297"/>
      <c r="C32" s="297"/>
      <c r="D32" s="297"/>
      <c r="E32" s="297"/>
      <c r="F32" s="297"/>
      <c r="G32" s="298"/>
    </row>
    <row r="33" spans="1:7" s="258" customFormat="1" ht="13.5" customHeight="1">
      <c r="A33" s="299" t="s">
        <v>782</v>
      </c>
      <c r="B33" s="254" t="s">
        <v>2439</v>
      </c>
      <c r="C33" s="300">
        <f ca="1">SUM(C34:C38)</f>
        <v>83881876</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75911200</v>
      </c>
      <c r="D34" s="261"/>
      <c r="E34" s="264"/>
      <c r="F34" s="301"/>
      <c r="G34" s="263"/>
    </row>
    <row r="35" spans="1:7" ht="13.5" customHeight="1">
      <c r="A35" s="951" t="s">
        <v>796</v>
      </c>
      <c r="B35" s="259" t="s">
        <v>2376</v>
      </c>
      <c r="C35" s="264">
        <f ca="1">ROUND(C34*F35,0)</f>
        <v>3795560</v>
      </c>
      <c r="D35" s="264"/>
      <c r="E35" s="264"/>
      <c r="F35" s="303">
        <f>'数据-取费表'!B33</f>
        <v>0.05</v>
      </c>
      <c r="G35" s="263" t="s">
        <v>2377</v>
      </c>
    </row>
    <row r="36" spans="1:7" ht="30">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3036448</v>
      </c>
      <c r="D37" s="261">
        <f ca="1">D19</f>
        <v>15182.239999999998</v>
      </c>
      <c r="E37" s="293">
        <f>'数据-取费表'!B35</f>
        <v>200</v>
      </c>
      <c r="F37" s="303"/>
      <c r="G37" s="305"/>
    </row>
    <row r="38" spans="1:7" ht="13.5" customHeight="1">
      <c r="A38" s="951" t="s">
        <v>799</v>
      </c>
      <c r="B38" s="259" t="s">
        <v>2382</v>
      </c>
      <c r="C38" s="264">
        <f ca="1">ROUND(C34*F38,0)</f>
        <v>1138668</v>
      </c>
      <c r="D38" s="264"/>
      <c r="E38" s="264"/>
      <c r="F38" s="303">
        <f>'数据-取费表'!B36</f>
        <v>1.4999999999999999E-2</v>
      </c>
      <c r="G38" s="263" t="s">
        <v>2377</v>
      </c>
    </row>
    <row r="39" spans="1:7" s="258" customFormat="1" ht="13.5" customHeight="1">
      <c r="A39" s="299" t="s">
        <v>2383</v>
      </c>
      <c r="B39" s="254" t="s">
        <v>2384</v>
      </c>
      <c r="C39" s="276">
        <f ca="1">ROUND(C33*F20,0)</f>
        <v>2516456</v>
      </c>
      <c r="D39" s="276"/>
      <c r="E39" s="276"/>
      <c r="F39" s="277"/>
      <c r="G39" s="278" t="s">
        <v>2385</v>
      </c>
    </row>
    <row r="40" spans="1:7" s="258" customFormat="1" ht="13.5" customHeight="1">
      <c r="A40" s="299" t="s">
        <v>2386</v>
      </c>
      <c r="B40" s="254" t="s">
        <v>2387</v>
      </c>
      <c r="C40" s="1727">
        <f>F21</f>
        <v>0.03</v>
      </c>
      <c r="D40" s="280" t="s">
        <v>2388</v>
      </c>
      <c r="E40" s="276"/>
      <c r="F40" s="277"/>
      <c r="G40" s="278" t="s">
        <v>2389</v>
      </c>
    </row>
    <row r="41" spans="1:7" s="258" customFormat="1" ht="13.5" customHeight="1">
      <c r="A41" s="299" t="s">
        <v>2390</v>
      </c>
      <c r="B41" s="254" t="s">
        <v>2391</v>
      </c>
      <c r="C41" s="276">
        <f ca="1">ROUND(SUM(C42:C43),0)</f>
        <v>5160005</v>
      </c>
      <c r="D41" s="279">
        <f ca="1">C44</f>
        <v>1.8E-3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5009714</v>
      </c>
      <c r="D42" s="282"/>
      <c r="E42" s="282"/>
      <c r="F42" s="283"/>
      <c r="G42" s="3198" t="s">
        <v>2440</v>
      </c>
    </row>
    <row r="43" spans="1:7" ht="13.5" customHeight="1">
      <c r="A43" s="951" t="s">
        <v>792</v>
      </c>
      <c r="B43" s="259" t="s">
        <v>2394</v>
      </c>
      <c r="C43" s="282">
        <f ca="1">ROUND(IF('数据-取费表'!B22&lt;=1,C39*F22*'数据-取费表'!B20/2,C39*(POWER((1+F22),'数据-取费表'!B20/2)-1)),0)</f>
        <v>150291</v>
      </c>
      <c r="D43" s="282"/>
      <c r="E43" s="282"/>
      <c r="F43" s="283"/>
      <c r="G43" s="3199"/>
    </row>
    <row r="44" spans="1:7" ht="13.5" customHeight="1">
      <c r="A44" s="951" t="s">
        <v>793</v>
      </c>
      <c r="B44" s="259" t="s">
        <v>2395</v>
      </c>
      <c r="C44" s="282">
        <f ca="1">ROUND(IF('数据-取费表'!B22&lt;=1,C40*F22*'数据-取费表'!B20/2,C40*(POWER((1+F22),'数据-取费表'!B20/2)-1)),4)</f>
        <v>1.8E-3</v>
      </c>
      <c r="D44" s="282"/>
      <c r="E44" s="282"/>
      <c r="F44" s="283"/>
      <c r="G44" s="3200"/>
    </row>
    <row r="45" spans="1:7" s="258" customFormat="1" ht="13.5" customHeight="1">
      <c r="A45" s="299" t="s">
        <v>2396</v>
      </c>
      <c r="B45" s="288" t="s">
        <v>2362</v>
      </c>
      <c r="C45" s="289">
        <f ca="1">C46</f>
        <v>12959750</v>
      </c>
      <c r="D45" s="279">
        <f ca="1">C47</f>
        <v>4.4999999999999997E-3</v>
      </c>
      <c r="E45" s="280" t="s">
        <v>2388</v>
      </c>
      <c r="F45" s="290"/>
      <c r="G45" s="291" t="s">
        <v>2397</v>
      </c>
    </row>
    <row r="46" spans="1:7" s="258" customFormat="1" ht="13.5" customHeight="1">
      <c r="A46" s="951" t="s">
        <v>791</v>
      </c>
      <c r="B46" s="292" t="s">
        <v>2398</v>
      </c>
      <c r="C46" s="293">
        <f ca="1">ROUND((C33+C39)*F27,0)</f>
        <v>12959750</v>
      </c>
      <c r="D46" s="307"/>
      <c r="E46" s="280"/>
      <c r="F46" s="290"/>
      <c r="G46" s="291"/>
    </row>
    <row r="47" spans="1:7" s="258" customFormat="1" ht="13.5" customHeight="1">
      <c r="A47" s="951" t="s">
        <v>792</v>
      </c>
      <c r="B47" s="292" t="s">
        <v>2399</v>
      </c>
      <c r="C47" s="282">
        <f ca="1">ROUND(C40*F27,4)</f>
        <v>4.4999999999999997E-3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114691196</v>
      </c>
      <c r="D49" s="276"/>
      <c r="E49" s="276"/>
      <c r="F49" s="308"/>
      <c r="G49" s="278" t="s">
        <v>2403</v>
      </c>
    </row>
    <row r="50" spans="1:7" s="302" customFormat="1" ht="14">
      <c r="A50" s="299" t="s">
        <v>2404</v>
      </c>
      <c r="B50" s="254" t="s">
        <v>2405</v>
      </c>
      <c r="C50" s="276"/>
      <c r="D50" s="276"/>
      <c r="E50" s="276"/>
      <c r="F50" s="308">
        <f>IF('数据-取费表'!B24=0,'数据-取费表'!N16,1)</f>
        <v>1</v>
      </c>
      <c r="G50" s="291"/>
    </row>
    <row r="51" spans="1:7" ht="16.5" customHeight="1">
      <c r="A51" s="299" t="s">
        <v>2407</v>
      </c>
      <c r="B51" s="254" t="s">
        <v>2442</v>
      </c>
      <c r="C51" s="276">
        <f ca="1">ROUND(C49*F50,0)</f>
        <v>114691196</v>
      </c>
      <c r="D51" s="276"/>
      <c r="E51" s="276"/>
      <c r="F51" s="308"/>
      <c r="G51" s="278" t="s">
        <v>2409</v>
      </c>
    </row>
    <row r="52" spans="1:7" s="252" customFormat="1" ht="17" thickBot="1">
      <c r="A52" s="309" t="s">
        <v>2410</v>
      </c>
      <c r="B52" s="310"/>
      <c r="C52" s="311">
        <f ca="1">C31+C51</f>
        <v>123416397</v>
      </c>
      <c r="D52" s="310"/>
      <c r="E52" s="310"/>
      <c r="F52" s="310"/>
      <c r="G52" s="312"/>
    </row>
    <row r="55" spans="1:7" ht="16">
      <c r="B55" s="314" t="s">
        <v>2411</v>
      </c>
      <c r="C55" s="315"/>
    </row>
    <row r="56" spans="1:7" ht="14">
      <c r="B56" s="317" t="s">
        <v>1507</v>
      </c>
      <c r="C56" s="319">
        <f ca="1">1-C57</f>
        <v>7.0999999999999952E-2</v>
      </c>
    </row>
    <row r="57" spans="1:7" ht="14">
      <c r="B57" s="317" t="s">
        <v>1508</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topLeftCell="A10" zoomScale="80" zoomScaleNormal="80" zoomScaleSheetLayoutView="96" workbookViewId="0">
      <selection activeCell="E29" sqref="E29"/>
    </sheetView>
  </sheetViews>
  <sheetFormatPr baseColWidth="10" defaultColWidth="12" defaultRowHeight="13"/>
  <cols>
    <col min="1" max="1" width="9.6640625" style="2785" customWidth="1"/>
    <col min="2" max="2" width="19.1640625" style="2891" customWidth="1"/>
    <col min="3" max="4" width="12" style="2718"/>
    <col min="5" max="5" width="14.6640625" style="2718" customWidth="1"/>
    <col min="6" max="8" width="12" style="2718"/>
    <col min="9" max="9" width="12.1640625" style="2718" bestFit="1" customWidth="1"/>
    <col min="10" max="10" width="12" style="2718"/>
    <col min="11" max="11" width="8.1640625" style="2780" customWidth="1"/>
    <col min="12" max="12" width="12" style="2718"/>
    <col min="13" max="13" width="8.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2">
      <c r="A1" s="240" t="s">
        <v>2785</v>
      </c>
      <c r="B1" s="241"/>
      <c r="C1" s="245" t="s">
        <v>2786</v>
      </c>
      <c r="D1" s="388">
        <f>SUM(D29:D30,D33:D39)</f>
        <v>2018.7599999999998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6">
      <c r="A2" s="245" t="s">
        <v>2793</v>
      </c>
      <c r="B2" s="248">
        <f ca="1">C26</f>
        <v>2264</v>
      </c>
      <c r="C2" s="2719" t="s">
        <v>2794</v>
      </c>
      <c r="D2" s="2720" t="s">
        <v>2795</v>
      </c>
      <c r="E2" s="2721" t="s">
        <v>1372</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19550</v>
      </c>
      <c r="U2" s="1602"/>
      <c r="V2" s="1601">
        <f ca="1">ROUND(T2*U2/10000,0)</f>
        <v>0</v>
      </c>
      <c r="W2" s="1605"/>
      <c r="X2" s="1605"/>
      <c r="Y2" s="1605"/>
      <c r="Z2" s="1605"/>
      <c r="AA2" s="1605"/>
      <c r="AB2" s="1605"/>
      <c r="AC2" s="1606"/>
      <c r="AD2" s="1607"/>
      <c r="AE2" s="1607"/>
      <c r="AF2" s="1607"/>
      <c r="AG2" s="1607"/>
      <c r="AH2" s="1607"/>
      <c r="AI2" s="1607"/>
      <c r="AJ2" s="1608"/>
    </row>
    <row r="3" spans="1:36" ht="28">
      <c r="A3" s="247" t="s">
        <v>2799</v>
      </c>
      <c r="B3" s="248">
        <f ca="1">ROUND(B2*10000/D1,0)</f>
        <v>11215</v>
      </c>
      <c r="C3" s="2719" t="s">
        <v>2800</v>
      </c>
      <c r="D3" s="2720" t="s">
        <v>2801</v>
      </c>
      <c r="E3" s="2725" t="s">
        <v>3115</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14033</v>
      </c>
      <c r="U3" s="1602"/>
      <c r="V3" s="1601">
        <f t="shared" ref="V3:V16" ca="1" si="1">ROUND(T3*U3/10000,0)</f>
        <v>0</v>
      </c>
      <c r="W3" s="1605"/>
      <c r="X3" s="1605"/>
      <c r="Y3" s="1605"/>
      <c r="Z3" s="1605"/>
      <c r="AA3" s="1605"/>
      <c r="AB3" s="1605"/>
      <c r="AC3" s="1606"/>
      <c r="AD3" s="1607"/>
      <c r="AE3" s="1607"/>
      <c r="AF3" s="1607"/>
      <c r="AG3" s="1607"/>
      <c r="AH3" s="1607"/>
      <c r="AI3" s="1607"/>
      <c r="AJ3" s="1608"/>
    </row>
    <row r="4" spans="1:36" ht="16">
      <c r="A4" s="3217"/>
      <c r="B4" s="3218"/>
      <c r="C4" s="3218"/>
      <c r="D4" s="3219"/>
      <c r="E4" s="3219"/>
      <c r="F4" s="3219"/>
      <c r="G4" s="3219"/>
      <c r="H4" s="3219"/>
      <c r="I4" s="3219"/>
      <c r="J4" s="3220"/>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11321</v>
      </c>
      <c r="U4" s="1602"/>
      <c r="V4" s="1601">
        <f t="shared" ca="1" si="1"/>
        <v>0</v>
      </c>
      <c r="W4" s="1605"/>
      <c r="X4" s="1605"/>
      <c r="Y4" s="1605"/>
      <c r="Z4" s="1605"/>
      <c r="AA4" s="1605"/>
      <c r="AB4" s="1605"/>
      <c r="AC4" s="1606"/>
      <c r="AD4" s="1607"/>
      <c r="AE4" s="1607"/>
      <c r="AF4" s="1607"/>
      <c r="AG4" s="1607"/>
      <c r="AH4" s="1607"/>
      <c r="AI4" s="1607"/>
      <c r="AJ4" s="1608"/>
    </row>
    <row r="5" spans="1:36" s="2736" customFormat="1" ht="17" thickBot="1">
      <c r="A5" s="2727" t="s">
        <v>807</v>
      </c>
      <c r="B5" s="2728" t="s">
        <v>2807</v>
      </c>
      <c r="C5" s="917">
        <f>ROUND(IF(E2="商业",C6*C7+C16,(IF(E2="住宅",C6*C12+C16,C6+C16))),0)</f>
        <v>7194</v>
      </c>
      <c r="D5" s="1786">
        <f>ROUND(C6+C16,0)</f>
        <v>7194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9084</v>
      </c>
      <c r="U5" s="1602"/>
      <c r="V5" s="1601">
        <f t="shared" ca="1" si="1"/>
        <v>0</v>
      </c>
      <c r="W5" s="1605"/>
      <c r="X5" s="1605"/>
      <c r="Y5" s="1605"/>
      <c r="Z5" s="1605"/>
      <c r="AA5" s="1605"/>
      <c r="AB5" s="1605"/>
      <c r="AC5" s="2733"/>
      <c r="AD5" s="2734"/>
      <c r="AE5" s="2734"/>
      <c r="AF5" s="2734"/>
      <c r="AG5" s="2734"/>
      <c r="AH5" s="2734"/>
      <c r="AI5" s="2734"/>
      <c r="AJ5" s="2735"/>
    </row>
    <row r="6" spans="1:36" ht="17" thickBot="1">
      <c r="A6" s="2737" t="s">
        <v>2809</v>
      </c>
      <c r="B6" s="2738" t="s">
        <v>2810</v>
      </c>
      <c r="C6" s="918">
        <f>SUMIF(L1:L12,G2,M1:M12)</f>
        <v>7210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7735</v>
      </c>
      <c r="U6" s="1602"/>
      <c r="V6" s="1601">
        <f t="shared" ca="1" si="1"/>
        <v>0</v>
      </c>
      <c r="W6" s="1605"/>
      <c r="X6" s="1605"/>
      <c r="Y6" s="1605"/>
      <c r="Z6" s="1605"/>
      <c r="AA6" s="1605"/>
      <c r="AB6" s="1605"/>
      <c r="AC6" s="2733"/>
      <c r="AD6" s="2734"/>
      <c r="AE6" s="2734"/>
      <c r="AF6" s="2734"/>
      <c r="AG6" s="2734"/>
      <c r="AH6" s="2734"/>
      <c r="AI6" s="2734"/>
      <c r="AJ6" s="2735"/>
    </row>
    <row r="7" spans="1:36" ht="30">
      <c r="A7" s="3201"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7210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6802</v>
      </c>
      <c r="U7" s="1602"/>
      <c r="V7" s="1601">
        <f t="shared" ca="1" si="1"/>
        <v>0</v>
      </c>
      <c r="W7" s="1815" t="s">
        <v>2816</v>
      </c>
      <c r="X7" s="1603" t="str">
        <f>G2</f>
        <v>七级</v>
      </c>
      <c r="Y7" s="1603" t="s">
        <v>2817</v>
      </c>
      <c r="Z7" s="1604">
        <f>G3</f>
        <v>2.1</v>
      </c>
      <c r="AA7" s="1605"/>
      <c r="AB7" s="1605"/>
      <c r="AC7" s="1606"/>
      <c r="AD7" s="1607"/>
      <c r="AE7" s="1607"/>
      <c r="AF7" s="1607"/>
      <c r="AG7" s="1607"/>
      <c r="AH7" s="1607"/>
      <c r="AI7" s="1607"/>
      <c r="AJ7" s="1608"/>
    </row>
    <row r="8" spans="1:36" ht="28">
      <c r="A8" s="3221"/>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14" t="s">
        <v>2821</v>
      </c>
      <c r="X8" s="3215"/>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6">
      <c r="A9" s="3221"/>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16"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6">
      <c r="A10" s="3221"/>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7" thickBot="1">
      <c r="A11" s="3221"/>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16"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31" thickBot="1">
      <c r="A12" s="3201"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16"/>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30">
      <c r="A13" s="3222"/>
      <c r="B13" s="2762" t="s">
        <v>2852</v>
      </c>
      <c r="C13" s="2763" t="s">
        <v>2853</v>
      </c>
      <c r="D13" s="1807" t="s">
        <v>2854</v>
      </c>
      <c r="E13" s="1807"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16"/>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6">
      <c r="A14" s="3222"/>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7" thickBot="1">
      <c r="A15" s="3223"/>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5" customHeight="1">
      <c r="A16" s="3201" t="s">
        <v>2864</v>
      </c>
      <c r="B16" s="2743" t="s">
        <v>2865</v>
      </c>
      <c r="C16" s="2929">
        <f>ROUND(IF(F17="与级别开发程度一致",0,(G17-E17)/C17),0)</f>
        <v>-16</v>
      </c>
      <c r="D16" s="3212" t="s">
        <v>2869</v>
      </c>
      <c r="E16" s="3213"/>
      <c r="F16" s="3212" t="s">
        <v>2866</v>
      </c>
      <c r="G16" s="3213"/>
      <c r="H16" s="2998"/>
      <c r="I16" s="2999" t="s">
        <v>3060</v>
      </c>
      <c r="J16" s="3000" t="s">
        <v>3061</v>
      </c>
      <c r="K16" s="2999" t="s">
        <v>3062</v>
      </c>
      <c r="L16" s="2999" t="s">
        <v>3063</v>
      </c>
      <c r="M16" s="2999" t="s">
        <v>3064</v>
      </c>
      <c r="N16" s="2999" t="s">
        <v>3065</v>
      </c>
      <c r="O16" s="3001"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9" thickBot="1">
      <c r="A17" s="320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6" thickBot="1">
      <c r="A18" s="2933" t="s">
        <v>808</v>
      </c>
      <c r="B18" s="2934" t="s">
        <v>2871</v>
      </c>
      <c r="C18" s="2935">
        <f>SUMIF(修正!C18:C39,E3,修正!E18:E39)</f>
        <v>1.1000000000000001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31"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43906</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31" thickBot="1">
      <c r="A20" s="2793" t="s">
        <v>810</v>
      </c>
      <c r="B20" s="2794" t="s">
        <v>2877</v>
      </c>
      <c r="C20" s="929">
        <f ca="1">ROUND(POWER(1+G20,J20-I20)*(POWER(1+G20,I20)-1)/(POWER(1+G20,J20)-1),4)</f>
        <v>0.94350000000000001</v>
      </c>
      <c r="D20" s="2795" t="s">
        <v>2878</v>
      </c>
      <c r="E20" s="1767">
        <f ca="1">存贷款利率!D4/100</f>
        <v>4.3499999999999997E-2</v>
      </c>
      <c r="F20" s="2795" t="s">
        <v>2870</v>
      </c>
      <c r="G20" s="934">
        <f ca="1">SUMIF(M26:P26,E2,M28:P28)</f>
        <v>5.3999999999999999E-2</v>
      </c>
      <c r="H20" s="2795" t="s">
        <v>2879</v>
      </c>
      <c r="I20" s="935">
        <f>SUMIF('数据-取费表'!C6:C15,E2,'数据-取费表'!F6:F15)/COUNTIF('数据-取费表'!C6:C15,E2)</f>
        <v>33.51</v>
      </c>
      <c r="J20" s="936">
        <f>IF(E2="住宅",70,IF(E2="商业",40,50))</f>
        <v>40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5">
      <c r="A21" s="2800" t="s">
        <v>811</v>
      </c>
      <c r="B21" s="2801" t="s">
        <v>3119</v>
      </c>
      <c r="C21" s="937">
        <f>IF(B21="容积率修正",IF(G3&lt;=10,D22,J22),C23)</f>
        <v>1.0685</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5">
      <c r="A22" s="2662" t="s">
        <v>2885</v>
      </c>
      <c r="B22" s="2805" t="s">
        <v>2886</v>
      </c>
      <c r="C22" s="1809" t="s">
        <v>2887</v>
      </c>
      <c r="D22" s="1809">
        <f>IF(E22=G22,F22,IF(G3&lt;=10,ROUND(F22+(H22-F22)*(G3-E22)/(G22-E22),4),"——"))</f>
        <v>1.0685</v>
      </c>
      <c r="E22" s="916">
        <f>ROUNDDOWN(G3,1)</f>
        <v>2.1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9"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16"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6" thickBot="1">
      <c r="A24" s="2793" t="s">
        <v>812</v>
      </c>
      <c r="B24" s="2782" t="s">
        <v>2892</v>
      </c>
      <c r="C24" s="924">
        <f>SUMIF(A45:A88,E2,B45:B88)</f>
        <v>1.0298</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6"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18"/>
      <c r="B26" s="2805" t="s">
        <v>2896</v>
      </c>
      <c r="C26" s="206">
        <f ca="1">E29+SUM(E33:E39)</f>
        <v>2264</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6"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6"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11213</v>
      </c>
      <c r="D29" s="2834">
        <f>面积!D6+面积!D10</f>
        <v>2018.7599999999998</v>
      </c>
      <c r="E29" s="942">
        <f ca="1">ROUND(C29*D29/10000,0)</f>
        <v>2264</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31" thickBot="1">
      <c r="A30" s="2838"/>
      <c r="B30" s="2839" t="s">
        <v>2904</v>
      </c>
      <c r="C30" s="229">
        <f ca="1">ROUND(IF(E2="工业",C29*M39,C29*M38),0)</f>
        <v>2803</v>
      </c>
      <c r="D30" s="2840"/>
      <c r="E30" s="942">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5">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0">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09" t="s">
        <v>2910</v>
      </c>
      <c r="B33" s="2850" t="s">
        <v>2911</v>
      </c>
      <c r="C33" s="206">
        <f ca="1">ROUND(D5*C19*C20*C24*F33,0)</f>
        <v>6678</v>
      </c>
      <c r="D33" s="2834"/>
      <c r="E33" s="200">
        <f ca="1">ROUND(C33*D33/10000,0)</f>
        <v>0</v>
      </c>
      <c r="F33" s="200">
        <f>SUMIF(修正!A45:A56,G2,修正!B45:B56)</f>
        <v>0.7</v>
      </c>
      <c r="G33" s="200">
        <f t="shared" ref="G33" ca="1" si="6">ROUND(IF(E2="工业",C33*$M$39,C33*$M$38),0)</f>
        <v>1670</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5">
      <c r="A34" s="3210"/>
      <c r="B34" s="2763" t="s">
        <v>2912</v>
      </c>
      <c r="C34" s="206">
        <f ca="1">ROUND(D5*C19*C20*C24*F34,0)</f>
        <v>3816</v>
      </c>
      <c r="D34" s="2834"/>
      <c r="E34" s="200">
        <f t="shared" ref="E34:E39" ca="1" si="7">ROUND(C34*D34/10000,0)</f>
        <v>0</v>
      </c>
      <c r="F34" s="200">
        <f>SUMIF(修正!A45:A56,G2,修正!C45:C56)</f>
        <v>0.4</v>
      </c>
      <c r="G34" s="200">
        <f ca="1">ROUND(IF(E2="工业",C34*$M$39,C34*$M$38),0)</f>
        <v>954</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ht="15">
      <c r="A35" s="3210"/>
      <c r="B35" s="2763" t="s">
        <v>2913</v>
      </c>
      <c r="C35" s="206">
        <f ca="1">ROUND(D5*C19*C20*C24*F35,0)</f>
        <v>2671</v>
      </c>
      <c r="D35" s="2834"/>
      <c r="E35" s="200">
        <f t="shared" ca="1" si="7"/>
        <v>0</v>
      </c>
      <c r="F35" s="200">
        <f>SUMIF(修正!A45:A56,G2,修正!D45:D56)</f>
        <v>0.28000000000000003</v>
      </c>
      <c r="G35" s="200">
        <f ca="1">ROUND(IF(E2="工业",C35*$M$39,C35*$M$38),0)</f>
        <v>668</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6" thickBot="1">
      <c r="A36" s="3211"/>
      <c r="B36" s="2763" t="s">
        <v>2914</v>
      </c>
      <c r="C36" s="206">
        <f ca="1">ROUND(D5*C19*C20*C24*F36,0)</f>
        <v>2385</v>
      </c>
      <c r="D36" s="2834"/>
      <c r="E36" s="200">
        <f t="shared" ca="1" si="7"/>
        <v>0</v>
      </c>
      <c r="F36" s="200">
        <f>SUMIF(修正!A45:A56,G2,修正!E45:E56)</f>
        <v>0.25</v>
      </c>
      <c r="G36" s="200">
        <f ca="1">ROUND(IF(E2="工业",C36*$M$39,C36*$M$38),0)</f>
        <v>596</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ht="15">
      <c r="A37" s="2852"/>
      <c r="B37" s="2763" t="s">
        <v>2915</v>
      </c>
      <c r="C37" s="200">
        <f ca="1">ROUND(D5*C19*C20*C24*F37,0)</f>
        <v>2385</v>
      </c>
      <c r="D37" s="2834"/>
      <c r="E37" s="200">
        <f t="shared" ca="1" si="7"/>
        <v>0</v>
      </c>
      <c r="F37" s="206">
        <f>SUMIF(修正!A45:A56,G2,修正!F45:F56)</f>
        <v>0.25</v>
      </c>
      <c r="G37" s="200">
        <f ca="1">ROUND(IF(E2="工业",C37*$M$39,C37*$M$38),0)</f>
        <v>596</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ht="15">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6"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15">
      <c r="A41" s="1370"/>
      <c r="B41" s="2927" t="s">
        <v>3027</v>
      </c>
      <c r="C41" s="388">
        <f ca="1">ROUND(POWER(1+E41,H41-G41)*(POWER(1+E41,G41)-1)/(POWER(1+E41,H41)-1),4)</f>
        <v>0</v>
      </c>
      <c r="D41" s="200" t="s">
        <v>2870</v>
      </c>
      <c r="E41" s="2926">
        <f ca="1">G20</f>
        <v>5.3999999999999999E-2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
      <c r="A46" s="2863" t="s">
        <v>2921</v>
      </c>
      <c r="B46" s="2864">
        <f>1+E48</f>
        <v>1.0298</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30">
      <c r="A47" s="2867" t="s">
        <v>2922</v>
      </c>
      <c r="B47" s="1808" t="s">
        <v>2923</v>
      </c>
      <c r="C47" s="1808" t="s">
        <v>2924</v>
      </c>
      <c r="D47" s="1808" t="s">
        <v>2925</v>
      </c>
      <c r="E47" s="819" t="s">
        <v>2926</v>
      </c>
      <c r="F47" s="2868" t="s">
        <v>2927</v>
      </c>
      <c r="G47" s="1808" t="s">
        <v>754</v>
      </c>
      <c r="H47" s="2869" t="s">
        <v>2928</v>
      </c>
      <c r="I47" s="1808"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30">
      <c r="A48" s="2867" t="s">
        <v>2930</v>
      </c>
      <c r="B48" s="2870">
        <f>估价对象房地状况!C4</f>
        <v>0</v>
      </c>
      <c r="C48" s="2990" t="s">
        <v>3120</v>
      </c>
      <c r="D48" s="1285">
        <f t="shared" ref="D48:D56" si="10">SUMIF($J$47:$N$47,C48,J48:N48)</f>
        <v>0</v>
      </c>
      <c r="E48" s="821">
        <f>ROUND(SUM(D48:D56),4)</f>
        <v>2.98E-2</v>
      </c>
      <c r="F48" s="2499">
        <f>IF(E2="商业",SUMIF(L1:L12,G2,N1:N12),"——")</f>
        <v>0.13</v>
      </c>
      <c r="G48" s="1283">
        <f>H48</f>
        <v>2.1399999999999999E-2</v>
      </c>
      <c r="H48" s="1287">
        <f t="shared" ref="H48:H56" si="11">IFERROR(ROUNDDOWN($F$48*I48/2,4),"——")</f>
        <v>2.1399999999999999E-2</v>
      </c>
      <c r="I48" s="820">
        <v>0.33</v>
      </c>
      <c r="J48" s="1284">
        <f t="shared" ref="J48:J56" si="12">K48+$G48</f>
        <v>4.2799999999999998E-2</v>
      </c>
      <c r="K48" s="1284">
        <f t="shared" ref="K48:K56" si="13">$L48+$G48</f>
        <v>2.1399999999999999E-2</v>
      </c>
      <c r="L48" s="1284">
        <v>0</v>
      </c>
      <c r="M48" s="1284">
        <f t="shared" ref="M48:N56" si="14">L48-$G48</f>
        <v>-2.1399999999999999E-2</v>
      </c>
      <c r="N48" s="1284">
        <f t="shared" si="14"/>
        <v>-4.2799999999999998E-2</v>
      </c>
      <c r="AA48" s="1370"/>
      <c r="AB48" s="1370"/>
      <c r="AC48" s="1370"/>
      <c r="AD48" s="1370"/>
      <c r="AE48" s="1370"/>
      <c r="AF48" s="1370"/>
      <c r="AG48" s="1370"/>
      <c r="AH48" s="1370"/>
      <c r="AI48" s="1370"/>
      <c r="AJ48" s="1370"/>
      <c r="AK48" s="1370"/>
    </row>
    <row r="49" spans="1:37" s="1369" customFormat="1" ht="15">
      <c r="A49" s="2867" t="s">
        <v>2931</v>
      </c>
      <c r="B49" s="2871">
        <f>估价对象房地状况!C18</f>
        <v>0</v>
      </c>
      <c r="C49" s="2990" t="s">
        <v>3121</v>
      </c>
      <c r="D49" s="1285">
        <f t="shared" si="10"/>
        <v>1.6199999999999999E-2</v>
      </c>
      <c r="E49" s="822"/>
      <c r="F49" s="2499"/>
      <c r="G49" s="1283">
        <f t="shared" ref="G49:G56" si="15">H49</f>
        <v>1.6199999999999999E-2</v>
      </c>
      <c r="H49" s="1287">
        <f t="shared" si="11"/>
        <v>1.6199999999999999E-2</v>
      </c>
      <c r="I49" s="820">
        <v>0.25</v>
      </c>
      <c r="J49" s="1284">
        <f t="shared" si="12"/>
        <v>3.2399999999999998E-2</v>
      </c>
      <c r="K49" s="1284">
        <f t="shared" si="13"/>
        <v>1.6199999999999999E-2</v>
      </c>
      <c r="L49" s="1284">
        <v>0</v>
      </c>
      <c r="M49" s="1284">
        <f t="shared" si="14"/>
        <v>-1.6199999999999999E-2</v>
      </c>
      <c r="N49" s="1284">
        <f t="shared" si="14"/>
        <v>-3.2399999999999998E-2</v>
      </c>
      <c r="AA49" s="1370"/>
      <c r="AB49" s="1370"/>
      <c r="AC49" s="1370"/>
      <c r="AD49" s="1370"/>
      <c r="AE49" s="1370"/>
      <c r="AF49" s="1370"/>
      <c r="AG49" s="1370"/>
      <c r="AH49" s="1370"/>
      <c r="AI49" s="1370"/>
      <c r="AJ49" s="1370"/>
      <c r="AK49" s="1370"/>
    </row>
    <row r="50" spans="1:37" s="1369" customFormat="1" ht="30">
      <c r="A50" s="2867" t="s">
        <v>2932</v>
      </c>
      <c r="B50" s="2871">
        <f>估价对象房地状况!C19</f>
        <v>0</v>
      </c>
      <c r="C50" s="2990" t="s">
        <v>3122</v>
      </c>
      <c r="D50" s="1285">
        <f t="shared" si="10"/>
        <v>-3.2000000000000002E-3</v>
      </c>
      <c r="E50" s="822"/>
      <c r="F50" s="2499"/>
      <c r="G50" s="1283">
        <f t="shared" si="15"/>
        <v>3.2000000000000002E-3</v>
      </c>
      <c r="H50" s="1287">
        <f t="shared" si="11"/>
        <v>3.2000000000000002E-3</v>
      </c>
      <c r="I50" s="820">
        <v>0.05</v>
      </c>
      <c r="J50" s="1284">
        <f t="shared" si="12"/>
        <v>6.4000000000000003E-3</v>
      </c>
      <c r="K50" s="1284">
        <f t="shared" si="13"/>
        <v>3.2000000000000002E-3</v>
      </c>
      <c r="L50" s="1284">
        <v>0</v>
      </c>
      <c r="M50" s="1284">
        <f t="shared" si="14"/>
        <v>-3.2000000000000002E-3</v>
      </c>
      <c r="N50" s="1284">
        <f t="shared" si="14"/>
        <v>-6.4000000000000003E-3</v>
      </c>
      <c r="AA50" s="1370"/>
      <c r="AB50" s="1370"/>
      <c r="AC50" s="1370"/>
      <c r="AD50" s="1370"/>
      <c r="AE50" s="1370"/>
      <c r="AF50" s="1370"/>
      <c r="AG50" s="1370"/>
      <c r="AH50" s="1370"/>
      <c r="AI50" s="1370"/>
      <c r="AJ50" s="1370"/>
      <c r="AK50" s="1370"/>
    </row>
    <row r="51" spans="1:37" s="1369" customFormat="1" ht="60">
      <c r="A51" s="2867" t="s">
        <v>2933</v>
      </c>
      <c r="B51" s="2872" t="s">
        <v>2934</v>
      </c>
      <c r="C51" s="2990" t="s">
        <v>3121</v>
      </c>
      <c r="D51" s="1285">
        <f t="shared" si="10"/>
        <v>3.2000000000000002E-3</v>
      </c>
      <c r="E51" s="822"/>
      <c r="F51" s="2499"/>
      <c r="G51" s="1283">
        <f t="shared" si="15"/>
        <v>3.2000000000000002E-3</v>
      </c>
      <c r="H51" s="1287">
        <f t="shared" si="11"/>
        <v>3.2000000000000002E-3</v>
      </c>
      <c r="I51" s="820">
        <v>0.05</v>
      </c>
      <c r="J51" s="1284">
        <f t="shared" si="12"/>
        <v>6.4000000000000003E-3</v>
      </c>
      <c r="K51" s="1284">
        <f t="shared" si="13"/>
        <v>3.2000000000000002E-3</v>
      </c>
      <c r="L51" s="1284">
        <v>0</v>
      </c>
      <c r="M51" s="1284">
        <f t="shared" si="14"/>
        <v>-3.2000000000000002E-3</v>
      </c>
      <c r="N51" s="1284">
        <f t="shared" si="14"/>
        <v>-6.4000000000000003E-3</v>
      </c>
      <c r="AA51" s="1370"/>
      <c r="AB51" s="1370"/>
      <c r="AC51" s="1370"/>
      <c r="AD51" s="1370"/>
      <c r="AE51" s="1370"/>
      <c r="AF51" s="1370"/>
      <c r="AG51" s="1370"/>
      <c r="AH51" s="1370"/>
      <c r="AI51" s="1370"/>
      <c r="AJ51" s="1370"/>
      <c r="AK51" s="1370"/>
    </row>
    <row r="52" spans="1:37" s="1369" customFormat="1" ht="30">
      <c r="A52" s="2867" t="s">
        <v>2935</v>
      </c>
      <c r="B52" s="2871">
        <f>估价对象房地状况!C24</f>
        <v>0</v>
      </c>
      <c r="C52" s="2990" t="s">
        <v>3121</v>
      </c>
      <c r="D52" s="1285">
        <f t="shared" si="10"/>
        <v>5.1999999999999998E-3</v>
      </c>
      <c r="E52" s="822"/>
      <c r="F52" s="2499"/>
      <c r="G52" s="1283">
        <f t="shared" si="15"/>
        <v>5.1999999999999998E-3</v>
      </c>
      <c r="H52" s="1287">
        <f t="shared" si="11"/>
        <v>5.1999999999999998E-3</v>
      </c>
      <c r="I52" s="820">
        <v>0.08</v>
      </c>
      <c r="J52" s="1284">
        <f t="shared" si="12"/>
        <v>1.04E-2</v>
      </c>
      <c r="K52" s="1284">
        <f t="shared" si="13"/>
        <v>5.1999999999999998E-3</v>
      </c>
      <c r="L52" s="1284">
        <v>0</v>
      </c>
      <c r="M52" s="1284">
        <f t="shared" si="14"/>
        <v>-5.1999999999999998E-3</v>
      </c>
      <c r="N52" s="1284">
        <f t="shared" si="14"/>
        <v>-1.04E-2</v>
      </c>
      <c r="AA52" s="1370"/>
      <c r="AB52" s="1370"/>
      <c r="AC52" s="1370"/>
      <c r="AD52" s="1370"/>
      <c r="AE52" s="1370"/>
      <c r="AF52" s="1370"/>
      <c r="AG52" s="1370"/>
      <c r="AH52" s="1370"/>
      <c r="AI52" s="1370"/>
      <c r="AJ52" s="1370"/>
      <c r="AK52" s="1370"/>
    </row>
    <row r="53" spans="1:37" s="1369" customFormat="1" ht="30">
      <c r="A53" s="2867" t="s">
        <v>2936</v>
      </c>
      <c r="B53" s="2873" t="s">
        <v>2937</v>
      </c>
      <c r="C53" s="2990" t="s">
        <v>3121</v>
      </c>
      <c r="D53" s="1285">
        <f t="shared" si="10"/>
        <v>1.9E-3</v>
      </c>
      <c r="E53" s="822"/>
      <c r="F53" s="2499"/>
      <c r="G53" s="1283">
        <f t="shared" si="15"/>
        <v>1.9E-3</v>
      </c>
      <c r="H53" s="1287">
        <f t="shared" si="11"/>
        <v>1.9E-3</v>
      </c>
      <c r="I53" s="820">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30">
      <c r="A54" s="2874" t="s">
        <v>2938</v>
      </c>
      <c r="B54" s="1724">
        <f>估价对象房地状况!C21</f>
        <v>0</v>
      </c>
      <c r="C54" s="2990" t="s">
        <v>3120</v>
      </c>
      <c r="D54" s="1285">
        <f t="shared" si="10"/>
        <v>0</v>
      </c>
      <c r="E54" s="822"/>
      <c r="F54" s="2499"/>
      <c r="G54" s="1283">
        <f t="shared" si="15"/>
        <v>3.2000000000000002E-3</v>
      </c>
      <c r="H54" s="1287">
        <f t="shared" si="11"/>
        <v>3.2000000000000002E-3</v>
      </c>
      <c r="I54" s="820">
        <v>0.05</v>
      </c>
      <c r="J54" s="1284">
        <f t="shared" si="12"/>
        <v>6.4000000000000003E-3</v>
      </c>
      <c r="K54" s="1284">
        <f t="shared" si="13"/>
        <v>3.2000000000000002E-3</v>
      </c>
      <c r="L54" s="1284">
        <v>0</v>
      </c>
      <c r="M54" s="1284">
        <f t="shared" si="14"/>
        <v>-3.2000000000000002E-3</v>
      </c>
      <c r="N54" s="1284">
        <f t="shared" si="14"/>
        <v>-6.4000000000000003E-3</v>
      </c>
      <c r="AA54" s="1370"/>
      <c r="AB54" s="1370"/>
      <c r="AC54" s="1370"/>
      <c r="AD54" s="1370"/>
      <c r="AE54" s="1370"/>
      <c r="AF54" s="1370"/>
      <c r="AG54" s="1370"/>
      <c r="AH54" s="1370"/>
      <c r="AI54" s="1370"/>
      <c r="AJ54" s="1370"/>
      <c r="AK54" s="1370"/>
    </row>
    <row r="55" spans="1:37" s="1369" customFormat="1" ht="30">
      <c r="A55" s="2874" t="s">
        <v>2939</v>
      </c>
      <c r="B55" s="2871">
        <f>估价对象房地状况!C22</f>
        <v>0</v>
      </c>
      <c r="C55" s="2990" t="s">
        <v>3121</v>
      </c>
      <c r="D55" s="1285">
        <f t="shared" si="10"/>
        <v>6.4999999999999997E-3</v>
      </c>
      <c r="E55" s="822"/>
      <c r="F55" s="2499"/>
      <c r="G55" s="1283">
        <f t="shared" si="15"/>
        <v>6.4999999999999997E-3</v>
      </c>
      <c r="H55" s="1287">
        <f t="shared" si="11"/>
        <v>6.4999999999999997E-3</v>
      </c>
      <c r="I55" s="820">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31" thickBot="1">
      <c r="A56" s="2875" t="s">
        <v>2940</v>
      </c>
      <c r="B56" s="2876">
        <f>估价对象房地状况!C20</f>
        <v>0</v>
      </c>
      <c r="C56" s="2990" t="s">
        <v>3120</v>
      </c>
      <c r="D56" s="1285">
        <f t="shared" si="10"/>
        <v>0</v>
      </c>
      <c r="E56" s="825"/>
      <c r="F56" s="2499"/>
      <c r="G56" s="1283">
        <f t="shared" si="15"/>
        <v>3.8999999999999998E-3</v>
      </c>
      <c r="H56" s="1287">
        <f t="shared" si="11"/>
        <v>3.8999999999999998E-3</v>
      </c>
      <c r="I56" s="824">
        <v>0.06</v>
      </c>
      <c r="J56" s="1284">
        <f t="shared" si="12"/>
        <v>7.7999999999999996E-3</v>
      </c>
      <c r="K56" s="1284">
        <f t="shared" si="13"/>
        <v>3.8999999999999998E-3</v>
      </c>
      <c r="L56" s="1284">
        <v>0</v>
      </c>
      <c r="M56" s="1284">
        <f t="shared" si="14"/>
        <v>-3.8999999999999998E-3</v>
      </c>
      <c r="N56" s="1284">
        <f t="shared" si="14"/>
        <v>-7.7999999999999996E-3</v>
      </c>
      <c r="AA56" s="1370"/>
      <c r="AB56" s="1370"/>
      <c r="AC56" s="1370"/>
      <c r="AD56" s="1370"/>
      <c r="AE56" s="1370"/>
      <c r="AF56" s="1370"/>
      <c r="AG56" s="1370"/>
      <c r="AH56" s="1370"/>
      <c r="AI56" s="1370"/>
      <c r="AJ56" s="1370"/>
      <c r="AK56" s="1370"/>
    </row>
    <row r="57" spans="1:37" s="1369" customFormat="1" ht="14">
      <c r="A57" s="2863" t="s">
        <v>2941</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30">
      <c r="A58" s="2867" t="s">
        <v>2922</v>
      </c>
      <c r="B58" s="1808"/>
      <c r="C58" s="1808" t="s">
        <v>2924</v>
      </c>
      <c r="D58" s="1808" t="s">
        <v>2925</v>
      </c>
      <c r="E58" s="819" t="s">
        <v>2926</v>
      </c>
      <c r="F58" s="2868" t="s">
        <v>2942</v>
      </c>
      <c r="G58" s="1808" t="s">
        <v>754</v>
      </c>
      <c r="H58" s="2869" t="s">
        <v>2928</v>
      </c>
      <c r="I58" s="1808"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30">
      <c r="A59" s="2867" t="s">
        <v>2943</v>
      </c>
      <c r="B59" s="2870">
        <f>估价对象房地状况!C17</f>
        <v>0</v>
      </c>
      <c r="C59" s="2768"/>
      <c r="D59" s="1285">
        <f t="shared" ref="D59:D67" si="16">SUMIF($J$58:$N$58,C59,J59:N59)</f>
        <v>0</v>
      </c>
      <c r="E59" s="821">
        <f>ROUND(SUM(D59:D67),4)</f>
        <v>0</v>
      </c>
      <c r="F59" s="2499" t="str">
        <f>IF(E2="办公",SUMIF(L1:L12,G2,N1:N12),"——")</f>
        <v>——</v>
      </c>
      <c r="G59" s="1283"/>
      <c r="H59" s="1287" t="str">
        <f t="shared" ref="H59:H67" si="17">IFERROR(ROUNDDOWN($F$59*I59/2,4),"——")</f>
        <v>——</v>
      </c>
      <c r="I59" s="820">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5">
      <c r="A60" s="2867" t="s">
        <v>2931</v>
      </c>
      <c r="B60" s="2871">
        <f>估价对象房地状况!C18</f>
        <v>0</v>
      </c>
      <c r="C60" s="2768"/>
      <c r="D60" s="1285">
        <f t="shared" si="16"/>
        <v>0</v>
      </c>
      <c r="E60" s="822"/>
      <c r="F60" s="2499"/>
      <c r="G60" s="1283"/>
      <c r="H60" s="1287" t="str">
        <f t="shared" si="17"/>
        <v>——</v>
      </c>
      <c r="I60" s="820">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30">
      <c r="A61" s="2867" t="s">
        <v>2932</v>
      </c>
      <c r="B61" s="2871">
        <f>估价对象房地状况!C19</f>
        <v>0</v>
      </c>
      <c r="C61" s="2768"/>
      <c r="D61" s="1285">
        <f t="shared" si="16"/>
        <v>0</v>
      </c>
      <c r="E61" s="822"/>
      <c r="F61" s="2499"/>
      <c r="G61" s="1283"/>
      <c r="H61" s="1287" t="str">
        <f t="shared" si="17"/>
        <v>——</v>
      </c>
      <c r="I61" s="820">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60">
      <c r="A62" s="2867" t="s">
        <v>2933</v>
      </c>
      <c r="B62" s="2872" t="s">
        <v>2934</v>
      </c>
      <c r="C62" s="2768"/>
      <c r="D62" s="1285">
        <f t="shared" si="16"/>
        <v>0</v>
      </c>
      <c r="E62" s="822"/>
      <c r="F62" s="2499"/>
      <c r="G62" s="1283"/>
      <c r="H62" s="1287" t="str">
        <f t="shared" si="17"/>
        <v>——</v>
      </c>
      <c r="I62" s="820">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30">
      <c r="A63" s="2867" t="s">
        <v>2935</v>
      </c>
      <c r="B63" s="2871">
        <f>估价对象房地状况!C24</f>
        <v>0</v>
      </c>
      <c r="C63" s="2768"/>
      <c r="D63" s="1285">
        <f t="shared" si="16"/>
        <v>0</v>
      </c>
      <c r="E63" s="822"/>
      <c r="F63" s="2499"/>
      <c r="G63" s="1283"/>
      <c r="H63" s="1287" t="str">
        <f t="shared" si="17"/>
        <v>——</v>
      </c>
      <c r="I63" s="820">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30">
      <c r="A64" s="2867" t="s">
        <v>2936</v>
      </c>
      <c r="B64" s="2873" t="s">
        <v>2937</v>
      </c>
      <c r="C64" s="2768"/>
      <c r="D64" s="1285">
        <f t="shared" si="16"/>
        <v>0</v>
      </c>
      <c r="E64" s="822"/>
      <c r="F64" s="2499"/>
      <c r="G64" s="1283"/>
      <c r="H64" s="1287" t="str">
        <f t="shared" si="17"/>
        <v>——</v>
      </c>
      <c r="I64" s="820">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30">
      <c r="A65" s="2867" t="s">
        <v>2938</v>
      </c>
      <c r="B65" s="1724">
        <f>估价对象房地状况!C21</f>
        <v>0</v>
      </c>
      <c r="C65" s="2768"/>
      <c r="D65" s="1285">
        <f t="shared" si="16"/>
        <v>0</v>
      </c>
      <c r="E65" s="822"/>
      <c r="F65" s="2499"/>
      <c r="G65" s="1283"/>
      <c r="H65" s="1287" t="str">
        <f t="shared" si="17"/>
        <v>——</v>
      </c>
      <c r="I65" s="820">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30">
      <c r="A66" s="2867" t="s">
        <v>2939</v>
      </c>
      <c r="B66" s="1724">
        <f>估价对象房地状况!C22</f>
        <v>0</v>
      </c>
      <c r="C66" s="2768"/>
      <c r="D66" s="1285">
        <f t="shared" si="16"/>
        <v>0</v>
      </c>
      <c r="E66" s="822"/>
      <c r="F66" s="2499"/>
      <c r="G66" s="1283"/>
      <c r="H66" s="1287" t="str">
        <f t="shared" si="17"/>
        <v>——</v>
      </c>
      <c r="I66" s="820">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1" thickBot="1">
      <c r="A67" s="2875" t="s">
        <v>2940</v>
      </c>
      <c r="B67" s="2877">
        <f>估价对象房地状况!C20</f>
        <v>0</v>
      </c>
      <c r="C67" s="2768"/>
      <c r="D67" s="1285">
        <f t="shared" si="16"/>
        <v>0</v>
      </c>
      <c r="E67" s="825"/>
      <c r="F67" s="2499"/>
      <c r="G67" s="1283"/>
      <c r="H67" s="1287" t="str">
        <f t="shared" si="17"/>
        <v>——</v>
      </c>
      <c r="I67" s="824">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30">
      <c r="A69" s="2867" t="s">
        <v>2922</v>
      </c>
      <c r="B69" s="1808"/>
      <c r="C69" s="1808" t="s">
        <v>2924</v>
      </c>
      <c r="D69" s="1808" t="s">
        <v>2925</v>
      </c>
      <c r="E69" s="819" t="s">
        <v>2926</v>
      </c>
      <c r="F69" s="2868" t="s">
        <v>2942</v>
      </c>
      <c r="G69" s="1808" t="s">
        <v>754</v>
      </c>
      <c r="H69" s="2869" t="s">
        <v>2928</v>
      </c>
      <c r="I69" s="1808"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30">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5">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30">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5">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30">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30">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0">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0">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1"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
      <c r="A79" s="2863" t="s">
        <v>2948</v>
      </c>
      <c r="B79" s="2864">
        <f>1+E81</f>
        <v>1</v>
      </c>
      <c r="C79" s="814"/>
      <c r="D79" s="814"/>
      <c r="E79" s="815"/>
      <c r="F79" s="2866"/>
      <c r="G79" s="6"/>
      <c r="H79" s="6"/>
      <c r="I79" s="6"/>
      <c r="J79" s="7"/>
      <c r="K79" s="7"/>
      <c r="L79" s="7"/>
      <c r="M79" s="7"/>
      <c r="N79" s="7"/>
      <c r="Z79" s="2718"/>
      <c r="AA79" s="2785"/>
      <c r="AG79" s="1371"/>
      <c r="AK79" s="2785"/>
    </row>
    <row r="80" spans="1:37" ht="30">
      <c r="A80" s="2867" t="s">
        <v>2922</v>
      </c>
      <c r="B80" s="1808"/>
      <c r="C80" s="1808" t="s">
        <v>2924</v>
      </c>
      <c r="D80" s="1808" t="s">
        <v>2925</v>
      </c>
      <c r="E80" s="819" t="s">
        <v>2926</v>
      </c>
      <c r="F80" s="2868" t="s">
        <v>2942</v>
      </c>
      <c r="G80" s="1808" t="s">
        <v>754</v>
      </c>
      <c r="H80" s="2869" t="s">
        <v>2928</v>
      </c>
      <c r="I80" s="1808" t="s">
        <v>2929</v>
      </c>
      <c r="J80" s="603" t="s">
        <v>2578</v>
      </c>
      <c r="K80" s="603" t="s">
        <v>2579</v>
      </c>
      <c r="L80" s="603" t="s">
        <v>2580</v>
      </c>
      <c r="M80" s="603" t="s">
        <v>2581</v>
      </c>
      <c r="N80" s="603" t="s">
        <v>2582</v>
      </c>
      <c r="Z80" s="2718"/>
      <c r="AA80" s="2785"/>
      <c r="AG80" s="1371"/>
      <c r="AK80" s="2785"/>
    </row>
    <row r="81" spans="1:37" ht="30">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15">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30">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5">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30">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30">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0">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6"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ht="14">
      <c r="A90" s="3203" t="s">
        <v>2952</v>
      </c>
      <c r="B90" s="3203"/>
      <c r="C90" s="3203"/>
      <c r="D90" s="3203"/>
      <c r="E90" s="3203"/>
      <c r="F90" s="3203"/>
      <c r="G90" s="3203"/>
      <c r="H90" s="3203"/>
      <c r="I90" s="3203"/>
      <c r="J90" s="3203"/>
      <c r="K90" s="2881"/>
      <c r="L90" s="2881"/>
      <c r="M90" s="2881"/>
      <c r="N90" s="2881"/>
    </row>
    <row r="91" spans="1:37" ht="14">
      <c r="A91" s="3205" t="s">
        <v>2953</v>
      </c>
      <c r="B91" s="3205" t="s">
        <v>2954</v>
      </c>
      <c r="C91" s="2835" t="s">
        <v>2955</v>
      </c>
      <c r="D91" s="2836"/>
      <c r="E91" s="2836"/>
      <c r="F91" s="2836"/>
      <c r="G91" s="2836"/>
      <c r="H91" s="2836"/>
      <c r="I91" s="2836"/>
      <c r="J91" s="2882"/>
      <c r="K91" s="2883"/>
      <c r="L91" s="2883"/>
      <c r="M91" s="2883"/>
      <c r="N91" s="2883"/>
    </row>
    <row r="92" spans="1:37" ht="14">
      <c r="A92" s="3205"/>
      <c r="B92" s="3205"/>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20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0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0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0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0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0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ht="14">
      <c r="A99" s="320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0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ht="15">
      <c r="A101" s="320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0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0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0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0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0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0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07"/>
      <c r="B108" s="3132"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08"/>
      <c r="B109" s="3133"/>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ht="14">
      <c r="A110" s="3204" t="s">
        <v>2960</v>
      </c>
      <c r="B110" s="3204"/>
      <c r="C110" s="3204"/>
      <c r="D110" s="3204"/>
      <c r="E110" s="3204"/>
      <c r="F110" s="3204"/>
      <c r="G110" s="3204"/>
      <c r="H110" s="3204"/>
      <c r="I110" s="3204"/>
      <c r="J110" s="3204"/>
      <c r="K110" s="2890"/>
      <c r="L110" s="2890"/>
      <c r="M110" s="2890"/>
      <c r="N110" s="2890"/>
    </row>
    <row r="112" spans="1:14" ht="14" thickBot="1"/>
    <row r="113" spans="1:13" ht="30" thickBot="1">
      <c r="A113" s="903" t="s">
        <v>2961</v>
      </c>
      <c r="B113" s="1286">
        <f>G3</f>
        <v>2.1</v>
      </c>
      <c r="C113" s="904" t="s">
        <v>2962</v>
      </c>
      <c r="D113" s="905">
        <f>SUMPRODUCT((A115:A118=F113)*(B114:M114=H113)*B115:M118)</f>
        <v>0.81020000000000003</v>
      </c>
      <c r="E113" s="2722" t="s">
        <v>2795</v>
      </c>
      <c r="F113" s="2892" t="str">
        <f>E2</f>
        <v>商业</v>
      </c>
      <c r="G113" s="2722" t="s">
        <v>2796</v>
      </c>
      <c r="H113" s="2892" t="str">
        <f>G2</f>
        <v>七级</v>
      </c>
      <c r="I113" s="2722"/>
      <c r="J113" s="2893"/>
      <c r="K113" s="2893"/>
      <c r="L113" s="2893"/>
      <c r="M113" s="2893"/>
    </row>
    <row r="114" spans="1:13" ht="15">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ht="15">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ht="15">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ht="15">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6"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18"/>
  <sheetViews>
    <sheetView topLeftCell="A19" zoomScale="80" zoomScaleNormal="80" zoomScaleSheetLayoutView="96" workbookViewId="0">
      <selection activeCell="E29" sqref="E29"/>
    </sheetView>
  </sheetViews>
  <sheetFormatPr baseColWidth="10" defaultColWidth="12" defaultRowHeight="13"/>
  <cols>
    <col min="1" max="1" width="9.6640625" style="2785" customWidth="1"/>
    <col min="2" max="2" width="19.1640625" style="2891" customWidth="1"/>
    <col min="3" max="4" width="12" style="2718"/>
    <col min="5" max="5" width="14.6640625" style="2718" customWidth="1"/>
    <col min="6" max="8" width="12" style="2718"/>
    <col min="9" max="9" width="12.1640625" style="2718" bestFit="1" customWidth="1"/>
    <col min="10" max="10" width="12" style="2718"/>
    <col min="11" max="11" width="8.1640625" style="2780" customWidth="1"/>
    <col min="12" max="12" width="12" style="2718"/>
    <col min="13" max="13" width="8.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2">
      <c r="A1" s="240" t="s">
        <v>2785</v>
      </c>
      <c r="B1" s="241"/>
      <c r="C1" s="245" t="s">
        <v>2786</v>
      </c>
      <c r="D1" s="388">
        <f>SUM(D29:D30,D33:D39)</f>
        <v>13163.48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6">
      <c r="A2" s="245" t="s">
        <v>2793</v>
      </c>
      <c r="B2" s="248">
        <f ca="1">C26</f>
        <v>13541</v>
      </c>
      <c r="C2" s="2719" t="s">
        <v>2794</v>
      </c>
      <c r="D2" s="2720" t="s">
        <v>2795</v>
      </c>
      <c r="E2" s="2721" t="s">
        <v>27</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18128</v>
      </c>
      <c r="U2" s="1602"/>
      <c r="V2" s="1601">
        <f ca="1">ROUND(T2*U2/10000,0)</f>
        <v>0</v>
      </c>
      <c r="W2" s="1605"/>
      <c r="X2" s="1605"/>
      <c r="Y2" s="1605"/>
      <c r="Z2" s="1605"/>
      <c r="AA2" s="1605"/>
      <c r="AB2" s="1605"/>
      <c r="AC2" s="1606"/>
      <c r="AD2" s="1607"/>
      <c r="AE2" s="1607"/>
      <c r="AF2" s="1607"/>
      <c r="AG2" s="1607"/>
      <c r="AH2" s="1607"/>
      <c r="AI2" s="1607"/>
      <c r="AJ2" s="1608"/>
    </row>
    <row r="3" spans="1:36" ht="28">
      <c r="A3" s="247" t="s">
        <v>2799</v>
      </c>
      <c r="B3" s="248">
        <f ca="1">ROUND(B2*10000/D1,0)</f>
        <v>10287</v>
      </c>
      <c r="C3" s="2719" t="s">
        <v>2800</v>
      </c>
      <c r="D3" s="2720" t="s">
        <v>2801</v>
      </c>
      <c r="E3" s="2725" t="s">
        <v>3123</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13012</v>
      </c>
      <c r="U3" s="1602"/>
      <c r="V3" s="1601">
        <f t="shared" ref="V3:V16" ca="1" si="1">ROUND(T3*U3/10000,0)</f>
        <v>0</v>
      </c>
      <c r="W3" s="1605"/>
      <c r="X3" s="1605"/>
      <c r="Y3" s="1605"/>
      <c r="Z3" s="1605"/>
      <c r="AA3" s="1605"/>
      <c r="AB3" s="1605"/>
      <c r="AC3" s="1606"/>
      <c r="AD3" s="1607"/>
      <c r="AE3" s="1607"/>
      <c r="AF3" s="1607"/>
      <c r="AG3" s="1607"/>
      <c r="AH3" s="1607"/>
      <c r="AI3" s="1607"/>
      <c r="AJ3" s="1608"/>
    </row>
    <row r="4" spans="1:36" ht="16">
      <c r="A4" s="3217"/>
      <c r="B4" s="3218"/>
      <c r="C4" s="3218"/>
      <c r="D4" s="3219"/>
      <c r="E4" s="3219"/>
      <c r="F4" s="3219"/>
      <c r="G4" s="3219"/>
      <c r="H4" s="3219"/>
      <c r="I4" s="3219"/>
      <c r="J4" s="3220"/>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10498</v>
      </c>
      <c r="U4" s="1602"/>
      <c r="V4" s="1601">
        <f t="shared" ca="1" si="1"/>
        <v>0</v>
      </c>
      <c r="W4" s="1605"/>
      <c r="X4" s="1605"/>
      <c r="Y4" s="1605"/>
      <c r="Z4" s="1605"/>
      <c r="AA4" s="1605"/>
      <c r="AB4" s="1605"/>
      <c r="AC4" s="1606"/>
      <c r="AD4" s="1607"/>
      <c r="AE4" s="1607"/>
      <c r="AF4" s="1607"/>
      <c r="AG4" s="1607"/>
      <c r="AH4" s="1607"/>
      <c r="AI4" s="1607"/>
      <c r="AJ4" s="1608"/>
    </row>
    <row r="5" spans="1:36" s="2736" customFormat="1" ht="17" thickBot="1">
      <c r="A5" s="2727" t="s">
        <v>807</v>
      </c>
      <c r="B5" s="2728" t="s">
        <v>2807</v>
      </c>
      <c r="C5" s="917">
        <f>ROUND(IF(E2="商业",C6*C7+C16,(IF(E2="住宅",C6*C12+C16,C6+C16))),0)</f>
        <v>7154</v>
      </c>
      <c r="D5" s="1786">
        <f>ROUND(C6+C16,0)</f>
        <v>7154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8423</v>
      </c>
      <c r="U5" s="1602"/>
      <c r="V5" s="1601">
        <f t="shared" ca="1" si="1"/>
        <v>0</v>
      </c>
      <c r="W5" s="1605"/>
      <c r="X5" s="1605"/>
      <c r="Y5" s="1605"/>
      <c r="Z5" s="1605"/>
      <c r="AA5" s="1605"/>
      <c r="AB5" s="1605"/>
      <c r="AC5" s="2733"/>
      <c r="AD5" s="2734"/>
      <c r="AE5" s="2734"/>
      <c r="AF5" s="2734"/>
      <c r="AG5" s="2734"/>
      <c r="AH5" s="2734"/>
      <c r="AI5" s="2734"/>
      <c r="AJ5" s="2735"/>
    </row>
    <row r="6" spans="1:36" ht="17" thickBot="1">
      <c r="A6" s="2737" t="s">
        <v>2809</v>
      </c>
      <c r="B6" s="2738" t="s">
        <v>2810</v>
      </c>
      <c r="C6" s="918">
        <f>SUMIF(L1:L12,G2,M1:M12)</f>
        <v>7170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7173</v>
      </c>
      <c r="U6" s="1602"/>
      <c r="V6" s="1601">
        <f t="shared" ca="1" si="1"/>
        <v>0</v>
      </c>
      <c r="W6" s="1605"/>
      <c r="X6" s="1605"/>
      <c r="Y6" s="1605"/>
      <c r="Z6" s="1605"/>
      <c r="AA6" s="1605"/>
      <c r="AB6" s="1605"/>
      <c r="AC6" s="2733"/>
      <c r="AD6" s="2734"/>
      <c r="AE6" s="2734"/>
      <c r="AF6" s="2734"/>
      <c r="AG6" s="2734"/>
      <c r="AH6" s="2734"/>
      <c r="AI6" s="2734"/>
      <c r="AJ6" s="2735"/>
    </row>
    <row r="7" spans="1:36" ht="30">
      <c r="A7" s="3201"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7170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6308</v>
      </c>
      <c r="U7" s="1602"/>
      <c r="V7" s="1601">
        <f t="shared" ca="1" si="1"/>
        <v>0</v>
      </c>
      <c r="W7" s="2958" t="s">
        <v>2816</v>
      </c>
      <c r="X7" s="1603" t="str">
        <f>G2</f>
        <v>七级</v>
      </c>
      <c r="Y7" s="1603" t="s">
        <v>2817</v>
      </c>
      <c r="Z7" s="1604">
        <f>G3</f>
        <v>2.1</v>
      </c>
      <c r="AA7" s="1605"/>
      <c r="AB7" s="1605"/>
      <c r="AC7" s="1606"/>
      <c r="AD7" s="1607"/>
      <c r="AE7" s="1607"/>
      <c r="AF7" s="1607"/>
      <c r="AG7" s="1607"/>
      <c r="AH7" s="1607"/>
      <c r="AI7" s="1607"/>
      <c r="AJ7" s="1608"/>
    </row>
    <row r="8" spans="1:36" ht="28">
      <c r="A8" s="3221"/>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14" t="s">
        <v>2821</v>
      </c>
      <c r="X8" s="3215"/>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6">
      <c r="A9" s="3221"/>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16"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6">
      <c r="A10" s="3221"/>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7" thickBot="1">
      <c r="A11" s="3221"/>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16"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31" thickBot="1">
      <c r="A12" s="3201"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16"/>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30">
      <c r="A13" s="3222"/>
      <c r="B13" s="2762" t="s">
        <v>2852</v>
      </c>
      <c r="C13" s="2763" t="s">
        <v>2853</v>
      </c>
      <c r="D13" s="2950" t="s">
        <v>2854</v>
      </c>
      <c r="E13" s="2950"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16"/>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6">
      <c r="A14" s="3222"/>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7" thickBot="1">
      <c r="A15" s="3223"/>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5" customHeight="1">
      <c r="A16" s="3201" t="s">
        <v>2864</v>
      </c>
      <c r="B16" s="2743" t="s">
        <v>2865</v>
      </c>
      <c r="C16" s="2951">
        <f>ROUND(IF(F17="与级别开发程度一致",0,(G17-E17)/C17),0)</f>
        <v>-16</v>
      </c>
      <c r="D16" s="3212" t="s">
        <v>2869</v>
      </c>
      <c r="E16" s="3213"/>
      <c r="F16" s="3212" t="s">
        <v>2866</v>
      </c>
      <c r="G16" s="3213"/>
      <c r="H16" s="2777"/>
      <c r="I16" s="2999" t="s">
        <v>3060</v>
      </c>
      <c r="J16" s="3000" t="s">
        <v>3061</v>
      </c>
      <c r="K16" s="2999" t="s">
        <v>3062</v>
      </c>
      <c r="L16" s="2999" t="s">
        <v>3063</v>
      </c>
      <c r="M16" s="2999" t="s">
        <v>3064</v>
      </c>
      <c r="N16" s="2999" t="s">
        <v>3065</v>
      </c>
      <c r="O16" s="3001"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9" thickBot="1">
      <c r="A17" s="320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6" thickBot="1">
      <c r="A18" s="2933" t="s">
        <v>808</v>
      </c>
      <c r="B18" s="2934" t="s">
        <v>2871</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31"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43906</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31" thickBot="1">
      <c r="A20" s="2793" t="s">
        <v>810</v>
      </c>
      <c r="B20" s="2794" t="s">
        <v>2877</v>
      </c>
      <c r="C20" s="929">
        <f ca="1">ROUND(POWER(1+G20,J20-I20)*(POWER(1+G20,I20)-1)/(POWER(1+G20,J20)-1),4)</f>
        <v>0.96650000000000003</v>
      </c>
      <c r="D20" s="2795" t="s">
        <v>2878</v>
      </c>
      <c r="E20" s="1767">
        <f ca="1">存贷款利率!D4/100</f>
        <v>4.3499999999999997E-2</v>
      </c>
      <c r="F20" s="2795" t="s">
        <v>2870</v>
      </c>
      <c r="G20" s="934">
        <f ca="1">SUMIF(M26:P26,E2,M28:P28)</f>
        <v>5.1999999999999998E-2</v>
      </c>
      <c r="H20" s="2795" t="s">
        <v>2879</v>
      </c>
      <c r="I20" s="2957">
        <f>SUMIF('数据-取费表'!C6:C15,E2,'数据-取费表'!F6:F15)/COUNTIF('数据-取费表'!C6:C15,E2)</f>
        <v>43.52</v>
      </c>
      <c r="J20" s="936">
        <f>IF(E2="住宅",70,IF(E2="商业",40,50))</f>
        <v>50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5">
      <c r="A21" s="2800" t="s">
        <v>811</v>
      </c>
      <c r="B21" s="2801" t="s">
        <v>3119</v>
      </c>
      <c r="C21" s="2953">
        <f>IF(B21="容积率修正",IF(G3&lt;=10,D22,J22),C23)</f>
        <v>1.0571999999999999</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5">
      <c r="A22" s="2662" t="s">
        <v>2885</v>
      </c>
      <c r="B22" s="2805" t="s">
        <v>2886</v>
      </c>
      <c r="C22" s="2952" t="s">
        <v>2887</v>
      </c>
      <c r="D22" s="2952">
        <f>IF(E22=G22,F22,IF(G3&lt;=10,ROUND(F22+(H22-F22)*(G3-E22)/(G22-E22),4),"——"))</f>
        <v>1.0571999999999999</v>
      </c>
      <c r="E22" s="916">
        <f>ROUNDDOWN(G3,1)</f>
        <v>2.1</v>
      </c>
      <c r="F22" s="2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2.1</v>
      </c>
      <c r="H22" s="2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52"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16"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6" thickBot="1">
      <c r="A24" s="2793" t="s">
        <v>812</v>
      </c>
      <c r="B24" s="2782" t="s">
        <v>2892</v>
      </c>
      <c r="C24" s="924">
        <f>SUMIF(A45:A88,E2,B45:B88)</f>
        <v>1.0310999999999999</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6"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18"/>
      <c r="B26" s="2805" t="s">
        <v>2896</v>
      </c>
      <c r="C26" s="206">
        <f ca="1">E29+SUM(E33:E39)</f>
        <v>13541</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6"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6"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10287</v>
      </c>
      <c r="D29" s="2834">
        <f>面积!D7+面积!D8+面积!D9</f>
        <v>13163.48</v>
      </c>
      <c r="E29" s="2956">
        <f ca="1">ROUND(C29*D29/10000,0)</f>
        <v>13541</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31" thickBot="1">
      <c r="A30" s="2838"/>
      <c r="B30" s="2839" t="s">
        <v>2904</v>
      </c>
      <c r="C30" s="229">
        <f ca="1">ROUND(IF(E2="工业",C29*M39,C29*M38),0)</f>
        <v>2572</v>
      </c>
      <c r="D30" s="2840"/>
      <c r="E30" s="2956">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5">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0">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09" t="s">
        <v>2910</v>
      </c>
      <c r="B33" s="2850" t="s">
        <v>2911</v>
      </c>
      <c r="C33" s="206">
        <f ca="1">ROUND(D5*C19*C20*C24*F33,0)</f>
        <v>6812</v>
      </c>
      <c r="D33" s="2834"/>
      <c r="E33" s="200">
        <f ca="1">ROUND(C33*D33/10000,0)</f>
        <v>0</v>
      </c>
      <c r="F33" s="200">
        <f>SUMIF(修正!A45:A56,G2,修正!B45:B56)</f>
        <v>0.7</v>
      </c>
      <c r="G33" s="200">
        <f t="shared" ref="G33" ca="1" si="6">ROUND(IF(E2="工业",C33*$M$39,C33*$M$38),0)</f>
        <v>1703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5">
      <c r="A34" s="3210"/>
      <c r="B34" s="2763" t="s">
        <v>2912</v>
      </c>
      <c r="C34" s="206">
        <f ca="1">ROUND(D5*C19*C20*C24*F34,0)</f>
        <v>3892</v>
      </c>
      <c r="D34" s="2834"/>
      <c r="E34" s="200">
        <f t="shared" ref="E34:E39" ca="1" si="7">ROUND(C34*D34/10000,0)</f>
        <v>0</v>
      </c>
      <c r="F34" s="200">
        <f>SUMIF(修正!A45:A56,G2,修正!C45:C56)</f>
        <v>0.4</v>
      </c>
      <c r="G34" s="200">
        <f ca="1">ROUND(IF(E2="工业",C34*$M$39,C34*$M$38),0)</f>
        <v>973</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ht="15">
      <c r="A35" s="3210"/>
      <c r="B35" s="2763" t="s">
        <v>2913</v>
      </c>
      <c r="C35" s="206">
        <f ca="1">ROUND(D5*C19*C20*C24*F35,0)</f>
        <v>2725</v>
      </c>
      <c r="D35" s="2834"/>
      <c r="E35" s="200">
        <f t="shared" ca="1" si="7"/>
        <v>0</v>
      </c>
      <c r="F35" s="200">
        <f>SUMIF(修正!A45:A56,G2,修正!D45:D56)</f>
        <v>0.28000000000000003</v>
      </c>
      <c r="G35" s="200">
        <f ca="1">ROUND(IF(E2="工业",C35*$M$39,C35*$M$38),0)</f>
        <v>681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6" thickBot="1">
      <c r="A36" s="3211"/>
      <c r="B36" s="2763" t="s">
        <v>2914</v>
      </c>
      <c r="C36" s="206">
        <f ca="1">ROUND(D5*C19*C20*C24*F36,0)</f>
        <v>2433</v>
      </c>
      <c r="D36" s="2834"/>
      <c r="E36" s="200">
        <f t="shared" ca="1" si="7"/>
        <v>0</v>
      </c>
      <c r="F36" s="200">
        <f>SUMIF(修正!A45:A56,G2,修正!E45:E56)</f>
        <v>0.25</v>
      </c>
      <c r="G36" s="200">
        <f ca="1">ROUND(IF(E2="工业",C36*$M$39,C36*$M$38),0)</f>
        <v>608</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ht="15">
      <c r="A37" s="2852"/>
      <c r="B37" s="2763" t="s">
        <v>2915</v>
      </c>
      <c r="C37" s="200">
        <f ca="1">ROUND(D5*C19*C20*C24*F37,0)</f>
        <v>2433</v>
      </c>
      <c r="D37" s="2834"/>
      <c r="E37" s="200">
        <f t="shared" ca="1" si="7"/>
        <v>0</v>
      </c>
      <c r="F37" s="206">
        <f>SUMIF(修正!A45:A56,G2,修正!F45:F56)</f>
        <v>0.25</v>
      </c>
      <c r="G37" s="200">
        <f ca="1">ROUND(IF(E2="工业",C37*$M$39,C37*$M$38),0)</f>
        <v>608</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ht="15">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6"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15">
      <c r="A41" s="1370"/>
      <c r="B41" s="2927" t="s">
        <v>3027</v>
      </c>
      <c r="C41" s="388">
        <f ca="1">ROUND(POWER(1+E41,H41-G41)*(POWER(1+E41,G41)-1)/(POWER(1+E41,H41)-1),4)</f>
        <v>0</v>
      </c>
      <c r="D41" s="200" t="s">
        <v>2870</v>
      </c>
      <c r="E41" s="2926">
        <f ca="1">G20</f>
        <v>5.1999999999999998E-2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
      <c r="A46" s="2863" t="s">
        <v>2921</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30">
      <c r="A47" s="2867" t="s">
        <v>2922</v>
      </c>
      <c r="B47" s="2949" t="s">
        <v>2923</v>
      </c>
      <c r="C47" s="2949" t="s">
        <v>2924</v>
      </c>
      <c r="D47" s="2949" t="s">
        <v>2925</v>
      </c>
      <c r="E47" s="819" t="s">
        <v>2926</v>
      </c>
      <c r="F47" s="2868" t="s">
        <v>2927</v>
      </c>
      <c r="G47" s="2949" t="s">
        <v>754</v>
      </c>
      <c r="H47" s="2869" t="s">
        <v>2928</v>
      </c>
      <c r="I47" s="2949"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30">
      <c r="A48" s="2867" t="s">
        <v>2930</v>
      </c>
      <c r="B48" s="2870">
        <f>估价对象房地状况!C4</f>
        <v>0</v>
      </c>
      <c r="C48" s="2990"/>
      <c r="D48" s="1285">
        <f t="shared" ref="D48:D56" si="10">SUMIF($J$47:$N$47,C48,J48:N48)</f>
        <v>0</v>
      </c>
      <c r="E48" s="821">
        <f>ROUND(SUM(D48:D56),4)</f>
        <v>0</v>
      </c>
      <c r="F48" s="249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5">
      <c r="A49" s="2867" t="s">
        <v>2931</v>
      </c>
      <c r="B49" s="2871">
        <f>估价对象房地状况!C18</f>
        <v>0</v>
      </c>
      <c r="C49" s="2990"/>
      <c r="D49" s="1285">
        <f t="shared" si="10"/>
        <v>0</v>
      </c>
      <c r="E49" s="822"/>
      <c r="F49" s="249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30">
      <c r="A50" s="2867" t="s">
        <v>2932</v>
      </c>
      <c r="B50" s="2871">
        <f>估价对象房地状况!C19</f>
        <v>0</v>
      </c>
      <c r="C50" s="2990"/>
      <c r="D50" s="1285">
        <f t="shared" si="10"/>
        <v>0</v>
      </c>
      <c r="E50" s="822"/>
      <c r="F50" s="249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60">
      <c r="A51" s="2867" t="s">
        <v>2933</v>
      </c>
      <c r="B51" s="2872" t="s">
        <v>2934</v>
      </c>
      <c r="C51" s="2990"/>
      <c r="D51" s="1285">
        <f t="shared" si="10"/>
        <v>0</v>
      </c>
      <c r="E51" s="822"/>
      <c r="F51" s="249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30">
      <c r="A52" s="2867" t="s">
        <v>2935</v>
      </c>
      <c r="B52" s="2871">
        <f>估价对象房地状况!C24</f>
        <v>0</v>
      </c>
      <c r="C52" s="2990"/>
      <c r="D52" s="1285">
        <f t="shared" si="10"/>
        <v>0</v>
      </c>
      <c r="E52" s="822"/>
      <c r="F52" s="249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0">
      <c r="A53" s="2867" t="s">
        <v>2936</v>
      </c>
      <c r="B53" s="2873" t="s">
        <v>2937</v>
      </c>
      <c r="C53" s="2990"/>
      <c r="D53" s="1285">
        <f t="shared" si="10"/>
        <v>0</v>
      </c>
      <c r="E53" s="822"/>
      <c r="F53" s="249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0">
      <c r="A54" s="2874" t="s">
        <v>2938</v>
      </c>
      <c r="B54" s="1724">
        <f>估价对象房地状况!C21</f>
        <v>0</v>
      </c>
      <c r="C54" s="2990"/>
      <c r="D54" s="1285">
        <f t="shared" si="10"/>
        <v>0</v>
      </c>
      <c r="E54" s="822"/>
      <c r="F54" s="249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30">
      <c r="A55" s="2874" t="s">
        <v>2939</v>
      </c>
      <c r="B55" s="2871">
        <f>估价对象房地状况!C22</f>
        <v>0</v>
      </c>
      <c r="C55" s="2990"/>
      <c r="D55" s="1285">
        <f t="shared" si="10"/>
        <v>0</v>
      </c>
      <c r="E55" s="822"/>
      <c r="F55" s="249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1" thickBot="1">
      <c r="A56" s="2875" t="s">
        <v>2940</v>
      </c>
      <c r="B56" s="2876">
        <f>估价对象房地状况!C20</f>
        <v>0</v>
      </c>
      <c r="C56" s="2990"/>
      <c r="D56" s="1285">
        <f t="shared" si="10"/>
        <v>0</v>
      </c>
      <c r="E56" s="825"/>
      <c r="F56" s="249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
      <c r="A57" s="2863" t="s">
        <v>2941</v>
      </c>
      <c r="B57" s="2864">
        <f>1+E59</f>
        <v>1.0310999999999999</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30">
      <c r="A58" s="2867" t="s">
        <v>2922</v>
      </c>
      <c r="B58" s="2949"/>
      <c r="C58" s="2949" t="s">
        <v>2924</v>
      </c>
      <c r="D58" s="2949" t="s">
        <v>2925</v>
      </c>
      <c r="E58" s="819" t="s">
        <v>2926</v>
      </c>
      <c r="F58" s="2868" t="s">
        <v>2942</v>
      </c>
      <c r="G58" s="2949" t="s">
        <v>754</v>
      </c>
      <c r="H58" s="2869" t="s">
        <v>2928</v>
      </c>
      <c r="I58" s="2949"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30">
      <c r="A59" s="2867" t="s">
        <v>2943</v>
      </c>
      <c r="B59" s="2870">
        <f>估价对象房地状况!C17</f>
        <v>0</v>
      </c>
      <c r="C59" s="2990" t="s">
        <v>3120</v>
      </c>
      <c r="D59" s="1285">
        <f t="shared" ref="D59:D67" si="15">SUMIF($J$58:$N$58,C59,J59:N59)</f>
        <v>0</v>
      </c>
      <c r="E59" s="821">
        <f>ROUND(SUM(D59:D67),4)</f>
        <v>3.1099999999999999E-2</v>
      </c>
      <c r="F59" s="2499">
        <f>IF(E2="办公",SUMIF(L1:L12,G2,N1:N12),"——")</f>
        <v>0.13</v>
      </c>
      <c r="G59" s="1283">
        <f>H59</f>
        <v>1.5599999999999999E-2</v>
      </c>
      <c r="H59" s="1287">
        <f t="shared" ref="H59:H67" si="16">IFERROR(ROUNDDOWN($F$59*I59/2,4),"——")</f>
        <v>1.5599999999999999E-2</v>
      </c>
      <c r="I59" s="820">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5">
      <c r="A60" s="2867" t="s">
        <v>2931</v>
      </c>
      <c r="B60" s="2871">
        <f>估价对象房地状况!C18</f>
        <v>0</v>
      </c>
      <c r="C60" s="2990" t="s">
        <v>3121</v>
      </c>
      <c r="D60" s="1285">
        <f t="shared" si="15"/>
        <v>1.95E-2</v>
      </c>
      <c r="E60" s="822"/>
      <c r="F60" s="2499"/>
      <c r="G60" s="1283">
        <f t="shared" ref="G60:G67" si="20">H60</f>
        <v>1.95E-2</v>
      </c>
      <c r="H60" s="1287">
        <f t="shared" si="16"/>
        <v>1.95E-2</v>
      </c>
      <c r="I60" s="820">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30">
      <c r="A61" s="2867" t="s">
        <v>2932</v>
      </c>
      <c r="B61" s="2871">
        <f>估价对象房地状况!C19</f>
        <v>0</v>
      </c>
      <c r="C61" s="2990" t="s">
        <v>3122</v>
      </c>
      <c r="D61" s="1285">
        <f t="shared" si="15"/>
        <v>-5.1999999999999998E-3</v>
      </c>
      <c r="E61" s="822"/>
      <c r="F61" s="2499"/>
      <c r="G61" s="1283">
        <f t="shared" si="20"/>
        <v>5.1999999999999998E-3</v>
      </c>
      <c r="H61" s="1287">
        <f t="shared" si="16"/>
        <v>5.1999999999999998E-3</v>
      </c>
      <c r="I61" s="820">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60">
      <c r="A62" s="2867" t="s">
        <v>2933</v>
      </c>
      <c r="B62" s="2872" t="s">
        <v>2934</v>
      </c>
      <c r="C62" s="2990" t="s">
        <v>3121</v>
      </c>
      <c r="D62" s="1285">
        <f t="shared" si="15"/>
        <v>2.5999999999999999E-3</v>
      </c>
      <c r="E62" s="822"/>
      <c r="F62" s="2499"/>
      <c r="G62" s="1283">
        <f t="shared" si="20"/>
        <v>2.5999999999999999E-3</v>
      </c>
      <c r="H62" s="1287">
        <f t="shared" si="16"/>
        <v>2.5999999999999999E-3</v>
      </c>
      <c r="I62" s="820">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30">
      <c r="A63" s="2867" t="s">
        <v>2935</v>
      </c>
      <c r="B63" s="2871">
        <f>估价对象房地状况!C24</f>
        <v>0</v>
      </c>
      <c r="C63" s="2990" t="s">
        <v>3121</v>
      </c>
      <c r="D63" s="1285">
        <f t="shared" si="15"/>
        <v>3.2000000000000002E-3</v>
      </c>
      <c r="E63" s="822"/>
      <c r="F63" s="2499"/>
      <c r="G63" s="1283">
        <f t="shared" si="20"/>
        <v>3.2000000000000002E-3</v>
      </c>
      <c r="H63" s="1287">
        <f t="shared" si="16"/>
        <v>3.2000000000000002E-3</v>
      </c>
      <c r="I63" s="820">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30">
      <c r="A64" s="2867" t="s">
        <v>2936</v>
      </c>
      <c r="B64" s="2873" t="s">
        <v>2937</v>
      </c>
      <c r="C64" s="2990" t="s">
        <v>3121</v>
      </c>
      <c r="D64" s="1285">
        <f t="shared" si="15"/>
        <v>3.2000000000000002E-3</v>
      </c>
      <c r="E64" s="822"/>
      <c r="F64" s="2499"/>
      <c r="G64" s="1283">
        <f t="shared" si="20"/>
        <v>3.2000000000000002E-3</v>
      </c>
      <c r="H64" s="1287">
        <f t="shared" si="16"/>
        <v>3.2000000000000002E-3</v>
      </c>
      <c r="I64" s="820">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30">
      <c r="A65" s="2867" t="s">
        <v>2938</v>
      </c>
      <c r="B65" s="1724">
        <f>估价对象房地状况!C21</f>
        <v>0</v>
      </c>
      <c r="C65" s="2990" t="s">
        <v>3120</v>
      </c>
      <c r="D65" s="1285">
        <f t="shared" si="15"/>
        <v>0</v>
      </c>
      <c r="E65" s="822"/>
      <c r="F65" s="2499"/>
      <c r="G65" s="1283">
        <f t="shared" si="20"/>
        <v>3.8999999999999998E-3</v>
      </c>
      <c r="H65" s="1287">
        <f t="shared" si="16"/>
        <v>3.8999999999999998E-3</v>
      </c>
      <c r="I65" s="820">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30">
      <c r="A66" s="2867" t="s">
        <v>2939</v>
      </c>
      <c r="B66" s="1724">
        <f>估价对象房地状况!C22</f>
        <v>0</v>
      </c>
      <c r="C66" s="2990" t="s">
        <v>3121</v>
      </c>
      <c r="D66" s="1285">
        <f t="shared" si="15"/>
        <v>7.7999999999999996E-3</v>
      </c>
      <c r="E66" s="822"/>
      <c r="F66" s="2499"/>
      <c r="G66" s="1283">
        <f t="shared" si="20"/>
        <v>7.7999999999999996E-3</v>
      </c>
      <c r="H66" s="1287">
        <f t="shared" si="16"/>
        <v>7.7999999999999996E-3</v>
      </c>
      <c r="I66" s="820">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1" thickBot="1">
      <c r="A67" s="2875" t="s">
        <v>2940</v>
      </c>
      <c r="B67" s="2877">
        <f>估价对象房地状况!C20</f>
        <v>0</v>
      </c>
      <c r="C67" s="2990" t="s">
        <v>3120</v>
      </c>
      <c r="D67" s="1285">
        <f t="shared" si="15"/>
        <v>0</v>
      </c>
      <c r="E67" s="825"/>
      <c r="F67" s="2499"/>
      <c r="G67" s="1283">
        <f t="shared" si="20"/>
        <v>3.8999999999999998E-3</v>
      </c>
      <c r="H67" s="1287">
        <f t="shared" si="16"/>
        <v>3.8999999999999998E-3</v>
      </c>
      <c r="I67" s="824">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30">
      <c r="A69" s="2867" t="s">
        <v>2922</v>
      </c>
      <c r="B69" s="2949"/>
      <c r="C69" s="2949" t="s">
        <v>2924</v>
      </c>
      <c r="D69" s="2949" t="s">
        <v>2925</v>
      </c>
      <c r="E69" s="819" t="s">
        <v>2926</v>
      </c>
      <c r="F69" s="2868" t="s">
        <v>2942</v>
      </c>
      <c r="G69" s="2949" t="s">
        <v>754</v>
      </c>
      <c r="H69" s="2869" t="s">
        <v>2928</v>
      </c>
      <c r="I69" s="2949"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30">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5">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30">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5">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30">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30">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0">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0">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1"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
      <c r="A79" s="2863" t="s">
        <v>2948</v>
      </c>
      <c r="B79" s="2864">
        <f>1+E81</f>
        <v>1</v>
      </c>
      <c r="C79" s="814"/>
      <c r="D79" s="814"/>
      <c r="E79" s="815"/>
      <c r="F79" s="2866"/>
      <c r="G79" s="6"/>
      <c r="H79" s="6"/>
      <c r="I79" s="6"/>
      <c r="J79" s="7"/>
      <c r="K79" s="7"/>
      <c r="L79" s="7"/>
      <c r="M79" s="7"/>
      <c r="N79" s="7"/>
      <c r="Z79" s="2718"/>
      <c r="AA79" s="2785"/>
      <c r="AG79" s="1371"/>
      <c r="AK79" s="2785"/>
    </row>
    <row r="80" spans="1:37" ht="30">
      <c r="A80" s="2867" t="s">
        <v>2922</v>
      </c>
      <c r="B80" s="2949"/>
      <c r="C80" s="2949" t="s">
        <v>2924</v>
      </c>
      <c r="D80" s="2949" t="s">
        <v>2925</v>
      </c>
      <c r="E80" s="819" t="s">
        <v>2926</v>
      </c>
      <c r="F80" s="2868" t="s">
        <v>2942</v>
      </c>
      <c r="G80" s="2949" t="s">
        <v>754</v>
      </c>
      <c r="H80" s="2869" t="s">
        <v>2928</v>
      </c>
      <c r="I80" s="2949" t="s">
        <v>2929</v>
      </c>
      <c r="J80" s="603" t="s">
        <v>2578</v>
      </c>
      <c r="K80" s="603" t="s">
        <v>2579</v>
      </c>
      <c r="L80" s="603" t="s">
        <v>2580</v>
      </c>
      <c r="M80" s="603" t="s">
        <v>2581</v>
      </c>
      <c r="N80" s="603" t="s">
        <v>2582</v>
      </c>
      <c r="Z80" s="2718"/>
      <c r="AA80" s="2785"/>
      <c r="AG80" s="1371"/>
      <c r="AK80" s="2785"/>
    </row>
    <row r="81" spans="1:37" ht="30">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15">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30">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5">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30">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30">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0">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6"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ht="14">
      <c r="A90" s="3203" t="s">
        <v>2952</v>
      </c>
      <c r="B90" s="3203"/>
      <c r="C90" s="3203"/>
      <c r="D90" s="3203"/>
      <c r="E90" s="3203"/>
      <c r="F90" s="3203"/>
      <c r="G90" s="3203"/>
      <c r="H90" s="3203"/>
      <c r="I90" s="3203"/>
      <c r="J90" s="3203"/>
      <c r="K90" s="2954"/>
      <c r="L90" s="2954"/>
      <c r="M90" s="2954"/>
      <c r="N90" s="2954"/>
    </row>
    <row r="91" spans="1:37" ht="14">
      <c r="A91" s="3205" t="s">
        <v>2953</v>
      </c>
      <c r="B91" s="3205" t="s">
        <v>2954</v>
      </c>
      <c r="C91" s="2835" t="s">
        <v>2955</v>
      </c>
      <c r="D91" s="2836"/>
      <c r="E91" s="2836"/>
      <c r="F91" s="2836"/>
      <c r="G91" s="2836"/>
      <c r="H91" s="2836"/>
      <c r="I91" s="2836"/>
      <c r="J91" s="2882"/>
      <c r="K91" s="2883"/>
      <c r="L91" s="2883"/>
      <c r="M91" s="2883"/>
      <c r="N91" s="2883"/>
    </row>
    <row r="92" spans="1:37" ht="14">
      <c r="A92" s="3205"/>
      <c r="B92" s="3205"/>
      <c r="C92" s="2956" t="s">
        <v>2822</v>
      </c>
      <c r="D92" s="2956" t="s">
        <v>2823</v>
      </c>
      <c r="E92" s="2956" t="s">
        <v>2824</v>
      </c>
      <c r="F92" s="2956" t="s">
        <v>2825</v>
      </c>
      <c r="G92" s="2956" t="s">
        <v>2826</v>
      </c>
      <c r="H92" s="2956" t="s">
        <v>2827</v>
      </c>
      <c r="I92" s="2956" t="s">
        <v>2828</v>
      </c>
      <c r="J92" s="2956" t="s">
        <v>2829</v>
      </c>
      <c r="K92" s="2956" t="s">
        <v>2830</v>
      </c>
      <c r="L92" s="2956" t="s">
        <v>2831</v>
      </c>
      <c r="M92" s="2956" t="s">
        <v>2832</v>
      </c>
      <c r="N92" s="2956" t="s">
        <v>2833</v>
      </c>
    </row>
    <row r="93" spans="1:37">
      <c r="A93" s="320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0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0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0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0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0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ht="14">
      <c r="A99" s="320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0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ht="15">
      <c r="A101" s="320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0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0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0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0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0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0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07"/>
      <c r="B108" s="3132"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08"/>
      <c r="B109" s="3133"/>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ht="14">
      <c r="A110" s="3204" t="s">
        <v>2960</v>
      </c>
      <c r="B110" s="3204"/>
      <c r="C110" s="3204"/>
      <c r="D110" s="3204"/>
      <c r="E110" s="3204"/>
      <c r="F110" s="3204"/>
      <c r="G110" s="3204"/>
      <c r="H110" s="3204"/>
      <c r="I110" s="3204"/>
      <c r="J110" s="3204"/>
      <c r="K110" s="2955"/>
      <c r="L110" s="2955"/>
      <c r="M110" s="2955"/>
      <c r="N110" s="2955"/>
    </row>
    <row r="112" spans="1:14" ht="14" thickBot="1"/>
    <row r="113" spans="1:13" ht="30" thickBot="1">
      <c r="A113" s="903" t="s">
        <v>2961</v>
      </c>
      <c r="B113" s="1286">
        <f>G3</f>
        <v>2.1</v>
      </c>
      <c r="C113" s="904" t="s">
        <v>2962</v>
      </c>
      <c r="D113" s="905">
        <f>SUMPRODUCT((A115:A118=F113)*(B114:M114=H113)*B115:M118)</f>
        <v>0.82940000000000003</v>
      </c>
      <c r="E113" s="2722" t="s">
        <v>2795</v>
      </c>
      <c r="F113" s="2892" t="str">
        <f>E2</f>
        <v>办公</v>
      </c>
      <c r="G113" s="2722" t="s">
        <v>2796</v>
      </c>
      <c r="H113" s="2892" t="str">
        <f>G2</f>
        <v>七级</v>
      </c>
      <c r="I113" s="2722"/>
      <c r="J113" s="2893"/>
      <c r="K113" s="2893"/>
      <c r="L113" s="2893"/>
      <c r="M113" s="2893"/>
    </row>
    <row r="114" spans="1:13" ht="15">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ht="15">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ht="15">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ht="15">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6"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xr:uid="{00000000-0002-0000-1600-000000000000}">
      <formula1>七通一平</formula1>
    </dataValidation>
    <dataValidation type="list" allowBlank="1" showInputMessage="1" showErrorMessage="1" sqref="H19" xr:uid="{00000000-0002-0000-1600-000001000000}">
      <formula1>"地价指数,季度增幅（自定义）,按公示增长率计算"</formula1>
    </dataValidation>
    <dataValidation type="list" allowBlank="1" showInputMessage="1" showErrorMessage="1" sqref="C81:C88 C70:C78 C48:C56 C59:C67"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E2" xr:uid="{00000000-0002-0000-1600-000006000000}">
      <formula1>"商业,办公,住宅,工业"</formula1>
    </dataValidation>
    <dataValidation type="list" allowBlank="1" showInputMessage="1" showErrorMessage="1" sqref="F17" xr:uid="{00000000-0002-0000-1600-000007000000}">
      <formula1>"与级别开发程度一致,与级别开发程度不一致"</formula1>
    </dataValidation>
    <dataValidation type="list" allowBlank="1" showInputMessage="1" showErrorMessage="1" sqref="B21" xr:uid="{00000000-0002-0000-1600-000008000000}">
      <formula1>"容积率修正,楼层修正"</formula1>
    </dataValidation>
    <dataValidation type="list" allowBlank="1" showInputMessage="1" showErrorMessage="1" sqref="C14:E14" xr:uid="{00000000-0002-0000-1600-000009000000}">
      <formula1>"有,无"</formula1>
    </dataValidation>
    <dataValidation type="list" allowBlank="1" showInputMessage="1" showErrorMessage="1" sqref="F14" xr:uid="{00000000-0002-0000-16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7" workbookViewId="0">
      <selection activeCell="C32" sqref="C32"/>
    </sheetView>
  </sheetViews>
  <sheetFormatPr baseColWidth="10" defaultColWidth="6.6640625" defaultRowHeight="13"/>
  <cols>
    <col min="1" max="1" width="9.6640625" style="798" customWidth="1"/>
    <col min="2" max="2" width="25.6640625" style="952" customWidth="1"/>
    <col min="3" max="3" width="10.33203125" style="995" customWidth="1"/>
    <col min="4" max="4" width="9.83203125" style="952" customWidth="1"/>
    <col min="5" max="5" width="9.5" style="798" customWidth="1"/>
    <col min="6" max="6" width="10.1640625" style="952" customWidth="1"/>
    <col min="7" max="7" width="10.66406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640625" style="952"/>
  </cols>
  <sheetData>
    <row r="1" spans="1:33" ht="20">
      <c r="A1" s="240" t="s">
        <v>2443</v>
      </c>
      <c r="B1" s="1580"/>
      <c r="C1" s="1581"/>
      <c r="D1" s="1579"/>
      <c r="E1" s="320"/>
      <c r="F1" s="320"/>
      <c r="G1" s="1580"/>
      <c r="H1" s="320"/>
      <c r="I1" s="320"/>
      <c r="J1" s="320"/>
      <c r="K1" s="320">
        <f>MATCH(C1,'数据-取费表'!A6:A16,0)+5</f>
        <v>7</v>
      </c>
    </row>
    <row r="2" spans="1:33" ht="18" customHeight="1">
      <c r="A2" s="245" t="s">
        <v>2311</v>
      </c>
      <c r="B2" s="248">
        <f ca="1">C32</f>
        <v>23055</v>
      </c>
      <c r="C2" s="320" t="s">
        <v>2444</v>
      </c>
      <c r="D2" s="320"/>
      <c r="E2" s="320"/>
      <c r="F2" s="320"/>
      <c r="G2" s="320"/>
      <c r="H2" s="320"/>
      <c r="I2" s="320"/>
      <c r="J2" s="320"/>
      <c r="K2" s="320"/>
    </row>
    <row r="3" spans="1:33" ht="18" customHeight="1" thickBot="1">
      <c r="A3" s="247" t="s">
        <v>2313</v>
      </c>
      <c r="B3" s="248">
        <f ca="1">ROUND(B2*10000/IF(C1="",'数据-汇总表'!E3,INDIRECT("'数据-取费表'!K"&amp;$K$1)),0)</f>
        <v>15186</v>
      </c>
      <c r="C3" s="320" t="s">
        <v>2445</v>
      </c>
      <c r="D3" s="320"/>
      <c r="E3" s="320"/>
      <c r="F3" s="320"/>
      <c r="G3" s="320"/>
      <c r="H3" s="320"/>
      <c r="I3" s="320"/>
      <c r="J3" s="320"/>
      <c r="K3" s="320"/>
    </row>
    <row r="4" spans="1:33" s="956" customFormat="1" ht="16.5" customHeight="1">
      <c r="A4" s="953" t="s">
        <v>2446</v>
      </c>
      <c r="B4" s="954"/>
      <c r="C4" s="996">
        <f ca="1">SUM(C8:K8)</f>
        <v>33701</v>
      </c>
      <c r="D4" s="954"/>
      <c r="E4" s="954"/>
      <c r="F4" s="954"/>
      <c r="G4" s="954"/>
      <c r="H4" s="954"/>
      <c r="I4" s="954"/>
      <c r="J4" s="954"/>
      <c r="K4" s="955"/>
    </row>
    <row r="5" spans="1:33" s="960" customFormat="1" ht="14">
      <c r="A5" s="957" t="s">
        <v>2447</v>
      </c>
      <c r="B5" s="958" t="s">
        <v>2448</v>
      </c>
      <c r="C5" s="2552" t="s">
        <v>3104</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2449</v>
      </c>
      <c r="C6" s="962">
        <f ca="1">收益法!B3</f>
        <v>22198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40" t="s">
        <v>2451</v>
      </c>
      <c r="C7" s="321">
        <f>SUMIF('数据-汇总表'!$C19:$C33,假设开发法!C5,'数据-汇总表'!$E19:$E33)</f>
        <v>15182.239999999998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2452</v>
      </c>
      <c r="B8" s="177" t="s">
        <v>2453</v>
      </c>
      <c r="C8" s="997">
        <f ca="1">收益法!B2</f>
        <v>33701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1329</v>
      </c>
      <c r="B11" s="972" t="s">
        <v>2461</v>
      </c>
      <c r="C11" s="323">
        <f ca="1">IF(C1="",'数据-取费表'!P16,INDIRECT("'数据-取费表'!p"&amp;$K$1)+INDIRECT("'数据-取费表'!ar"&amp;$K$1))</f>
        <v>3795</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2462</v>
      </c>
      <c r="C12" s="24">
        <f ca="1">ROUND(C11*F12,0)</f>
        <v>190</v>
      </c>
      <c r="D12" s="973"/>
      <c r="E12" s="375"/>
      <c r="F12" s="976">
        <f>'数据-取费表'!B33</f>
        <v>0.05</v>
      </c>
      <c r="G12" s="8" t="s">
        <v>2463</v>
      </c>
      <c r="H12" s="968"/>
      <c r="I12" s="968"/>
      <c r="J12" s="968"/>
      <c r="K12" s="969"/>
    </row>
    <row r="13" spans="1:33" s="975" customFormat="1" ht="13.5" customHeight="1">
      <c r="A13" s="971" t="s">
        <v>1331</v>
      </c>
      <c r="B13" s="972" t="s">
        <v>2464</v>
      </c>
      <c r="C13" s="24">
        <f ca="1">ROUND(IF(C1="",SUMIF('数据-取费表'!C:C,"住宅",'数据-取费表'!P:P)*F13,IF(INDIRECT("'数据-取费表'!c"&amp;$K$1)="住宅",INDIRECT("'数据-取费表'!P"&amp;$K$1)*F13,0)),0)</f>
        <v>0</v>
      </c>
      <c r="D13" s="1033"/>
      <c r="E13" s="375"/>
      <c r="F13" s="976">
        <f>'数据-取费表'!B34</f>
        <v>0</v>
      </c>
      <c r="G13" s="8" t="s">
        <v>2465</v>
      </c>
      <c r="H13" s="968"/>
      <c r="I13" s="968"/>
      <c r="J13" s="968"/>
      <c r="K13" s="969"/>
    </row>
    <row r="14" spans="1:33" s="977" customFormat="1" ht="13.5" customHeight="1">
      <c r="A14" s="971" t="s">
        <v>1332</v>
      </c>
      <c r="B14" s="972" t="s">
        <v>2466</v>
      </c>
      <c r="C14" s="24">
        <f ca="1">ROUND(D14*E14*F11/10000,0)</f>
        <v>152</v>
      </c>
      <c r="D14" s="1033">
        <f ca="1">IF(C1="",'数据-汇总表'!E3,INDIRECT("'数据-取费表'!K"&amp;$K$1)+INDIRECT("'数据-取费表'!S"&amp;$K$1))</f>
        <v>15182.239999999998</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2468</v>
      </c>
      <c r="C15" s="983">
        <f ca="1">ROUND(C11*F15,0)</f>
        <v>57</v>
      </c>
      <c r="D15" s="978"/>
      <c r="E15" s="983"/>
      <c r="F15" s="984">
        <f>'数据-取费表'!B36</f>
        <v>1.4999999999999999E-2</v>
      </c>
      <c r="G15" s="140"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4194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15182.239999999998</v>
      </c>
      <c r="E17" s="24">
        <f>'数据-取费表'!B32</f>
        <v>0</v>
      </c>
      <c r="F17" s="978"/>
      <c r="G17" s="140" t="s">
        <v>2472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2473</v>
      </c>
      <c r="C18" s="24">
        <f ca="1">C19+C20-IF(C1="",'数据-取费表'!B29,IF(G18="已全部缴纳",C19+C20,H18))</f>
        <v>0</v>
      </c>
      <c r="D18" s="1033"/>
      <c r="E18" s="24"/>
      <c r="F18" s="976"/>
      <c r="G18" s="2554"/>
      <c r="H18" s="1576"/>
      <c r="I18" s="2555"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15182.239999999998</v>
      </c>
      <c r="E20" s="24">
        <f>'数据-取费表'!B28</f>
        <v>200</v>
      </c>
      <c r="F20" s="976"/>
      <c r="G20" s="15"/>
      <c r="H20" s="981"/>
      <c r="I20" s="981"/>
      <c r="J20" s="981"/>
      <c r="K20" s="982"/>
    </row>
    <row r="21" spans="1:33" s="975" customFormat="1" ht="13.5" customHeight="1">
      <c r="A21" s="961" t="s">
        <v>802</v>
      </c>
      <c r="B21" s="985" t="s">
        <v>2477</v>
      </c>
      <c r="C21" s="986">
        <f ca="1">C16+C17+C18</f>
        <v>4194</v>
      </c>
      <c r="D21" s="987"/>
      <c r="E21" s="325"/>
      <c r="F21" s="325"/>
      <c r="G21" s="140" t="s">
        <v>2478</v>
      </c>
      <c r="H21" s="979"/>
      <c r="I21" s="979"/>
      <c r="J21" s="979"/>
      <c r="K21" s="980"/>
    </row>
    <row r="22" spans="1:33" s="975" customFormat="1" ht="13.5" customHeight="1">
      <c r="A22" s="961" t="s">
        <v>2450</v>
      </c>
      <c r="B22" s="985" t="s">
        <v>2479</v>
      </c>
      <c r="C22" s="986">
        <f ca="1">ROUND(C21*F22,0)</f>
        <v>126</v>
      </c>
      <c r="D22" s="325"/>
      <c r="E22" s="325"/>
      <c r="F22" s="988">
        <f>'数据-取费表'!B37</f>
        <v>0.03</v>
      </c>
      <c r="G22" s="8" t="s">
        <v>2480</v>
      </c>
      <c r="H22" s="968"/>
      <c r="I22" s="968"/>
      <c r="J22" s="968"/>
      <c r="K22" s="969"/>
    </row>
    <row r="23" spans="1:33" s="975" customFormat="1" ht="13.5" customHeight="1">
      <c r="A23" s="961" t="s">
        <v>2452</v>
      </c>
      <c r="B23" s="985" t="s">
        <v>2481</v>
      </c>
      <c r="C23" s="986">
        <f ca="1">ROUND(C4*F23*F11,0)</f>
        <v>506</v>
      </c>
      <c r="D23" s="325"/>
      <c r="E23" s="325"/>
      <c r="F23" s="988">
        <f>'数据-取费表'!B38</f>
        <v>0.03</v>
      </c>
      <c r="G23" s="8" t="s">
        <v>2482</v>
      </c>
      <c r="H23" s="968"/>
      <c r="I23" s="968"/>
      <c r="J23" s="968"/>
      <c r="K23" s="969"/>
    </row>
    <row r="24" spans="1:33" s="975" customFormat="1" ht="13.5" customHeight="1">
      <c r="A24" s="961" t="s">
        <v>2483</v>
      </c>
      <c r="B24" s="985" t="s">
        <v>2484</v>
      </c>
      <c r="C24" s="324">
        <f>ROUND(F24/(1+'数据-取费表'!C42),4)</f>
        <v>2.9000000000000001E-2</v>
      </c>
      <c r="D24" s="325" t="s">
        <v>15</v>
      </c>
      <c r="E24" s="325"/>
      <c r="F24" s="988">
        <f>IF(项目基本情况!B8="出让",0,'数据-取费表'!B48+'数据-取费表'!B49)</f>
        <v>3.0499999999999999E-2</v>
      </c>
      <c r="G24" s="8" t="s">
        <v>2485</v>
      </c>
      <c r="H24" s="990"/>
      <c r="I24" s="990"/>
      <c r="J24" s="990"/>
      <c r="K24" s="991"/>
    </row>
    <row r="25" spans="1:33" s="975" customFormat="1" ht="13.5" customHeight="1">
      <c r="A25" s="961" t="s">
        <v>2486</v>
      </c>
      <c r="B25" s="987" t="s">
        <v>2487</v>
      </c>
      <c r="C25" s="1355">
        <f ca="1">C27</f>
        <v>113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6">
        <f ca="1">ROUND(IF('数据-取费表'!B22&lt;=1,(1+C24)*F25*'数据-取费表'!B24,(1+C24)*(POWER((1+F25),'数据-取费表'!B24)-1)),4)</f>
        <v>4.8899999999999999E-2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7">
        <f ca="1">ROUND(IF('数据-取费表'!B22&lt;=1,(C21+C22+C23)*F25*'数据-取费表'!B24/2,(C21+C22+C23)*(POWER((1+F25),'数据-取费表'!B24/2)-1)),0)</f>
        <v>113</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2490</v>
      </c>
      <c r="B28" s="2557" t="s">
        <v>2491</v>
      </c>
      <c r="C28" s="331">
        <f ca="1">C30</f>
        <v>724</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2492</v>
      </c>
      <c r="C29" s="328">
        <f ca="1">ROUND((1+C24)*F28*'数据-取费表'!B24/'数据-取费表'!B20,4)</f>
        <v>6.1699999999999998E-2</v>
      </c>
      <c r="D29" s="328"/>
      <c r="E29" s="329"/>
      <c r="F29" s="334"/>
      <c r="G29" s="140" t="s">
        <v>2493</v>
      </c>
      <c r="H29" s="979"/>
      <c r="I29" s="979"/>
      <c r="J29" s="979"/>
      <c r="K29" s="980"/>
    </row>
    <row r="30" spans="1:33" s="335" customFormat="1" ht="13.5" customHeight="1">
      <c r="A30" s="971" t="s">
        <v>804</v>
      </c>
      <c r="B30" s="994" t="s">
        <v>2494</v>
      </c>
      <c r="C30" s="336">
        <f ca="1">ROUND((C21+C22+C23)*F28,0)</f>
        <v>724</v>
      </c>
      <c r="D30" s="328"/>
      <c r="E30" s="329"/>
      <c r="F30" s="334"/>
      <c r="G30" s="140"/>
      <c r="H30" s="979"/>
      <c r="I30" s="979"/>
      <c r="J30" s="979"/>
      <c r="K30" s="980"/>
    </row>
    <row r="31" spans="1:33" s="975" customFormat="1" ht="13.5" customHeight="1" thickBot="1">
      <c r="A31" s="2558" t="s">
        <v>2495</v>
      </c>
      <c r="B31" s="1005" t="s">
        <v>2496</v>
      </c>
      <c r="C31" s="1006">
        <f ca="1">ROUND(C4*F31/(1+'数据-取费表'!C42),0)</f>
        <v>1765</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23055</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19" zoomScale="70" zoomScaleNormal="70" zoomScaleSheetLayoutView="90" workbookViewId="0">
      <selection activeCell="C40" sqref="C40"/>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3" customWidth="1"/>
    <col min="12" max="12" width="16.33203125" style="302" customWidth="1"/>
    <col min="13" max="13" width="13" style="302" customWidth="1"/>
    <col min="14" max="14" width="13.6640625" style="1841" customWidth="1"/>
    <col min="15" max="15" width="5.1640625" style="1841" customWidth="1"/>
    <col min="16" max="16" width="25.6640625" style="1841" customWidth="1"/>
    <col min="17" max="17" width="13.6640625" style="1841" customWidth="1"/>
    <col min="18" max="18" width="20.5" style="1841" customWidth="1"/>
    <col min="19" max="19" width="13.1640625" style="1841" customWidth="1"/>
    <col min="20" max="37" width="9" style="1841"/>
    <col min="38" max="16384" width="9" style="302"/>
  </cols>
  <sheetData>
    <row r="1" spans="1:37" s="337" customFormat="1" ht="20">
      <c r="A1" s="1832" t="s">
        <v>1583</v>
      </c>
      <c r="B1" s="782"/>
      <c r="C1" s="1836" t="s">
        <v>3104</v>
      </c>
      <c r="D1" s="1819" t="s">
        <v>3125</v>
      </c>
      <c r="E1" s="1820" t="s">
        <v>1381</v>
      </c>
      <c r="F1" s="1282">
        <f ca="1">J53</f>
        <v>32.51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33701</v>
      </c>
      <c r="C2" s="1844" t="s">
        <v>1510</v>
      </c>
      <c r="D2" s="1844"/>
      <c r="E2" s="1845"/>
      <c r="F2" s="1846"/>
      <c r="G2" s="1847"/>
      <c r="H2" s="1839"/>
      <c r="I2" s="1839"/>
      <c r="J2" s="1839"/>
      <c r="K2" s="1840"/>
      <c r="L2" s="1839"/>
      <c r="M2" s="1839"/>
    </row>
    <row r="3" spans="1:37" ht="18" customHeight="1" thickBot="1">
      <c r="A3" s="1848" t="s">
        <v>1511</v>
      </c>
      <c r="B3" s="1849">
        <f ca="1">IF(ISERROR(B2*10000/F43),0,ROUND(B2*10000/F43,0))</f>
        <v>22198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1867</v>
      </c>
      <c r="D5" s="1821" t="s">
        <v>1396</v>
      </c>
      <c r="E5" s="1292"/>
      <c r="F5" s="1293"/>
      <c r="G5" s="1850"/>
      <c r="H5" s="344">
        <v>1</v>
      </c>
      <c r="I5" s="345" t="s">
        <v>1395</v>
      </c>
      <c r="J5" s="1291">
        <f ca="1">J6+J10+J12</f>
        <v>0</v>
      </c>
      <c r="K5" s="1821" t="s">
        <v>1396</v>
      </c>
      <c r="L5" s="1292"/>
      <c r="M5" s="1293"/>
    </row>
    <row r="6" spans="1:37" ht="18" customHeight="1">
      <c r="A6" s="1290" t="s">
        <v>1031</v>
      </c>
      <c r="B6" s="3226" t="s">
        <v>1397</v>
      </c>
      <c r="C6" s="1295">
        <f ca="1">ROUND(F6*F8*F7*(1-F9)/10000,0)</f>
        <v>1867</v>
      </c>
      <c r="D6" s="164" t="s">
        <v>3012</v>
      </c>
      <c r="E6" s="347" t="s">
        <v>1399</v>
      </c>
      <c r="F6" s="348">
        <f ca="1">INDIRECT("'数据-取费表'!u"&amp;$G$1)</f>
        <v>1867.1999999999996</v>
      </c>
      <c r="G6" s="1850"/>
      <c r="H6" s="1290" t="s">
        <v>1031</v>
      </c>
      <c r="I6" s="3226" t="s">
        <v>1397</v>
      </c>
      <c r="J6" s="346">
        <f ca="1">ROUND(M6*M8*M7*(1-M9)/10000,0)</f>
        <v>0</v>
      </c>
      <c r="K6" s="164" t="s">
        <v>3011</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10000</v>
      </c>
      <c r="G7" s="1850"/>
      <c r="H7" s="349"/>
      <c r="I7" s="3227"/>
      <c r="J7" s="351"/>
      <c r="K7" s="352"/>
      <c r="L7" s="347" t="s">
        <v>1400</v>
      </c>
      <c r="M7" s="348">
        <f ca="1">F7</f>
        <v>10000</v>
      </c>
    </row>
    <row r="8" spans="1:37" ht="18" customHeight="1">
      <c r="A8" s="349"/>
      <c r="B8" s="3227"/>
      <c r="C8" s="351"/>
      <c r="D8" s="352"/>
      <c r="E8" s="347" t="s">
        <v>1401</v>
      </c>
      <c r="F8" s="348">
        <f ca="1">INDIRECT("'数据-取费表'!ai"&amp;$G$1)</f>
        <v>1</v>
      </c>
      <c r="G8" s="1850"/>
      <c r="H8" s="349"/>
      <c r="I8" s="3227"/>
      <c r="J8" s="351"/>
      <c r="K8" s="352"/>
      <c r="L8" s="347" t="s">
        <v>1401</v>
      </c>
      <c r="M8" s="348">
        <f ca="1">INDIRECT("'数据-取费表'!ai"&amp;$G$1)</f>
        <v>1</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3021</v>
      </c>
      <c r="E10" s="358" t="s">
        <v>1404</v>
      </c>
      <c r="F10" s="1365" t="s">
        <v>3126</v>
      </c>
      <c r="G10" s="1850"/>
      <c r="H10" s="1290" t="s">
        <v>1035</v>
      </c>
      <c r="I10" s="1822" t="s">
        <v>1403</v>
      </c>
      <c r="J10" s="346">
        <f ca="1">ROUND(IF(M10="押一",J6/12*M11,IF(M10="押二",J6/12*2*M11,IF(M10="押三",J6/12*3*M11,J11*M11))),0)</f>
        <v>0</v>
      </c>
      <c r="K10" s="1823" t="s">
        <v>3020</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11470</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7591</v>
      </c>
      <c r="D14" s="1799" t="s">
        <v>1412</v>
      </c>
      <c r="E14" s="1793"/>
      <c r="F14" s="364"/>
      <c r="G14" s="1850"/>
      <c r="H14" s="1201" t="s">
        <v>1031</v>
      </c>
      <c r="I14" s="347" t="s">
        <v>1413</v>
      </c>
      <c r="J14" s="24">
        <f ca="1">C29</f>
        <v>11470</v>
      </c>
      <c r="K14" s="15"/>
      <c r="L14" s="979"/>
      <c r="M14" s="980"/>
    </row>
    <row r="15" spans="1:37" s="1857" customFormat="1" ht="18" customHeight="1" thickBot="1">
      <c r="A15" s="1201" t="s">
        <v>1032</v>
      </c>
      <c r="B15" s="347" t="s">
        <v>1414</v>
      </c>
      <c r="C15" s="24">
        <f ca="1">ROUND(C14*F15,0)</f>
        <v>380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269</v>
      </c>
      <c r="K16" s="1336" t="s">
        <v>1419</v>
      </c>
      <c r="L16" s="1337"/>
      <c r="M16" s="1293"/>
    </row>
    <row r="17" spans="1:37" s="1857" customFormat="1" ht="18" customHeight="1">
      <c r="A17" s="1201" t="s">
        <v>1384</v>
      </c>
      <c r="B17" s="347" t="s">
        <v>1420</v>
      </c>
      <c r="C17" s="24">
        <f ca="1">ROUND(F17*(F43+INDIRECT("'数据-取费表'!S"&amp;$G$1))/10000,0)</f>
        <v>304</v>
      </c>
      <c r="D17" s="347" t="s">
        <v>1421</v>
      </c>
      <c r="E17" s="347" t="s">
        <v>1422</v>
      </c>
      <c r="F17" s="26">
        <f>'数据-取费表'!B35</f>
        <v>200</v>
      </c>
      <c r="G17" s="1853"/>
      <c r="H17" s="1201" t="s">
        <v>1031</v>
      </c>
      <c r="I17" s="347" t="s">
        <v>1423</v>
      </c>
      <c r="J17" s="24">
        <f ca="1">ROUND(IF(项目基本情况!B11="自然人",J6*M17/(1+'数据-取费表'!C42),J18+J19+J20),1)</f>
        <v>97.1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114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8389</v>
      </c>
      <c r="D19" s="140" t="s">
        <v>1430</v>
      </c>
      <c r="E19" s="1817"/>
      <c r="F19" s="26"/>
      <c r="G19" s="1850"/>
      <c r="H19" s="1201" t="s">
        <v>1032</v>
      </c>
      <c r="I19" s="347" t="s">
        <v>1431</v>
      </c>
      <c r="J19" s="24">
        <f ca="1">IF(K19="按租金收入计税",ROUND(J6*M19/(1+'数据-取费表'!C42),2),ROUND(C29*M19*0.7,2))</f>
        <v>96.35</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252</v>
      </c>
      <c r="D20" s="369" t="s">
        <v>1434</v>
      </c>
      <c r="E20" s="347" t="s">
        <v>1416</v>
      </c>
      <c r="F20" s="367">
        <f>'数据-取费表'!B37</f>
        <v>0.03</v>
      </c>
      <c r="G20" s="1853"/>
      <c r="H20" s="1201" t="s">
        <v>1383</v>
      </c>
      <c r="I20" s="164" t="s">
        <v>1435</v>
      </c>
      <c r="J20" s="25">
        <f ca="1">ROUND(M20*M21/10000,2)</f>
        <v>0.76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0.03</v>
      </c>
      <c r="G21" s="1853"/>
      <c r="H21" s="372"/>
      <c r="I21" s="356"/>
      <c r="J21" s="29"/>
      <c r="K21" s="373"/>
      <c r="L21" s="347" t="s">
        <v>1441</v>
      </c>
      <c r="M21" s="348">
        <f ca="1">INDIRECT("'数据-取费表'!r"&amp;$G$1)</f>
        <v>5095.4399999999996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172.1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516</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-269</v>
      </c>
      <c r="K25" s="1344" t="s">
        <v>1458</v>
      </c>
      <c r="L25" s="1345"/>
      <c r="M25" s="1346"/>
    </row>
    <row r="26" spans="1:37" ht="15">
      <c r="A26" s="1201" t="s">
        <v>1030</v>
      </c>
      <c r="B26" s="347" t="s">
        <v>1459</v>
      </c>
      <c r="C26" s="24">
        <f ca="1">ROUND((C19+C20)*F26,0)</f>
        <v>1296</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11470</v>
      </c>
      <c r="D29" s="1341"/>
      <c r="E29" s="1339"/>
      <c r="F29" s="1342"/>
      <c r="G29" s="1853"/>
      <c r="H29" s="380" t="s">
        <v>1029</v>
      </c>
      <c r="I29" s="381" t="s">
        <v>1473</v>
      </c>
      <c r="J29" s="382">
        <f ca="1">ROUND(J26/(1+F40)^F41,0)</f>
        <v>0</v>
      </c>
      <c r="K29" s="383" t="s">
        <v>1474</v>
      </c>
      <c r="L29" s="384"/>
      <c r="M29" s="385">
        <f ca="1">INDIRECT("'数据-取费表'!k"&amp;$G$1)</f>
        <v>15182.239999999998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412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194.9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97.8</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96.35</v>
      </c>
      <c r="D33" s="1827" t="s">
        <v>3127</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0.76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5095.4399999999996</v>
      </c>
      <c r="G35" s="1850"/>
      <c r="H35" s="745"/>
      <c r="I35" s="1859"/>
      <c r="J35" s="1860"/>
      <c r="K35" s="1861"/>
      <c r="L35" s="1858"/>
      <c r="M35" s="1858"/>
    </row>
    <row r="36" spans="1:18" ht="18" customHeight="1">
      <c r="A36" s="1351" t="s">
        <v>1035</v>
      </c>
      <c r="B36" s="347" t="s">
        <v>1443</v>
      </c>
      <c r="C36" s="24">
        <f ca="1">ROUND(C29*F36,1)</f>
        <v>172.1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17.2</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28</v>
      </c>
      <c r="D38" s="1341" t="s">
        <v>1453</v>
      </c>
      <c r="E38" s="1339" t="s">
        <v>1449</v>
      </c>
      <c r="F38" s="1335">
        <f ca="1">INDIRECT("'数据-取费表'!Am"&amp;$G$1)</f>
        <v>1.4999999999999999E-2</v>
      </c>
      <c r="G38" s="1850"/>
      <c r="H38" s="1858"/>
      <c r="I38" s="1859"/>
      <c r="J38" s="1860"/>
      <c r="K38" s="1864"/>
      <c r="L38" s="1858"/>
      <c r="M38" s="1858"/>
    </row>
    <row r="39" spans="1:18" ht="24.5" customHeight="1" thickTop="1">
      <c r="A39" s="1328" t="s">
        <v>1027</v>
      </c>
      <c r="B39" s="1343" t="s">
        <v>1477</v>
      </c>
      <c r="C39" s="355">
        <f ca="1">C5-C30</f>
        <v>1455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33701</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32.51</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ROUND(C40*10000/F43,0)</f>
        <v>22198</v>
      </c>
      <c r="D43" s="383" t="s">
        <v>1482</v>
      </c>
      <c r="E43" s="384" t="s">
        <v>1483</v>
      </c>
      <c r="F43" s="385">
        <f ca="1">INDIRECT("'数据-取费表'!k"&amp;$G$1)</f>
        <v>15182.239999999998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6" thickBot="1">
      <c r="A46" s="1869" t="s">
        <v>1514</v>
      </c>
      <c r="C46" s="1870">
        <f ca="1">C68-C40</f>
        <v>-37989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6" thickBot="1">
      <c r="A47" s="1165" t="s">
        <v>1390</v>
      </c>
      <c r="B47" s="1197" t="s">
        <v>1391</v>
      </c>
      <c r="C47" s="1366" t="s">
        <v>1392</v>
      </c>
      <c r="D47" s="1197" t="s">
        <v>1393</v>
      </c>
      <c r="E47" s="1278" t="s">
        <v>1394</v>
      </c>
      <c r="F47" s="1279"/>
      <c r="G47" s="792"/>
      <c r="I47" s="1879" t="s">
        <v>1520</v>
      </c>
      <c r="J47" s="1880" t="s">
        <v>3128</v>
      </c>
      <c r="K47" s="1881" t="s">
        <v>1521</v>
      </c>
      <c r="L47" s="1882">
        <f ca="1">INDIRECT("'数据-取费表'!d"&amp;$G$1)</f>
        <v>40</v>
      </c>
      <c r="M47" s="1837" t="str">
        <f>IF(ISNUMBER(FIND("住宅",C1)),"住宅","非住宅")</f>
        <v>非住宅</v>
      </c>
      <c r="O47" s="1883" t="s">
        <v>1036</v>
      </c>
      <c r="P47" s="1884" t="s">
        <v>1522</v>
      </c>
      <c r="Q47" s="1885">
        <f ca="1">C40+J29</f>
        <v>33701</v>
      </c>
      <c r="R47" s="1885" t="s">
        <v>1523</v>
      </c>
    </row>
    <row r="48" spans="1:18" s="1841" customFormat="1" ht="50" thickBot="1">
      <c r="A48" s="1359" t="s">
        <v>1131</v>
      </c>
      <c r="B48" s="345" t="s">
        <v>1395</v>
      </c>
      <c r="C48" s="1816">
        <f ca="1">C49+C53+C55</f>
        <v>0</v>
      </c>
      <c r="D48" s="1361"/>
      <c r="E48" s="1362"/>
      <c r="F48" s="1181"/>
      <c r="G48" s="792"/>
      <c r="H48" s="793"/>
      <c r="I48" s="1886" t="s">
        <v>1524</v>
      </c>
      <c r="J48" s="1887" t="s">
        <v>3129</v>
      </c>
      <c r="K48" s="1888" t="s">
        <v>1525</v>
      </c>
      <c r="L48" s="1889">
        <f ca="1">INDIRECT("'数据-取费表'!f"&amp;$G$1)</f>
        <v>33.51</v>
      </c>
      <c r="O48" s="1883" t="s">
        <v>1037</v>
      </c>
      <c r="P48" s="1884" t="s">
        <v>1526</v>
      </c>
      <c r="Q48" s="1885" t="str">
        <f ca="1">J60</f>
        <v>0</v>
      </c>
      <c r="R48" s="1885" t="s">
        <v>1527</v>
      </c>
    </row>
    <row r="49" spans="1:18" s="1841" customFormat="1" ht="16" thickBot="1">
      <c r="A49" s="1194" t="s">
        <v>1132</v>
      </c>
      <c r="B49" s="1828" t="s">
        <v>1484</v>
      </c>
      <c r="C49" s="1363">
        <f ca="1">ROUND(F49*F51*F50*(1-F52)/10000,0)</f>
        <v>0</v>
      </c>
      <c r="D49" s="1275" t="s">
        <v>3013</v>
      </c>
      <c r="E49" s="1829" t="s">
        <v>1485</v>
      </c>
      <c r="F49" s="1280"/>
      <c r="G49" s="1890"/>
      <c r="H49" s="793"/>
      <c r="I49" s="1886" t="s">
        <v>1528</v>
      </c>
      <c r="J49" s="1891"/>
      <c r="K49" s="1888" t="s">
        <v>1529</v>
      </c>
      <c r="L49" s="1892"/>
      <c r="O49" s="1893" t="s">
        <v>1038</v>
      </c>
      <c r="P49" s="1884" t="s">
        <v>1530</v>
      </c>
      <c r="Q49" s="1885">
        <f ca="1">C29</f>
        <v>11470</v>
      </c>
      <c r="R49" s="1885" t="s">
        <v>1523</v>
      </c>
    </row>
    <row r="50" spans="1:18" s="1841" customFormat="1" ht="15" thickBot="1">
      <c r="A50" s="1195"/>
      <c r="B50" s="1198"/>
      <c r="C50" s="1367"/>
      <c r="D50" s="1172"/>
      <c r="E50" s="1276" t="s">
        <v>1400</v>
      </c>
      <c r="F50" s="1277">
        <f ca="1">F7</f>
        <v>10000</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5" thickBot="1">
      <c r="A51" s="1196"/>
      <c r="B51" s="1198"/>
      <c r="C51" s="1199"/>
      <c r="D51" s="1172"/>
      <c r="E51" s="1200" t="s">
        <v>1401</v>
      </c>
      <c r="F51" s="348">
        <f ca="1">F8</f>
        <v>1</v>
      </c>
      <c r="I51" s="1897" t="s">
        <v>1534</v>
      </c>
      <c r="J51" s="1898">
        <f>IF(J49="",J50,J49+J50-YEAR('数据-取费表'!B2))</f>
        <v>60</v>
      </c>
      <c r="K51" s="1899" t="s">
        <v>1535</v>
      </c>
      <c r="L51" s="1900">
        <f ca="1">ROUND(-PV(INDIRECT("'数据-取费表'!h"&amp;$G$1),L48,(C39-C13*C76),0),0)</f>
        <v>7729</v>
      </c>
      <c r="M51" s="1901"/>
      <c r="O51" s="1893" t="s">
        <v>1040</v>
      </c>
      <c r="P51" s="1884" t="s">
        <v>1536</v>
      </c>
      <c r="Q51" s="1896">
        <f>J52</f>
        <v>0</v>
      </c>
      <c r="R51" s="1885"/>
    </row>
    <row r="52" spans="1:18" s="1841" customFormat="1" ht="16" thickBot="1">
      <c r="A52" s="1196"/>
      <c r="B52" s="1198"/>
      <c r="C52" s="1199"/>
      <c r="D52" s="1172"/>
      <c r="E52" s="1200" t="s">
        <v>1402</v>
      </c>
      <c r="F52" s="1274"/>
      <c r="I52" s="1902" t="s">
        <v>1537</v>
      </c>
      <c r="J52" s="1903"/>
      <c r="K52" s="1902" t="s">
        <v>1538</v>
      </c>
      <c r="L52" s="1903"/>
      <c r="O52" s="1893" t="s">
        <v>1041</v>
      </c>
      <c r="P52" s="1884" t="s">
        <v>1539</v>
      </c>
      <c r="Q52" s="1885">
        <f ca="1">J53</f>
        <v>32.51</v>
      </c>
      <c r="R52" s="1885" t="s">
        <v>1540</v>
      </c>
    </row>
    <row r="53" spans="1:18" s="1841" customFormat="1" ht="31" thickBot="1">
      <c r="A53" s="1404" t="s">
        <v>1133</v>
      </c>
      <c r="B53" s="1830" t="s">
        <v>1403</v>
      </c>
      <c r="C53" s="361">
        <f ca="1">ROUND(IF(F53="押一",C49/12*F11,IF(F53="押二",C49/12*2*F11,IF(F53="押三",C49/12*3*F11,C54*F11))),0)</f>
        <v>0</v>
      </c>
      <c r="D53" s="1823" t="s">
        <v>3020</v>
      </c>
      <c r="E53" s="358" t="s">
        <v>1404</v>
      </c>
      <c r="F53" s="1365"/>
      <c r="I53" s="1904" t="s">
        <v>1541</v>
      </c>
      <c r="J53" s="2946">
        <f ca="1">IF(M47="住宅",IF(D1="——",MAX(J51,L48),MAX(J51,L48-'数据-取费表'!B24)),IF(D1="——",MIN(J51,L48),MIN(J51,L48-'数据-取费表'!B24)))</f>
        <v>32.51</v>
      </c>
      <c r="K53" s="3224" t="s">
        <v>1542</v>
      </c>
      <c r="L53" s="3225"/>
      <c r="O53" s="1883" t="s">
        <v>1042</v>
      </c>
      <c r="P53" s="1884" t="s">
        <v>1543</v>
      </c>
      <c r="Q53" s="1885">
        <f ca="1">Q47+Q48</f>
        <v>33701</v>
      </c>
      <c r="R53" s="1885" t="s">
        <v>1043</v>
      </c>
    </row>
    <row r="54" spans="1:18" s="1841" customFormat="1" ht="1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6"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2" thickTop="1" thickBot="1">
      <c r="A56" s="1176">
        <v>2</v>
      </c>
      <c r="B56" s="1177" t="s">
        <v>1408</v>
      </c>
      <c r="C56" s="276">
        <f ca="1">C13</f>
        <v>11470</v>
      </c>
      <c r="D56" s="1912"/>
      <c r="E56" s="1913"/>
      <c r="F56" s="1905"/>
      <c r="I56" s="1914" t="s">
        <v>1548</v>
      </c>
      <c r="J56" s="1915" t="s">
        <v>3055</v>
      </c>
      <c r="K56" s="1886" t="s">
        <v>1549</v>
      </c>
      <c r="L56" s="1889" t="str">
        <f ca="1">IF(L48&lt;J51,"——",L48-J53)</f>
        <v>——</v>
      </c>
      <c r="O56" s="1883" t="s">
        <v>1036</v>
      </c>
      <c r="P56" s="1884" t="s">
        <v>1522</v>
      </c>
      <c r="Q56" s="1885">
        <f ca="1">C40+J29</f>
        <v>33701</v>
      </c>
      <c r="R56" s="1885" t="s">
        <v>1523</v>
      </c>
    </row>
    <row r="57" spans="1:18" s="1841" customFormat="1" ht="31" thickBot="1">
      <c r="A57" s="1916"/>
      <c r="B57" s="1169" t="s">
        <v>1472</v>
      </c>
      <c r="C57" s="282">
        <f ca="1">C29</f>
        <v>11470</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31" thickBot="1">
      <c r="A58" s="360" t="s">
        <v>1026</v>
      </c>
      <c r="B58" s="1177" t="s">
        <v>1418</v>
      </c>
      <c r="C58" s="361">
        <f ca="1">ROUND(C59+C64+C65+C66,0)</f>
        <v>286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31" thickBot="1">
      <c r="A59" s="1201" t="s">
        <v>1031</v>
      </c>
      <c r="B59" s="1169" t="s">
        <v>1423</v>
      </c>
      <c r="C59" s="24">
        <f ca="1">ROUND(IF(项目基本情况!B11="自然人",C48*F59,C60+C61+C62),1)</f>
        <v>97.1</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6" thickBot="1">
      <c r="A61" s="1201" t="s">
        <v>1486</v>
      </c>
      <c r="B61" s="1169" t="s">
        <v>1487</v>
      </c>
      <c r="C61" s="24">
        <f ca="1">IF(项目基本情况!B11="自然人","——",IF(D61="按租金收入计税",ROUND(C48*F61,2),IF(D61="按房产原值计税",ROUND(C57*F61*0.7,2),INDIRECT("'数据-取费表'!Aj"&amp;$G$1))))</f>
        <v>96.35</v>
      </c>
      <c r="D61" s="1827" t="s">
        <v>1432</v>
      </c>
      <c r="E61" s="1169" t="s">
        <v>1488</v>
      </c>
      <c r="F61" s="367">
        <f t="shared" si="0"/>
        <v>1.2E-2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6" thickBot="1">
      <c r="A62" s="1201" t="s">
        <v>1489</v>
      </c>
      <c r="B62" s="1168" t="s">
        <v>1490</v>
      </c>
      <c r="C62" s="25">
        <f ca="1">IF(项目基本情况!B11="自然人","——",ROUND(F62*F63/10000,2))</f>
        <v>0.76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33701</v>
      </c>
      <c r="R62" s="1885" t="s">
        <v>1043</v>
      </c>
    </row>
    <row r="63" spans="1:18" s="1841" customFormat="1" ht="15" thickBot="1">
      <c r="A63" s="372"/>
      <c r="B63" s="1175"/>
      <c r="C63" s="29"/>
      <c r="D63" s="1185"/>
      <c r="E63" s="1169" t="s">
        <v>1493</v>
      </c>
      <c r="F63" s="348">
        <f t="shared" ca="1" si="0"/>
        <v>5095.4399999999996</v>
      </c>
      <c r="I63" s="1927" t="s">
        <v>1570</v>
      </c>
      <c r="J63" s="1928">
        <v>70</v>
      </c>
      <c r="K63" s="1928">
        <v>50</v>
      </c>
      <c r="L63" s="1928">
        <v>80</v>
      </c>
      <c r="M63" s="1930">
        <v>0.02</v>
      </c>
      <c r="O63" s="1868" t="s">
        <v>1571</v>
      </c>
      <c r="P63" s="1838"/>
      <c r="Q63" s="1838"/>
      <c r="R63" s="1838"/>
    </row>
    <row r="64" spans="1:18" s="1841" customFormat="1" ht="16" thickBot="1">
      <c r="A64" s="1201" t="s">
        <v>1494</v>
      </c>
      <c r="B64" s="1169" t="s">
        <v>1495</v>
      </c>
      <c r="C64" s="24">
        <f ca="1">ROUND(C57*F64,1)</f>
        <v>172.1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6" thickBot="1">
      <c r="A65" s="1201" t="s">
        <v>1497</v>
      </c>
      <c r="B65" s="1169" t="s">
        <v>1447</v>
      </c>
      <c r="C65" s="24">
        <f ca="1">ROUND(C56*F65,1)</f>
        <v>17.2</v>
      </c>
      <c r="D65" s="1183" t="s">
        <v>1448</v>
      </c>
      <c r="E65" s="1169" t="s">
        <v>1449</v>
      </c>
      <c r="F65" s="376">
        <f t="shared" ca="1" si="0"/>
        <v>1.5E-3</v>
      </c>
      <c r="I65" s="1927" t="s">
        <v>1573</v>
      </c>
      <c r="J65" s="1928">
        <v>40</v>
      </c>
      <c r="K65" s="1928">
        <v>30</v>
      </c>
      <c r="L65" s="1928">
        <v>50</v>
      </c>
      <c r="M65" s="1930">
        <v>0.02</v>
      </c>
      <c r="O65" s="1883" t="s">
        <v>1036</v>
      </c>
      <c r="P65" s="1884" t="s">
        <v>1574</v>
      </c>
      <c r="Q65" s="1885">
        <f ca="1">C40+J29</f>
        <v>33701</v>
      </c>
      <c r="R65" s="1885" t="s">
        <v>1523</v>
      </c>
    </row>
    <row r="66" spans="1:18" s="1841" customFormat="1" ht="17"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18" thickBot="1">
      <c r="A67" s="1176" t="s">
        <v>1027</v>
      </c>
      <c r="B67" s="1186" t="s">
        <v>1457</v>
      </c>
      <c r="C67" s="361">
        <f ca="1">C48-C58</f>
        <v>-286</v>
      </c>
      <c r="D67" s="1182" t="s">
        <v>1458</v>
      </c>
      <c r="E67" s="1187"/>
      <c r="F67" s="1188"/>
      <c r="O67" s="1893" t="s">
        <v>1038</v>
      </c>
      <c r="P67" s="1884" t="s">
        <v>1556</v>
      </c>
      <c r="Q67" s="1931">
        <f ca="1">L51</f>
        <v>7729</v>
      </c>
      <c r="R67" s="1885" t="s">
        <v>1576</v>
      </c>
    </row>
    <row r="68" spans="1:18" s="1841" customFormat="1" ht="16" thickBot="1">
      <c r="A68" s="1166" t="s">
        <v>1028</v>
      </c>
      <c r="B68" s="1167" t="s">
        <v>1479</v>
      </c>
      <c r="C68" s="346">
        <f ca="1">ROUND(C67*(1-((1+F70)/(1+F68))^F69)/(F68-F70),0)</f>
        <v>-4288</v>
      </c>
      <c r="D68" s="1184" t="s">
        <v>1463</v>
      </c>
      <c r="E68" s="1169" t="s">
        <v>1464</v>
      </c>
      <c r="F68" s="357">
        <f ca="1">F40</f>
        <v>5.5E-2</v>
      </c>
      <c r="O68" s="1893" t="s">
        <v>1039</v>
      </c>
      <c r="P68" s="1932" t="s">
        <v>1577</v>
      </c>
      <c r="Q68" s="1885">
        <f ca="1">ROUND(Q69-Q70*Q71,0)</f>
        <v>480</v>
      </c>
      <c r="R68" s="1885" t="s">
        <v>1047</v>
      </c>
    </row>
    <row r="69" spans="1:18" s="1841" customFormat="1" ht="16" thickBot="1">
      <c r="A69" s="1170"/>
      <c r="B69" s="1171"/>
      <c r="C69" s="351"/>
      <c r="D69" s="1189" t="s">
        <v>1467</v>
      </c>
      <c r="E69" s="1169" t="s">
        <v>1468</v>
      </c>
      <c r="F69" s="379">
        <f ca="1">F41</f>
        <v>32.51</v>
      </c>
      <c r="O69" s="1893" t="s">
        <v>1044</v>
      </c>
      <c r="P69" s="1932" t="s">
        <v>1578</v>
      </c>
      <c r="Q69" s="1885">
        <f ca="1">C39</f>
        <v>1455</v>
      </c>
      <c r="R69" s="1885" t="s">
        <v>1523</v>
      </c>
    </row>
    <row r="70" spans="1:18" s="1841" customFormat="1" ht="16" thickBot="1">
      <c r="A70" s="1173"/>
      <c r="B70" s="1174"/>
      <c r="C70" s="355"/>
      <c r="D70" s="1185"/>
      <c r="E70" s="1169" t="s">
        <v>1471</v>
      </c>
      <c r="F70" s="1274"/>
      <c r="O70" s="1893" t="s">
        <v>1045</v>
      </c>
      <c r="P70" s="1932" t="s">
        <v>1579</v>
      </c>
      <c r="Q70" s="1885">
        <f ca="1">C13</f>
        <v>11470</v>
      </c>
      <c r="R70" s="1885" t="s">
        <v>1523</v>
      </c>
    </row>
    <row r="71" spans="1:18" s="1841" customFormat="1" ht="15" thickBot="1">
      <c r="A71" s="1190" t="s">
        <v>1029</v>
      </c>
      <c r="B71" s="1191" t="s">
        <v>1481</v>
      </c>
      <c r="C71" s="382">
        <f ca="1">ROUND(C68*10000/F71,0)</f>
        <v>-2824</v>
      </c>
      <c r="D71" s="1192" t="s">
        <v>1482</v>
      </c>
      <c r="E71" s="1193" t="s">
        <v>1483</v>
      </c>
      <c r="F71" s="385">
        <f ca="1">F43</f>
        <v>15182.239999999998</v>
      </c>
      <c r="O71" s="1893" t="s">
        <v>1046</v>
      </c>
      <c r="P71" s="1932" t="s">
        <v>1580</v>
      </c>
      <c r="Q71" s="1896">
        <f ca="1">C76</f>
        <v>8.5000000000000006E-2</v>
      </c>
      <c r="R71" s="1885"/>
    </row>
    <row r="72" spans="1:18" s="1841" customFormat="1" ht="1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6"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5" thickBot="1">
      <c r="A75" s="1841"/>
      <c r="B75" s="386" t="s">
        <v>1500</v>
      </c>
      <c r="C75" s="387">
        <f ca="1">ROUND(C13*C76,0)</f>
        <v>975</v>
      </c>
      <c r="D75" s="1841"/>
      <c r="E75" s="1841"/>
      <c r="F75" s="1841"/>
      <c r="K75" s="1867"/>
      <c r="L75" s="1841"/>
      <c r="O75" s="1883" t="s">
        <v>1042</v>
      </c>
      <c r="P75" s="1884" t="s">
        <v>1543</v>
      </c>
      <c r="Q75" s="1885">
        <f ca="1">Q65+Q66</f>
        <v>33701</v>
      </c>
      <c r="R75" s="1885" t="s">
        <v>1043</v>
      </c>
    </row>
    <row r="76" spans="1:18" ht="15">
      <c r="B76" s="388" t="s">
        <v>1501</v>
      </c>
      <c r="C76" s="389">
        <f ca="1">INDIRECT("'数据-取费表'!j"&amp;$G$1)</f>
        <v>8.5000000000000006E-2</v>
      </c>
      <c r="I76" s="1841"/>
      <c r="J76" s="1841"/>
      <c r="K76" s="1867"/>
      <c r="L76" s="1841"/>
    </row>
    <row r="77" spans="1:18" ht="14">
      <c r="B77" s="390" t="s">
        <v>1502</v>
      </c>
      <c r="C77" s="391"/>
      <c r="I77" s="1841"/>
      <c r="J77" s="1841"/>
      <c r="K77" s="1867"/>
      <c r="L77" s="1841"/>
    </row>
    <row r="78" spans="1:18" ht="14">
      <c r="B78" s="314" t="s">
        <v>1503</v>
      </c>
      <c r="C78" s="392"/>
    </row>
    <row r="79" spans="1:18" ht="14">
      <c r="B79" s="386" t="s">
        <v>1504</v>
      </c>
      <c r="C79" s="318">
        <f ca="1">1-C80</f>
        <v>0.32999999999999996</v>
      </c>
    </row>
    <row r="80" spans="1:18" ht="14">
      <c r="B80" s="386" t="s">
        <v>1505</v>
      </c>
      <c r="C80" s="318">
        <f ca="1">ROUND(C75/C39,3)</f>
        <v>0.67</v>
      </c>
    </row>
    <row r="81" spans="2:3" ht="14">
      <c r="B81" s="314" t="s">
        <v>1506</v>
      </c>
      <c r="C81" s="282"/>
    </row>
    <row r="82" spans="2:3" ht="14">
      <c r="B82" s="317" t="s">
        <v>1507</v>
      </c>
      <c r="C82" s="319">
        <f ca="1">1-C83</f>
        <v>0.65999999999999992</v>
      </c>
    </row>
    <row r="83" spans="2:3" ht="14">
      <c r="B83" s="317" t="s">
        <v>1508</v>
      </c>
      <c r="C83" s="318">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workbookViewId="0">
      <selection activeCell="B6" sqref="B6:C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3" customWidth="1"/>
    <col min="12" max="12" width="16.33203125" style="302" customWidth="1"/>
    <col min="13" max="13" width="13" style="302" customWidth="1"/>
    <col min="14" max="14" width="13.6640625" style="1841" customWidth="1"/>
    <col min="15" max="15" width="5.1640625" style="1841" customWidth="1"/>
    <col min="16" max="16" width="25.6640625" style="1841" customWidth="1"/>
    <col min="17" max="17" width="13.6640625" style="1841" customWidth="1"/>
    <col min="18" max="18" width="20.5" style="1841" customWidth="1"/>
    <col min="19" max="19" width="13.1640625" style="1841" customWidth="1"/>
    <col min="20" max="37" width="9" style="1841"/>
    <col min="38" max="16384" width="9" style="302"/>
  </cols>
  <sheetData>
    <row r="1" spans="1:37" s="337" customFormat="1" ht="20">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26" t="s">
        <v>1397</v>
      </c>
      <c r="C6" s="1295">
        <f ca="1">ROUND(F6*F8*F7*(1-F9),0)</f>
        <v>0</v>
      </c>
      <c r="D6" s="164" t="s">
        <v>3009</v>
      </c>
      <c r="E6" s="347" t="s">
        <v>1399</v>
      </c>
      <c r="F6" s="348">
        <f ca="1">INDIRECT("'数据-取费表'!u"&amp;$G$1)</f>
        <v>0</v>
      </c>
      <c r="G6" s="1850"/>
      <c r="H6" s="1290" t="s">
        <v>1031</v>
      </c>
      <c r="I6" s="3226" t="s">
        <v>1397</v>
      </c>
      <c r="J6" s="346">
        <f ca="1">ROUND(M6*M8*M7*(1-M9),0)</f>
        <v>0</v>
      </c>
      <c r="K6" s="1833" t="s">
        <v>3010</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0</v>
      </c>
      <c r="G7" s="1850"/>
      <c r="H7" s="349"/>
      <c r="I7" s="3227"/>
      <c r="J7" s="351"/>
      <c r="K7" s="352"/>
      <c r="L7" s="347" t="s">
        <v>1400</v>
      </c>
      <c r="M7" s="348">
        <f ca="1">F7</f>
        <v>0</v>
      </c>
    </row>
    <row r="8" spans="1:37" ht="18" customHeight="1">
      <c r="A8" s="349"/>
      <c r="B8" s="3227"/>
      <c r="C8" s="351"/>
      <c r="D8" s="352"/>
      <c r="E8" s="347" t="s">
        <v>1401</v>
      </c>
      <c r="F8" s="348">
        <f ca="1">INDIRECT("'数据-取费表'!ai"&amp;$G$1)</f>
        <v>0</v>
      </c>
      <c r="G8" s="1850"/>
      <c r="H8" s="349"/>
      <c r="I8" s="3227"/>
      <c r="J8" s="351"/>
      <c r="K8" s="352"/>
      <c r="L8" s="347" t="s">
        <v>1401</v>
      </c>
      <c r="M8" s="348">
        <f ca="1">INDIRECT("'数据-取费表'!ai"&amp;$G$1)</f>
        <v>0</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3020</v>
      </c>
      <c r="E10" s="358" t="s">
        <v>1404</v>
      </c>
      <c r="F10" s="1365"/>
      <c r="G10" s="1850"/>
      <c r="H10" s="1290" t="s">
        <v>1035</v>
      </c>
      <c r="I10" s="1822" t="s">
        <v>1403</v>
      </c>
      <c r="J10" s="346">
        <f ca="1">ROUND(IF(M10="押一",J6/12*M11,IF(M10="押二",J6/12*2*M11,IF(M10="押三",J6/12*3*M11,J11*M11))),0)</f>
        <v>0</v>
      </c>
      <c r="K10" s="1834" t="s">
        <v>3022</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0.03</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0.03</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5"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6"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6" thickBot="1">
      <c r="A47" s="1165" t="s">
        <v>1390</v>
      </c>
      <c r="B47" s="1197" t="s">
        <v>1391</v>
      </c>
      <c r="C47" s="1197" t="s">
        <v>1392</v>
      </c>
      <c r="D47" s="1197" t="s">
        <v>1393</v>
      </c>
      <c r="E47" s="1278" t="s">
        <v>1394</v>
      </c>
      <c r="F47" s="1279"/>
      <c r="G47" s="792"/>
      <c r="I47" s="1879" t="s">
        <v>1520</v>
      </c>
      <c r="J47" s="1880"/>
      <c r="K47" s="1881" t="s">
        <v>1521</v>
      </c>
      <c r="L47" s="1882">
        <f ca="1">INDIRECT("'数据-取费表'!d"&amp;$G$1)</f>
        <v>50</v>
      </c>
      <c r="M47" s="1837" t="str">
        <f>IF(ISNUMBER(FIND("住宅",C1)),"住宅","非住宅")</f>
        <v>非住宅</v>
      </c>
      <c r="O47" s="1883" t="s">
        <v>1036</v>
      </c>
      <c r="P47" s="1884" t="s">
        <v>1522</v>
      </c>
      <c r="Q47" s="1885">
        <f ca="1">C40+J29</f>
        <v>0</v>
      </c>
      <c r="R47" s="1885" t="s">
        <v>1523</v>
      </c>
    </row>
    <row r="48" spans="1:18" s="1841" customFormat="1" ht="50" thickBot="1">
      <c r="A48" s="1359" t="s">
        <v>1131</v>
      </c>
      <c r="B48" s="345" t="s">
        <v>1395</v>
      </c>
      <c r="C48" s="1816">
        <f ca="1">C49+C53+C55</f>
        <v>0</v>
      </c>
      <c r="D48" s="1361"/>
      <c r="E48" s="1362"/>
      <c r="F48" s="1181"/>
      <c r="G48" s="792"/>
      <c r="H48" s="793"/>
      <c r="I48" s="1886" t="s">
        <v>1524</v>
      </c>
      <c r="J48" s="1887"/>
      <c r="K48" s="1888" t="s">
        <v>1525</v>
      </c>
      <c r="L48" s="1889">
        <f ca="1">INDIRECT("'数据-取费表'!f"&amp;$G$1)</f>
        <v>43.52</v>
      </c>
      <c r="O48" s="1883" t="s">
        <v>1037</v>
      </c>
      <c r="P48" s="1884" t="s">
        <v>1526</v>
      </c>
      <c r="Q48" s="1885" t="str">
        <f ca="1">J60</f>
        <v>0</v>
      </c>
      <c r="R48" s="1885" t="s">
        <v>1527</v>
      </c>
    </row>
    <row r="49" spans="1:18" s="1841" customFormat="1" ht="16" thickBot="1">
      <c r="A49" s="1194"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5" thickBot="1">
      <c r="A50" s="1195"/>
      <c r="B50" s="1198"/>
      <c r="C50" s="1199"/>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#VALUE!</v>
      </c>
      <c r="R50" s="1885"/>
    </row>
    <row r="51" spans="1:18" s="1841" customFormat="1" ht="1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6"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3023</v>
      </c>
      <c r="E53" s="358" t="s">
        <v>1404</v>
      </c>
      <c r="F53" s="1365"/>
      <c r="I53" s="1904" t="s">
        <v>1541</v>
      </c>
      <c r="J53" s="2946">
        <f ca="1">IF(M47="住宅",IF(D1="——",MAX(J51,L48),MAX(J51,L48-'数据-取费表'!B24)),IF(D1="——",MIN(J51,L48),MIN(J51,L48-'数据-取费表'!B24)))</f>
        <v>0</v>
      </c>
      <c r="K53" s="3224" t="s">
        <v>1542</v>
      </c>
      <c r="L53" s="3225"/>
      <c r="O53" s="1883" t="s">
        <v>1042</v>
      </c>
      <c r="P53" s="1884" t="s">
        <v>1543</v>
      </c>
      <c r="Q53" s="1885">
        <f ca="1">Q47+Q48</f>
        <v>0</v>
      </c>
      <c r="R53" s="1885" t="s">
        <v>1043</v>
      </c>
    </row>
    <row r="54" spans="1:18" s="1841" customFormat="1" ht="16"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6"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43.52</v>
      </c>
      <c r="O56" s="1883" t="s">
        <v>1036</v>
      </c>
      <c r="P56" s="1884" t="s">
        <v>1522</v>
      </c>
      <c r="Q56" s="1885">
        <f ca="1">C40+J29</f>
        <v>0</v>
      </c>
      <c r="R56" s="1885" t="s">
        <v>1523</v>
      </c>
    </row>
    <row r="57" spans="1:18" s="1841" customFormat="1" ht="31" thickBot="1">
      <c r="A57" s="1916"/>
      <c r="B57" s="1169" t="s">
        <v>1472</v>
      </c>
      <c r="C57" s="282">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31" thickBot="1">
      <c r="A58" s="360" t="s">
        <v>1026</v>
      </c>
      <c r="B58" s="1177" t="s">
        <v>1418</v>
      </c>
      <c r="C58" s="361">
        <f ca="1">ROUND(C59+C64+C65+C66,0)</f>
        <v>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31"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6"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6"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6"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6"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7"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8"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 thickBot="1">
      <c r="A68" s="1166" t="s">
        <v>1028</v>
      </c>
      <c r="B68" s="1167" t="s">
        <v>1479</v>
      </c>
      <c r="C68" s="346">
        <f ca="1">ROUND(C67*(1-((1+F70)/(1+F68))^F69)/(F68-F70),0)</f>
        <v>0</v>
      </c>
      <c r="D68" s="1184" t="s">
        <v>1463</v>
      </c>
      <c r="E68" s="1169" t="s">
        <v>1464</v>
      </c>
      <c r="F68" s="357">
        <f ca="1">F40</f>
        <v>5.5E-2</v>
      </c>
      <c r="O68" s="1893" t="s">
        <v>1039</v>
      </c>
      <c r="P68" s="1932" t="s">
        <v>1577</v>
      </c>
      <c r="Q68" s="1885">
        <f ca="1">ROUND(Q69-Q70*Q71,0)</f>
        <v>0</v>
      </c>
      <c r="R68" s="1885" t="s">
        <v>1047</v>
      </c>
    </row>
    <row r="69" spans="1:18" s="1841" customFormat="1" ht="16" thickBot="1">
      <c r="A69" s="1170"/>
      <c r="B69" s="1171"/>
      <c r="C69" s="351"/>
      <c r="D69" s="1189" t="s">
        <v>1467</v>
      </c>
      <c r="E69" s="1169" t="s">
        <v>1468</v>
      </c>
      <c r="F69" s="379">
        <f ca="1">F41</f>
        <v>0</v>
      </c>
      <c r="O69" s="1893" t="s">
        <v>1044</v>
      </c>
      <c r="P69" s="1932" t="s">
        <v>1578</v>
      </c>
      <c r="Q69" s="1885">
        <f ca="1">C39</f>
        <v>0</v>
      </c>
      <c r="R69" s="1885" t="s">
        <v>1523</v>
      </c>
    </row>
    <row r="70" spans="1:18" s="1841" customFormat="1" ht="16" thickBot="1">
      <c r="A70" s="1173"/>
      <c r="B70" s="1174"/>
      <c r="C70" s="355"/>
      <c r="D70" s="1185"/>
      <c r="E70" s="1169" t="s">
        <v>1471</v>
      </c>
      <c r="F70" s="1274">
        <f ca="1">F42</f>
        <v>0</v>
      </c>
      <c r="O70" s="1893" t="s">
        <v>1045</v>
      </c>
      <c r="P70" s="1932" t="s">
        <v>1579</v>
      </c>
      <c r="Q70" s="1885">
        <f ca="1">C13</f>
        <v>0</v>
      </c>
      <c r="R70" s="1885" t="s">
        <v>1523</v>
      </c>
    </row>
    <row r="71" spans="1:18" s="1841" customFormat="1" ht="15" thickBot="1">
      <c r="A71" s="1190" t="s">
        <v>1029</v>
      </c>
      <c r="B71" s="1191" t="s">
        <v>1481</v>
      </c>
      <c r="C71" s="382" t="e">
        <f ca="1">ROUND(C68/F71,0)</f>
        <v>#DIV/0!</v>
      </c>
      <c r="D71" s="1192" t="s">
        <v>1482</v>
      </c>
      <c r="E71" s="1193" t="s">
        <v>1483</v>
      </c>
      <c r="F71" s="385">
        <f ca="1">F43</f>
        <v>0</v>
      </c>
      <c r="O71" s="1893" t="s">
        <v>1046</v>
      </c>
      <c r="P71" s="1932" t="s">
        <v>1580</v>
      </c>
      <c r="Q71" s="1896">
        <f ca="1">C76</f>
        <v>8.5000000000000006E-2</v>
      </c>
      <c r="R71" s="1885"/>
    </row>
    <row r="72" spans="1:18" s="1841" customFormat="1" ht="1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6"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ht="15">
      <c r="B76" s="388" t="s">
        <v>1501</v>
      </c>
      <c r="C76" s="389">
        <f ca="1">INDIRECT("'数据-取费表'!j"&amp;$G$1)</f>
        <v>8.5000000000000006E-2</v>
      </c>
      <c r="I76" s="1841"/>
      <c r="J76" s="1841"/>
      <c r="K76" s="1867"/>
      <c r="L76" s="1841"/>
    </row>
    <row r="77" spans="1:18" ht="14">
      <c r="B77" s="390" t="s">
        <v>1502</v>
      </c>
      <c r="C77" s="391"/>
      <c r="I77" s="1841"/>
      <c r="J77" s="1841"/>
      <c r="K77" s="1867"/>
      <c r="L77" s="1841"/>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B6" sqref="B6:C6"/>
    </sheetView>
  </sheetViews>
  <sheetFormatPr baseColWidth="10" defaultColWidth="9" defaultRowHeight="14"/>
  <cols>
    <col min="1" max="1" width="23.6640625" style="1943" customWidth="1"/>
    <col min="2" max="2" width="12" style="1943" customWidth="1"/>
    <col min="3" max="3" width="9" style="1943"/>
    <col min="4" max="4" width="14.1640625" style="1943" customWidth="1"/>
    <col min="5" max="5" width="9" style="1943"/>
    <col min="6" max="6" width="12.83203125" style="1943" customWidth="1"/>
    <col min="7" max="16384" width="9" style="1943"/>
  </cols>
  <sheetData>
    <row r="1" spans="1:6" ht="20">
      <c r="A1" s="2559" t="s">
        <v>2507</v>
      </c>
      <c r="B1" s="2560"/>
      <c r="C1" s="2560"/>
      <c r="D1" s="2560"/>
      <c r="E1" s="2561"/>
    </row>
    <row r="2" spans="1:6" ht="16">
      <c r="A2" s="2562" t="s">
        <v>2311</v>
      </c>
      <c r="B2" s="2563">
        <f ca="1">SUMIF(B6:B13,"&lt;&gt;#ref!",B6:B13)</f>
        <v>33701</v>
      </c>
      <c r="C2" s="2564" t="s">
        <v>2500</v>
      </c>
      <c r="D2" s="2565" t="s">
        <v>2501</v>
      </c>
      <c r="E2" s="2566">
        <f>SUM(E6:E13)</f>
        <v>15182.239999999998</v>
      </c>
    </row>
    <row r="3" spans="1:6" ht="16">
      <c r="A3" s="2562" t="s">
        <v>1389</v>
      </c>
      <c r="B3" s="2563">
        <f ca="1">ROUND(B2*10000/E2,0)</f>
        <v>22198</v>
      </c>
      <c r="C3" s="2564" t="s">
        <v>2508</v>
      </c>
      <c r="D3" s="2567"/>
      <c r="E3" s="2568"/>
    </row>
    <row r="4" spans="1:6" ht="16">
      <c r="A4" s="2569"/>
      <c r="B4" s="2567"/>
      <c r="C4" s="2567"/>
      <c r="D4" s="2567"/>
      <c r="E4" s="2568"/>
    </row>
    <row r="5" spans="1:6">
      <c r="A5" s="2570" t="s">
        <v>2502</v>
      </c>
      <c r="B5" s="3229" t="s">
        <v>2503</v>
      </c>
      <c r="C5" s="3229"/>
      <c r="D5" s="2571"/>
      <c r="E5" s="2572" t="s">
        <v>2504</v>
      </c>
      <c r="F5" s="2573" t="s">
        <v>2505</v>
      </c>
    </row>
    <row r="6" spans="1:6">
      <c r="A6" s="2574" t="str">
        <f>'数据-取费表'!AN6</f>
        <v>收益法</v>
      </c>
      <c r="B6" s="2573">
        <f ca="1">IF(F6="是",'数据-取费表'!AO6,0)</f>
        <v>33701</v>
      </c>
      <c r="C6" s="2564" t="s">
        <v>2500</v>
      </c>
      <c r="D6" s="2567"/>
      <c r="E6" s="2575">
        <f>IF(OR(A6=0,F6="否"),0,'数据-取费表'!K6+'数据-取费表'!S6)</f>
        <v>15182.239999999998</v>
      </c>
      <c r="F6" s="2576" t="s">
        <v>2506</v>
      </c>
    </row>
    <row r="7" spans="1:6">
      <c r="A7" s="2574">
        <f>'数据-取费表'!AN7</f>
        <v>0</v>
      </c>
      <c r="B7" s="2573" t="e">
        <f ca="1">IF(F7="是",'数据-取费表'!AO7,0)</f>
        <v>#REF!</v>
      </c>
      <c r="C7" s="2564" t="s">
        <v>2500</v>
      </c>
      <c r="D7" s="2567"/>
      <c r="E7" s="2575">
        <f>IF(OR(A7=0,F7="否"),0,'数据-取费表'!K7+'数据-取费表'!S7)</f>
        <v>0</v>
      </c>
      <c r="F7" s="2576" t="s">
        <v>2506</v>
      </c>
    </row>
    <row r="8" spans="1:6">
      <c r="A8" s="2574">
        <f>'数据-取费表'!AN8</f>
        <v>0</v>
      </c>
      <c r="B8" s="2573" t="e">
        <f ca="1">IF(F8="是",'数据-取费表'!AO8,0)</f>
        <v>#REF!</v>
      </c>
      <c r="C8" s="2564" t="s">
        <v>2500</v>
      </c>
      <c r="D8" s="2567"/>
      <c r="E8" s="2575">
        <f>IF(OR(A8=0,F8="否"),0,'数据-取费表'!K8+'数据-取费表'!S8)</f>
        <v>0</v>
      </c>
      <c r="F8" s="2576" t="s">
        <v>2506</v>
      </c>
    </row>
    <row r="9" spans="1:6">
      <c r="A9" s="2574">
        <f>'数据-取费表'!AN9</f>
        <v>0</v>
      </c>
      <c r="B9" s="2573" t="e">
        <f ca="1">IF(F9="是",'数据-取费表'!AO9,0)</f>
        <v>#REF!</v>
      </c>
      <c r="C9" s="2564" t="s">
        <v>2500</v>
      </c>
      <c r="D9" s="2567"/>
      <c r="E9" s="2575">
        <f>IF(OR(A9=0,F9="否"),0,'数据-取费表'!K9+'数据-取费表'!S9)</f>
        <v>0</v>
      </c>
      <c r="F9" s="2576" t="s">
        <v>2506</v>
      </c>
    </row>
    <row r="10" spans="1:6">
      <c r="A10" s="2574">
        <f>'数据-取费表'!AN10</f>
        <v>0</v>
      </c>
      <c r="B10" s="2573" t="e">
        <f ca="1">IF(F10="是",'数据-取费表'!AO10,0)</f>
        <v>#REF!</v>
      </c>
      <c r="C10" s="2564" t="s">
        <v>2500</v>
      </c>
      <c r="D10" s="2567"/>
      <c r="E10" s="2575">
        <f>IF(OR(A10=0,F10="否"),0,'数据-取费表'!K10+'数据-取费表'!S10)</f>
        <v>0</v>
      </c>
      <c r="F10" s="2576" t="s">
        <v>2506</v>
      </c>
    </row>
    <row r="11" spans="1:6">
      <c r="A11" s="2574">
        <f>'数据-取费表'!AN11</f>
        <v>0</v>
      </c>
      <c r="B11" s="2573" t="e">
        <f ca="1">IF(F11="是",'数据-取费表'!AO11,0)</f>
        <v>#REF!</v>
      </c>
      <c r="C11" s="2564" t="s">
        <v>2500</v>
      </c>
      <c r="D11" s="2567"/>
      <c r="E11" s="2575">
        <f>IF(OR(A11=0,F11="否"),0,'数据-取费表'!K11+'数据-取费表'!S11)</f>
        <v>0</v>
      </c>
      <c r="F11" s="2576" t="s">
        <v>2506</v>
      </c>
    </row>
    <row r="12" spans="1:6">
      <c r="A12" s="2574">
        <f>'数据-取费表'!AN12</f>
        <v>0</v>
      </c>
      <c r="B12" s="2573" t="e">
        <f ca="1">IF(F12="是",'数据-取费表'!AO12,0)</f>
        <v>#REF!</v>
      </c>
      <c r="C12" s="2564" t="s">
        <v>2500</v>
      </c>
      <c r="D12" s="2567"/>
      <c r="E12" s="2575">
        <f>IF(OR(A12=0,F12="否"),0,'数据-取费表'!K12+'数据-取费表'!S12)</f>
        <v>0</v>
      </c>
      <c r="F12" s="2576" t="s">
        <v>2506</v>
      </c>
    </row>
    <row r="13" spans="1:6" ht="15" thickBot="1">
      <c r="A13" s="2577">
        <f>'数据-取费表'!AN13</f>
        <v>0</v>
      </c>
      <c r="B13" s="2573" t="e">
        <f ca="1">IF(F13="是",'数据-取费表'!AO13,0)</f>
        <v>#REF!</v>
      </c>
      <c r="C13" s="2578" t="s">
        <v>2500</v>
      </c>
      <c r="D13" s="2579"/>
      <c r="E13" s="2575">
        <f>IF(OR(A13=0,F13="否"),0,'数据-取费表'!K13+'数据-取费表'!S13)</f>
        <v>0</v>
      </c>
      <c r="F13" s="2576"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zoomScale="90" zoomScaleNormal="90" workbookViewId="0">
      <selection activeCell="E15" sqref="E15"/>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2510</v>
      </c>
      <c r="C1" s="1633" t="s">
        <v>2511</v>
      </c>
      <c r="D1" s="1620"/>
      <c r="E1" s="2581"/>
      <c r="F1" s="2582" t="s">
        <v>2512</v>
      </c>
      <c r="G1" s="1630" t="s">
        <v>2513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4"/>
      <c r="D2" s="1364" t="e">
        <f ca="1">SUMIF(INDIRECT("'"&amp;F2&amp;"'"&amp;"!A:A"),"承租人权益价值",INDIRECT("'"&amp;F2&amp;"'"&amp;"!c:c"))</f>
        <v>#REF!</v>
      </c>
      <c r="E2" s="2585" t="s">
        <v>2514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2515</v>
      </c>
      <c r="D3" s="399">
        <f>IF(D1="",'数据-汇总表'!E3,SUMIF('数据-汇总表'!$C19:$C33,D1,'数据-汇总表'!$E19:$E33))</f>
        <v>15182.239999999998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401" t="s">
        <v>2516</v>
      </c>
      <c r="B4" s="402"/>
      <c r="C4" s="3248" t="s">
        <v>2517</v>
      </c>
      <c r="D4" s="3249"/>
      <c r="E4" s="3250" t="s">
        <v>2518</v>
      </c>
      <c r="F4" s="3251"/>
      <c r="G4" s="3248" t="s">
        <v>2519</v>
      </c>
      <c r="H4" s="3249"/>
      <c r="I4" s="3248" t="s">
        <v>2520</v>
      </c>
      <c r="J4" s="3249"/>
      <c r="K4" s="2594" t="s">
        <v>2521</v>
      </c>
      <c r="L4" s="1130"/>
      <c r="M4" s="1131"/>
      <c r="N4" s="1131"/>
      <c r="O4" s="1131"/>
      <c r="P4" s="3252" t="s">
        <v>2522</v>
      </c>
      <c r="Q4" s="3253"/>
      <c r="R4" s="3235" t="s">
        <v>2518</v>
      </c>
      <c r="S4" s="3236"/>
      <c r="T4" s="3235" t="s">
        <v>2519</v>
      </c>
      <c r="U4" s="3236"/>
      <c r="V4" s="3260" t="s">
        <v>2520</v>
      </c>
      <c r="W4" s="3260"/>
      <c r="X4" s="1812"/>
      <c r="Y4" s="3235" t="s">
        <v>2522</v>
      </c>
      <c r="Z4" s="3236"/>
      <c r="AA4" s="3230" t="s">
        <v>2518</v>
      </c>
      <c r="AB4" s="3230" t="s">
        <v>2519</v>
      </c>
      <c r="AC4" s="3230" t="s">
        <v>2520</v>
      </c>
    </row>
    <row r="5" spans="1:29">
      <c r="A5" s="404"/>
      <c r="B5" s="405"/>
      <c r="C5" s="3241" t="s">
        <v>2523</v>
      </c>
      <c r="D5" s="3242"/>
      <c r="E5" s="3239" t="s">
        <v>2524</v>
      </c>
      <c r="F5" s="3240"/>
      <c r="G5" s="3241" t="s">
        <v>2525</v>
      </c>
      <c r="H5" s="3242"/>
      <c r="I5" s="3241" t="s">
        <v>2526</v>
      </c>
      <c r="J5" s="3242"/>
      <c r="K5" s="2595"/>
      <c r="L5" s="1130"/>
      <c r="M5" s="1131"/>
      <c r="N5" s="1131"/>
      <c r="O5" s="1131"/>
      <c r="P5" s="3254"/>
      <c r="Q5" s="3255"/>
      <c r="R5" s="3237"/>
      <c r="S5" s="3238"/>
      <c r="T5" s="3237"/>
      <c r="U5" s="3238"/>
      <c r="V5" s="3260"/>
      <c r="W5" s="3260"/>
      <c r="X5" s="1812"/>
      <c r="Y5" s="3237"/>
      <c r="Z5" s="3238"/>
      <c r="AA5" s="3231"/>
      <c r="AB5" s="3231"/>
      <c r="AC5" s="3231"/>
    </row>
    <row r="6" spans="1:29" ht="16" thickBot="1">
      <c r="A6" s="406"/>
      <c r="B6" s="407"/>
      <c r="C6" s="3243" t="s">
        <v>2527</v>
      </c>
      <c r="D6" s="3244"/>
      <c r="E6" s="3245" t="s">
        <v>2527</v>
      </c>
      <c r="F6" s="3246"/>
      <c r="G6" s="3243" t="s">
        <v>2527</v>
      </c>
      <c r="H6" s="3244"/>
      <c r="I6" s="3243" t="s">
        <v>2527</v>
      </c>
      <c r="J6" s="3244"/>
      <c r="K6" s="2595" t="s">
        <v>2528</v>
      </c>
      <c r="L6" s="1130"/>
      <c r="M6" s="1131"/>
      <c r="N6" s="1131"/>
      <c r="O6" s="1131"/>
      <c r="P6" s="3256"/>
      <c r="Q6" s="3257"/>
      <c r="R6" s="3237"/>
      <c r="S6" s="3238"/>
      <c r="T6" s="3258"/>
      <c r="U6" s="3259"/>
      <c r="V6" s="3260"/>
      <c r="W6" s="3260"/>
      <c r="X6" s="1812"/>
      <c r="Y6" s="3258"/>
      <c r="Z6" s="3259"/>
      <c r="AA6" s="3232"/>
      <c r="AB6" s="3232"/>
      <c r="AC6" s="3232"/>
    </row>
    <row r="7" spans="1:29" s="117" customFormat="1" ht="16" thickBot="1">
      <c r="A7" s="408" t="s">
        <v>2529</v>
      </c>
      <c r="B7" s="409"/>
      <c r="C7" s="410">
        <f>'数据-取费表'!B2</f>
        <v>43906</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33" t="s">
        <v>2530</v>
      </c>
      <c r="Q7" s="3261"/>
      <c r="R7" s="770" t="s">
        <v>23</v>
      </c>
      <c r="S7" s="771">
        <f t="shared" ref="S7:S15" si="0">F7</f>
        <v>0</v>
      </c>
      <c r="T7" s="770" t="s">
        <v>23</v>
      </c>
      <c r="U7" s="771">
        <f t="shared" ref="U7:U15" si="1">H7</f>
        <v>0</v>
      </c>
      <c r="V7" s="770" t="s">
        <v>23</v>
      </c>
      <c r="W7" s="771">
        <f t="shared" ref="W7:W15" si="2">J7</f>
        <v>0</v>
      </c>
      <c r="X7" s="772"/>
      <c r="Y7" s="3233" t="s">
        <v>2530</v>
      </c>
      <c r="Z7" s="3234"/>
      <c r="AA7" s="773" t="e">
        <f>D7/F7</f>
        <v>#DIV/0!</v>
      </c>
      <c r="AB7" s="773" t="e">
        <f>D7/H7</f>
        <v>#DIV/0!</v>
      </c>
      <c r="AC7" s="773" t="e">
        <f>D7/J7</f>
        <v>#DIV/0!</v>
      </c>
    </row>
    <row r="8" spans="1:29" s="117" customFormat="1" ht="16" thickBot="1">
      <c r="A8" s="408" t="s">
        <v>2531</v>
      </c>
      <c r="B8" s="409"/>
      <c r="C8" s="414" t="s">
        <v>2532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33" t="s">
        <v>2533</v>
      </c>
      <c r="Q8" s="3234"/>
      <c r="R8" s="770" t="s">
        <v>23</v>
      </c>
      <c r="S8" s="771">
        <f t="shared" si="0"/>
        <v>0</v>
      </c>
      <c r="T8" s="770" t="s">
        <v>23</v>
      </c>
      <c r="U8" s="771">
        <f t="shared" si="1"/>
        <v>0</v>
      </c>
      <c r="V8" s="770" t="s">
        <v>23</v>
      </c>
      <c r="W8" s="771">
        <f t="shared" si="2"/>
        <v>0</v>
      </c>
      <c r="X8" s="772"/>
      <c r="Y8" s="3233" t="s">
        <v>2533</v>
      </c>
      <c r="Z8" s="3234"/>
      <c r="AA8" s="773" t="e">
        <f t="shared" ref="AA8:AA19" si="3">D8/F8</f>
        <v>#DIV/0!</v>
      </c>
      <c r="AB8" s="773" t="e">
        <f t="shared" ref="AB8:AB19" si="4">D8/H8</f>
        <v>#DIV/0!</v>
      </c>
      <c r="AC8" s="773" t="e">
        <f t="shared" ref="AC8:AC19" si="5">D8/J8</f>
        <v>#DIV/0!</v>
      </c>
    </row>
    <row r="9" spans="1:29" s="117" customFormat="1" ht="15">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47"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30">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6">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7"/>
      <c r="Q11" s="1794"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6">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47"/>
      <c r="Q12" s="1794">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6">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47"/>
      <c r="Q13" s="1794">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7"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47"/>
      <c r="Q14" s="1794">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16">
      <c r="A15" s="440" t="s">
        <v>2540</v>
      </c>
      <c r="B15" s="69" t="s">
        <v>2076</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4" t="s">
        <v>2541</v>
      </c>
      <c r="Q15" s="1809" t="str">
        <f t="shared" si="6"/>
        <v>居住社区成熟度</v>
      </c>
      <c r="R15" s="774" t="s">
        <v>21</v>
      </c>
      <c r="S15" s="775">
        <f t="shared" si="0"/>
        <v>100</v>
      </c>
      <c r="T15" s="774" t="s">
        <v>21</v>
      </c>
      <c r="U15" s="775">
        <f t="shared" si="1"/>
        <v>100</v>
      </c>
      <c r="V15" s="774" t="s">
        <v>21</v>
      </c>
      <c r="W15" s="775">
        <f t="shared" si="2"/>
        <v>100</v>
      </c>
      <c r="X15" s="1812"/>
      <c r="Y15" s="3267" t="s">
        <v>2541</v>
      </c>
      <c r="Z15" s="1813" t="str">
        <f t="shared" si="7"/>
        <v>居住社区成熟度</v>
      </c>
      <c r="AA15" s="1810">
        <f t="shared" si="3"/>
        <v>1</v>
      </c>
      <c r="AB15" s="1810">
        <f t="shared" si="4"/>
        <v>1</v>
      </c>
      <c r="AC15" s="1810">
        <f t="shared" si="5"/>
        <v>1</v>
      </c>
    </row>
    <row r="16" spans="1:29" ht="16">
      <c r="A16" s="428"/>
      <c r="B16" s="446"/>
      <c r="C16" s="447"/>
      <c r="D16" s="448"/>
      <c r="E16" s="2602"/>
      <c r="F16" s="448"/>
      <c r="G16" s="2603"/>
      <c r="H16" s="450"/>
      <c r="I16" s="2603"/>
      <c r="J16" s="448"/>
      <c r="K16" s="2604"/>
      <c r="L16" s="1140"/>
      <c r="M16" s="1131"/>
      <c r="N16" s="1131"/>
      <c r="O16" s="1131"/>
      <c r="P16" s="3275"/>
      <c r="Q16" s="1809"/>
      <c r="R16" s="774"/>
      <c r="S16" s="775"/>
      <c r="T16" s="774"/>
      <c r="U16" s="775"/>
      <c r="V16" s="774"/>
      <c r="W16" s="775"/>
      <c r="X16" s="1812"/>
      <c r="Y16" s="3268"/>
      <c r="Z16" s="1813"/>
      <c r="AA16" s="1810">
        <v>1</v>
      </c>
      <c r="AB16" s="1810">
        <v>1</v>
      </c>
      <c r="AC16" s="1810">
        <v>1</v>
      </c>
    </row>
    <row r="17" spans="1:29" ht="16">
      <c r="A17" s="428"/>
      <c r="B17" s="451" t="s">
        <v>2082</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5"/>
      <c r="Q17" s="1809" t="str">
        <f>B17</f>
        <v>交通便捷度</v>
      </c>
      <c r="R17" s="774" t="s">
        <v>21</v>
      </c>
      <c r="S17" s="775">
        <f>F17</f>
        <v>100</v>
      </c>
      <c r="T17" s="774" t="s">
        <v>21</v>
      </c>
      <c r="U17" s="775">
        <f>H17</f>
        <v>100</v>
      </c>
      <c r="V17" s="774" t="s">
        <v>21</v>
      </c>
      <c r="W17" s="775">
        <f>J17</f>
        <v>100</v>
      </c>
      <c r="X17" s="1812"/>
      <c r="Y17" s="3268"/>
      <c r="Z17" s="1813" t="str">
        <f>Q17</f>
        <v>交通便捷度</v>
      </c>
      <c r="AA17" s="1810">
        <f t="shared" si="3"/>
        <v>1</v>
      </c>
      <c r="AB17" s="1810">
        <f t="shared" si="4"/>
        <v>1</v>
      </c>
      <c r="AC17" s="1810">
        <f t="shared" si="5"/>
        <v>1</v>
      </c>
    </row>
    <row r="18" spans="1:29" ht="16">
      <c r="A18" s="428"/>
      <c r="B18" s="456"/>
      <c r="C18" s="2606"/>
      <c r="D18" s="450"/>
      <c r="E18" s="2607"/>
      <c r="F18" s="450"/>
      <c r="G18" s="2608"/>
      <c r="H18" s="448"/>
      <c r="I18" s="2608"/>
      <c r="J18" s="448"/>
      <c r="K18" s="2604"/>
      <c r="L18" s="1140"/>
      <c r="M18" s="1131"/>
      <c r="N18" s="1131"/>
      <c r="O18" s="1131"/>
      <c r="P18" s="3275"/>
      <c r="Q18" s="1809"/>
      <c r="R18" s="774"/>
      <c r="S18" s="775"/>
      <c r="T18" s="774"/>
      <c r="U18" s="775"/>
      <c r="V18" s="774"/>
      <c r="W18" s="775"/>
      <c r="X18" s="1812"/>
      <c r="Y18" s="3268"/>
      <c r="Z18" s="1813"/>
      <c r="AA18" s="1810">
        <v>1</v>
      </c>
      <c r="AB18" s="1810">
        <v>1</v>
      </c>
      <c r="AC18" s="1810">
        <v>1</v>
      </c>
    </row>
    <row r="19" spans="1:29" ht="16">
      <c r="A19" s="428"/>
      <c r="B19" s="451" t="s">
        <v>2081</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5"/>
      <c r="Q19" s="1809" t="str">
        <f>B19</f>
        <v>公共配套设施</v>
      </c>
      <c r="R19" s="774" t="s">
        <v>21</v>
      </c>
      <c r="S19" s="775">
        <f>F19</f>
        <v>100</v>
      </c>
      <c r="T19" s="774" t="s">
        <v>21</v>
      </c>
      <c r="U19" s="775">
        <f>H19</f>
        <v>100</v>
      </c>
      <c r="V19" s="774" t="s">
        <v>21</v>
      </c>
      <c r="W19" s="775">
        <f>J19</f>
        <v>100</v>
      </c>
      <c r="X19" s="1812"/>
      <c r="Y19" s="3268"/>
      <c r="Z19" s="1813" t="str">
        <f>Q19</f>
        <v>公共配套设施</v>
      </c>
      <c r="AA19" s="1810">
        <f t="shared" si="3"/>
        <v>1</v>
      </c>
      <c r="AB19" s="1810">
        <f t="shared" si="4"/>
        <v>1</v>
      </c>
      <c r="AC19" s="1810">
        <f t="shared" si="5"/>
        <v>1</v>
      </c>
    </row>
    <row r="20" spans="1:29" ht="16">
      <c r="A20" s="428"/>
      <c r="B20" s="456"/>
      <c r="C20" s="447"/>
      <c r="D20" s="448"/>
      <c r="E20" s="2602"/>
      <c r="F20" s="448"/>
      <c r="G20" s="2603"/>
      <c r="H20" s="448"/>
      <c r="I20" s="2603"/>
      <c r="J20" s="448"/>
      <c r="K20" s="2604"/>
      <c r="L20" s="1140"/>
      <c r="M20" s="1131"/>
      <c r="N20" s="1131"/>
      <c r="O20" s="1131"/>
      <c r="P20" s="3275"/>
      <c r="Q20" s="1809"/>
      <c r="R20" s="774"/>
      <c r="S20" s="775"/>
      <c r="T20" s="774"/>
      <c r="U20" s="775"/>
      <c r="V20" s="774"/>
      <c r="W20" s="775"/>
      <c r="X20" s="1812"/>
      <c r="Y20" s="3268"/>
      <c r="Z20" s="1813"/>
      <c r="AA20" s="1810">
        <v>1</v>
      </c>
      <c r="AB20" s="1810">
        <v>1</v>
      </c>
      <c r="AC20" s="1810">
        <v>1</v>
      </c>
    </row>
    <row r="21" spans="1:29" ht="16">
      <c r="A21" s="428"/>
      <c r="B21" s="1383" t="s">
        <v>2083</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6">
      <c r="A22" s="428"/>
      <c r="B22" s="1383"/>
      <c r="C22" s="2606"/>
      <c r="D22" s="448"/>
      <c r="E22" s="447"/>
      <c r="F22" s="448"/>
      <c r="G22" s="2609"/>
      <c r="H22" s="448"/>
      <c r="I22" s="447"/>
      <c r="J22" s="448"/>
      <c r="K22" s="2610"/>
      <c r="L22" s="1140"/>
      <c r="M22" s="1131"/>
      <c r="N22" s="1131"/>
      <c r="O22" s="1131"/>
      <c r="P22" s="3275"/>
      <c r="Q22" s="1809"/>
      <c r="R22" s="774"/>
      <c r="S22" s="775"/>
      <c r="T22" s="774"/>
      <c r="U22" s="775"/>
      <c r="V22" s="774"/>
      <c r="W22" s="775"/>
      <c r="X22" s="1812"/>
      <c r="Y22" s="3268"/>
      <c r="Z22" s="1813"/>
      <c r="AA22" s="1810">
        <v>1</v>
      </c>
      <c r="AB22" s="1810">
        <v>1</v>
      </c>
      <c r="AC22" s="1810">
        <v>1</v>
      </c>
    </row>
    <row r="23" spans="1:29" ht="16">
      <c r="A23" s="428"/>
      <c r="B23" s="451" t="s">
        <v>2085</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5"/>
      <c r="Q23" s="1809" t="str">
        <f>B23</f>
        <v>自然及人文环境</v>
      </c>
      <c r="R23" s="774" t="s">
        <v>21</v>
      </c>
      <c r="S23" s="775">
        <f>F23</f>
        <v>100</v>
      </c>
      <c r="T23" s="774" t="s">
        <v>21</v>
      </c>
      <c r="U23" s="775">
        <f>H23</f>
        <v>100</v>
      </c>
      <c r="V23" s="774" t="s">
        <v>21</v>
      </c>
      <c r="W23" s="775">
        <f>J23</f>
        <v>100</v>
      </c>
      <c r="X23" s="1812"/>
      <c r="Y23" s="3268"/>
      <c r="Z23" s="1813" t="str">
        <f>Q23</f>
        <v>自然及人文环境</v>
      </c>
      <c r="AA23" s="1810">
        <f>D23/F23</f>
        <v>1</v>
      </c>
      <c r="AB23" s="1810">
        <f>D23/H23</f>
        <v>1</v>
      </c>
      <c r="AC23" s="1810">
        <f>D23/J23</f>
        <v>1</v>
      </c>
    </row>
    <row r="24" spans="1:29" ht="16">
      <c r="A24" s="428"/>
      <c r="B24" s="456"/>
      <c r="C24" s="447"/>
      <c r="D24" s="448"/>
      <c r="E24" s="2602"/>
      <c r="F24" s="448"/>
      <c r="G24" s="2603"/>
      <c r="H24" s="448"/>
      <c r="I24" s="2603"/>
      <c r="J24" s="448"/>
      <c r="K24" s="2604"/>
      <c r="L24" s="1140"/>
      <c r="M24" s="1131"/>
      <c r="N24" s="1131"/>
      <c r="O24" s="1131"/>
      <c r="P24" s="3275"/>
      <c r="Q24" s="1809"/>
      <c r="R24" s="774"/>
      <c r="S24" s="775"/>
      <c r="T24" s="774"/>
      <c r="U24" s="775"/>
      <c r="V24" s="774"/>
      <c r="W24" s="775"/>
      <c r="X24" s="1812"/>
      <c r="Y24" s="3268"/>
      <c r="Z24" s="1813"/>
      <c r="AA24" s="1810">
        <v>1</v>
      </c>
      <c r="AB24" s="1810">
        <v>1</v>
      </c>
      <c r="AC24" s="1810">
        <v>1</v>
      </c>
    </row>
    <row r="25" spans="1:29" ht="16">
      <c r="A25" s="428"/>
      <c r="B25" s="422" t="s">
        <v>2542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7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8"/>
      <c r="Z25" s="1813" t="str">
        <f>Q25</f>
        <v>楼层-1</v>
      </c>
      <c r="AA25" s="1810">
        <f t="shared" ref="AA25:AA46" si="15">D25/F25</f>
        <v>1</v>
      </c>
      <c r="AB25" s="1810">
        <f t="shared" ref="AB25:AB46" si="16">D25/H25</f>
        <v>1</v>
      </c>
      <c r="AC25" s="1810">
        <f t="shared" ref="AC25:AC46" si="17">D25/J25</f>
        <v>1</v>
      </c>
    </row>
    <row r="26" spans="1:29" ht="16">
      <c r="A26" s="428"/>
      <c r="B26" s="422" t="s">
        <v>2543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75"/>
      <c r="Q26" s="1809" t="str">
        <f t="shared" si="11"/>
        <v>朝向</v>
      </c>
      <c r="R26" s="774" t="s">
        <v>21</v>
      </c>
      <c r="S26" s="775">
        <f t="shared" si="12"/>
        <v>100</v>
      </c>
      <c r="T26" s="774" t="s">
        <v>21</v>
      </c>
      <c r="U26" s="775">
        <f t="shared" si="13"/>
        <v>100</v>
      </c>
      <c r="V26" s="774" t="s">
        <v>21</v>
      </c>
      <c r="W26" s="775">
        <f t="shared" si="14"/>
        <v>100</v>
      </c>
      <c r="X26" s="1812"/>
      <c r="Y26" s="3268"/>
      <c r="Z26" s="1813" t="str">
        <f>Q26</f>
        <v>朝向</v>
      </c>
      <c r="AA26" s="1810">
        <f t="shared" si="15"/>
        <v>1</v>
      </c>
      <c r="AB26" s="1810">
        <f t="shared" si="16"/>
        <v>1</v>
      </c>
      <c r="AC26" s="1810">
        <f t="shared" si="17"/>
        <v>1</v>
      </c>
    </row>
    <row r="27" spans="1:29" s="117" customFormat="1" ht="16">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75"/>
      <c r="Q27" s="1794">
        <f t="shared" si="11"/>
        <v>111</v>
      </c>
      <c r="R27" s="770" t="s">
        <v>21</v>
      </c>
      <c r="S27" s="771">
        <f t="shared" si="12"/>
        <v>100</v>
      </c>
      <c r="T27" s="770" t="s">
        <v>21</v>
      </c>
      <c r="U27" s="771">
        <f t="shared" si="13"/>
        <v>100</v>
      </c>
      <c r="V27" s="770" t="s">
        <v>21</v>
      </c>
      <c r="W27" s="771">
        <f t="shared" si="14"/>
        <v>100</v>
      </c>
      <c r="X27" s="772"/>
      <c r="Y27" s="3268"/>
      <c r="Z27" s="55">
        <f>Q27</f>
        <v>111</v>
      </c>
      <c r="AA27" s="1810">
        <f t="shared" si="15"/>
        <v>1</v>
      </c>
      <c r="AB27" s="1810">
        <f t="shared" si="16"/>
        <v>1</v>
      </c>
      <c r="AC27" s="1810">
        <f t="shared" si="17"/>
        <v>1</v>
      </c>
    </row>
    <row r="28" spans="1:29" ht="16">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75"/>
      <c r="Q28" s="1809">
        <f t="shared" si="11"/>
        <v>111</v>
      </c>
      <c r="R28" s="774" t="s">
        <v>21</v>
      </c>
      <c r="S28" s="775">
        <f t="shared" si="12"/>
        <v>100</v>
      </c>
      <c r="T28" s="774" t="s">
        <v>21</v>
      </c>
      <c r="U28" s="775">
        <f t="shared" si="13"/>
        <v>100</v>
      </c>
      <c r="V28" s="774" t="s">
        <v>21</v>
      </c>
      <c r="W28" s="775">
        <f t="shared" si="14"/>
        <v>100</v>
      </c>
      <c r="X28" s="1812"/>
      <c r="Y28" s="3268"/>
      <c r="Z28" s="1813">
        <f t="shared" ref="Z28:Z46" si="18">Q28</f>
        <v>111</v>
      </c>
      <c r="AA28" s="1810">
        <f t="shared" si="15"/>
        <v>1</v>
      </c>
      <c r="AB28" s="1810">
        <f t="shared" si="16"/>
        <v>1</v>
      </c>
      <c r="AC28" s="1810">
        <f t="shared" si="17"/>
        <v>1</v>
      </c>
    </row>
    <row r="29" spans="1:29" ht="16">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75"/>
      <c r="Q29" s="1809">
        <f t="shared" si="11"/>
        <v>111</v>
      </c>
      <c r="R29" s="774" t="s">
        <v>21</v>
      </c>
      <c r="S29" s="775">
        <f t="shared" si="12"/>
        <v>100</v>
      </c>
      <c r="T29" s="774" t="s">
        <v>21</v>
      </c>
      <c r="U29" s="775">
        <f t="shared" si="13"/>
        <v>100</v>
      </c>
      <c r="V29" s="774" t="s">
        <v>21</v>
      </c>
      <c r="W29" s="775">
        <f t="shared" si="14"/>
        <v>100</v>
      </c>
      <c r="X29" s="1812"/>
      <c r="Y29" s="3268"/>
      <c r="Z29" s="1813">
        <f t="shared" si="18"/>
        <v>111</v>
      </c>
      <c r="AA29" s="1810">
        <f t="shared" si="15"/>
        <v>1</v>
      </c>
      <c r="AB29" s="1810">
        <f t="shared" si="16"/>
        <v>1</v>
      </c>
      <c r="AC29" s="1810">
        <f t="shared" si="17"/>
        <v>1</v>
      </c>
    </row>
    <row r="30" spans="1:29" ht="16">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75"/>
      <c r="Q30" s="1809">
        <f t="shared" si="11"/>
        <v>111</v>
      </c>
      <c r="R30" s="774" t="s">
        <v>21</v>
      </c>
      <c r="S30" s="775">
        <f t="shared" si="12"/>
        <v>100</v>
      </c>
      <c r="T30" s="774" t="s">
        <v>21</v>
      </c>
      <c r="U30" s="775">
        <f t="shared" si="13"/>
        <v>100</v>
      </c>
      <c r="V30" s="774" t="s">
        <v>21</v>
      </c>
      <c r="W30" s="775">
        <f t="shared" si="14"/>
        <v>100</v>
      </c>
      <c r="X30" s="1812"/>
      <c r="Y30" s="3268"/>
      <c r="Z30" s="1813">
        <f t="shared" si="18"/>
        <v>111</v>
      </c>
      <c r="AA30" s="1810">
        <f t="shared" si="15"/>
        <v>1</v>
      </c>
      <c r="AB30" s="1810">
        <f t="shared" si="16"/>
        <v>1</v>
      </c>
      <c r="AC30" s="1810">
        <f t="shared" si="17"/>
        <v>1</v>
      </c>
    </row>
    <row r="31" spans="1:29" ht="17"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75"/>
      <c r="Q31" s="1809">
        <f t="shared" si="11"/>
        <v>111</v>
      </c>
      <c r="R31" s="774" t="s">
        <v>21</v>
      </c>
      <c r="S31" s="775">
        <f t="shared" si="12"/>
        <v>100</v>
      </c>
      <c r="T31" s="774" t="s">
        <v>21</v>
      </c>
      <c r="U31" s="775">
        <f t="shared" si="13"/>
        <v>100</v>
      </c>
      <c r="V31" s="774" t="s">
        <v>21</v>
      </c>
      <c r="W31" s="775">
        <f t="shared" si="14"/>
        <v>100</v>
      </c>
      <c r="X31" s="1812"/>
      <c r="Y31" s="3268"/>
      <c r="Z31" s="1813">
        <f t="shared" si="18"/>
        <v>111</v>
      </c>
      <c r="AA31" s="1810">
        <f t="shared" si="15"/>
        <v>1</v>
      </c>
      <c r="AB31" s="1810">
        <f t="shared" si="16"/>
        <v>1</v>
      </c>
      <c r="AC31" s="1810">
        <f t="shared" si="17"/>
        <v>1</v>
      </c>
    </row>
    <row r="32" spans="1:29" ht="16">
      <c r="A32" s="440" t="s">
        <v>2544</v>
      </c>
      <c r="B32" s="71" t="s">
        <v>2545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69" t="s">
        <v>2546</v>
      </c>
      <c r="Q32" s="1809" t="str">
        <f t="shared" si="11"/>
        <v>建筑类型</v>
      </c>
      <c r="R32" s="774" t="s">
        <v>21</v>
      </c>
      <c r="S32" s="775">
        <f t="shared" si="12"/>
        <v>100</v>
      </c>
      <c r="T32" s="774" t="s">
        <v>21</v>
      </c>
      <c r="U32" s="775">
        <f t="shared" si="13"/>
        <v>100</v>
      </c>
      <c r="V32" s="774" t="s">
        <v>21</v>
      </c>
      <c r="W32" s="775">
        <f t="shared" si="14"/>
        <v>100</v>
      </c>
      <c r="X32" s="1812"/>
      <c r="Y32" s="3272" t="s">
        <v>2546</v>
      </c>
      <c r="Z32" s="1813" t="str">
        <f t="shared" si="18"/>
        <v>建筑类型</v>
      </c>
      <c r="AA32" s="1810">
        <f t="shared" si="15"/>
        <v>1</v>
      </c>
      <c r="AB32" s="1810">
        <f t="shared" si="16"/>
        <v>1</v>
      </c>
      <c r="AC32" s="1810">
        <f t="shared" si="17"/>
        <v>1</v>
      </c>
    </row>
    <row r="33" spans="1:29" s="471" customFormat="1" ht="16">
      <c r="A33" s="468"/>
      <c r="B33" s="422"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0" t="e">
        <f t="shared" si="15"/>
        <v>#N/A</v>
      </c>
      <c r="AB33" s="1810" t="e">
        <f t="shared" si="16"/>
        <v>#N/A</v>
      </c>
      <c r="AC33" s="1810" t="e">
        <f t="shared" si="17"/>
        <v>#N/A</v>
      </c>
    </row>
    <row r="34" spans="1:29" ht="16">
      <c r="A34" s="472"/>
      <c r="B34" s="422" t="s">
        <v>2548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70"/>
      <c r="Q34" s="1809" t="str">
        <f t="shared" si="11"/>
        <v>建筑结构</v>
      </c>
      <c r="R34" s="774" t="s">
        <v>21</v>
      </c>
      <c r="S34" s="775">
        <f t="shared" si="12"/>
        <v>100</v>
      </c>
      <c r="T34" s="774" t="s">
        <v>21</v>
      </c>
      <c r="U34" s="775">
        <f t="shared" si="13"/>
        <v>100</v>
      </c>
      <c r="V34" s="774" t="s">
        <v>21</v>
      </c>
      <c r="W34" s="775">
        <f t="shared" si="14"/>
        <v>100</v>
      </c>
      <c r="X34" s="1812"/>
      <c r="Y34" s="3272"/>
      <c r="Z34" s="1813" t="str">
        <f t="shared" si="18"/>
        <v>建筑结构</v>
      </c>
      <c r="AA34" s="1810">
        <f t="shared" si="15"/>
        <v>1</v>
      </c>
      <c r="AB34" s="1810">
        <f t="shared" si="16"/>
        <v>1</v>
      </c>
      <c r="AC34" s="1810">
        <f t="shared" si="17"/>
        <v>1</v>
      </c>
    </row>
    <row r="35" spans="1:29" ht="16">
      <c r="A35" s="472"/>
      <c r="B35" s="422" t="s">
        <v>2549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70"/>
      <c r="Q35" s="1809" t="str">
        <f t="shared" si="11"/>
        <v>建筑品质</v>
      </c>
      <c r="R35" s="774" t="s">
        <v>21</v>
      </c>
      <c r="S35" s="775">
        <f t="shared" si="12"/>
        <v>100</v>
      </c>
      <c r="T35" s="774" t="s">
        <v>21</v>
      </c>
      <c r="U35" s="775">
        <f t="shared" si="13"/>
        <v>100</v>
      </c>
      <c r="V35" s="774" t="s">
        <v>21</v>
      </c>
      <c r="W35" s="775">
        <f t="shared" si="14"/>
        <v>100</v>
      </c>
      <c r="X35" s="1812"/>
      <c r="Y35" s="3272"/>
      <c r="Z35" s="1813" t="str">
        <f t="shared" si="18"/>
        <v>建筑品质</v>
      </c>
      <c r="AA35" s="1810">
        <f t="shared" si="15"/>
        <v>1</v>
      </c>
      <c r="AB35" s="1810">
        <f t="shared" si="16"/>
        <v>1</v>
      </c>
      <c r="AC35" s="1810">
        <f t="shared" si="17"/>
        <v>1</v>
      </c>
    </row>
    <row r="36" spans="1:29" ht="16">
      <c r="A36" s="472"/>
      <c r="B36" s="422" t="s">
        <v>2550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70"/>
      <c r="Q36" s="1809" t="str">
        <f t="shared" si="11"/>
        <v>公共部分装修</v>
      </c>
      <c r="R36" s="774" t="s">
        <v>21</v>
      </c>
      <c r="S36" s="775">
        <f t="shared" si="12"/>
        <v>100</v>
      </c>
      <c r="T36" s="774" t="s">
        <v>21</v>
      </c>
      <c r="U36" s="775">
        <f t="shared" si="13"/>
        <v>100</v>
      </c>
      <c r="V36" s="774" t="s">
        <v>21</v>
      </c>
      <c r="W36" s="775">
        <f t="shared" si="14"/>
        <v>100</v>
      </c>
      <c r="X36" s="1812"/>
      <c r="Y36" s="3272"/>
      <c r="Z36" s="1813" t="str">
        <f t="shared" si="18"/>
        <v>公共部分装修</v>
      </c>
      <c r="AA36" s="1810">
        <f t="shared" si="15"/>
        <v>1</v>
      </c>
      <c r="AB36" s="1810">
        <f t="shared" si="16"/>
        <v>1</v>
      </c>
      <c r="AC36" s="1810">
        <f t="shared" si="17"/>
        <v>1</v>
      </c>
    </row>
    <row r="37" spans="1:29" s="117" customFormat="1" ht="16">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0"/>
      <c r="Q37" s="1794"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6">
      <c r="A38" s="472"/>
      <c r="B38" s="422" t="s">
        <v>2552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70" t="s">
        <v>2546</v>
      </c>
      <c r="Q38" s="1809" t="str">
        <f t="shared" si="11"/>
        <v>物业管理</v>
      </c>
      <c r="R38" s="774" t="s">
        <v>21</v>
      </c>
      <c r="S38" s="775">
        <f t="shared" si="12"/>
        <v>100</v>
      </c>
      <c r="T38" s="774" t="s">
        <v>21</v>
      </c>
      <c r="U38" s="775">
        <f t="shared" si="13"/>
        <v>100</v>
      </c>
      <c r="V38" s="774" t="s">
        <v>21</v>
      </c>
      <c r="W38" s="775">
        <f t="shared" si="14"/>
        <v>100</v>
      </c>
      <c r="X38" s="1812"/>
      <c r="Y38" s="3272" t="s">
        <v>2546</v>
      </c>
      <c r="Z38" s="1813" t="str">
        <f t="shared" si="18"/>
        <v>物业管理</v>
      </c>
      <c r="AA38" s="1810">
        <f t="shared" si="15"/>
        <v>1</v>
      </c>
      <c r="AB38" s="1810">
        <f t="shared" si="16"/>
        <v>1</v>
      </c>
      <c r="AC38" s="1810">
        <f t="shared" si="17"/>
        <v>1</v>
      </c>
    </row>
    <row r="39" spans="1:29" ht="16">
      <c r="A39" s="472"/>
      <c r="B39" s="422" t="s">
        <v>2553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70"/>
      <c r="Q39" s="1809" t="str">
        <f t="shared" si="11"/>
        <v>市政基础设施</v>
      </c>
      <c r="R39" s="774" t="s">
        <v>21</v>
      </c>
      <c r="S39" s="775">
        <f t="shared" si="12"/>
        <v>100</v>
      </c>
      <c r="T39" s="774" t="s">
        <v>21</v>
      </c>
      <c r="U39" s="775">
        <f t="shared" si="13"/>
        <v>100</v>
      </c>
      <c r="V39" s="774" t="s">
        <v>21</v>
      </c>
      <c r="W39" s="775">
        <f t="shared" si="14"/>
        <v>100</v>
      </c>
      <c r="X39" s="1812"/>
      <c r="Y39" s="3272"/>
      <c r="Z39" s="1813" t="str">
        <f t="shared" si="18"/>
        <v>市政基础设施</v>
      </c>
      <c r="AA39" s="1810">
        <f t="shared" si="15"/>
        <v>1</v>
      </c>
      <c r="AB39" s="1810">
        <f t="shared" si="16"/>
        <v>1</v>
      </c>
      <c r="AC39" s="1810">
        <f t="shared" si="17"/>
        <v>1</v>
      </c>
    </row>
    <row r="40" spans="1:29" ht="16">
      <c r="A40" s="472"/>
      <c r="B40" s="422" t="s">
        <v>2554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70"/>
      <c r="Q40" s="1809" t="str">
        <f t="shared" si="11"/>
        <v>房型</v>
      </c>
      <c r="R40" s="774" t="s">
        <v>21</v>
      </c>
      <c r="S40" s="775">
        <f t="shared" si="12"/>
        <v>100</v>
      </c>
      <c r="T40" s="774" t="s">
        <v>21</v>
      </c>
      <c r="U40" s="775">
        <f t="shared" si="13"/>
        <v>100</v>
      </c>
      <c r="V40" s="774" t="s">
        <v>21</v>
      </c>
      <c r="W40" s="775">
        <f t="shared" si="14"/>
        <v>100</v>
      </c>
      <c r="X40" s="1812"/>
      <c r="Y40" s="3272"/>
      <c r="Z40" s="1813" t="str">
        <f t="shared" si="18"/>
        <v>房型</v>
      </c>
      <c r="AA40" s="1810">
        <f t="shared" si="15"/>
        <v>1</v>
      </c>
      <c r="AB40" s="1810">
        <f t="shared" si="16"/>
        <v>1</v>
      </c>
      <c r="AC40" s="1810">
        <f t="shared" si="17"/>
        <v>1</v>
      </c>
    </row>
    <row r="41" spans="1:29" s="471" customFormat="1" ht="30">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0">
        <f t="shared" si="15"/>
        <v>1</v>
      </c>
      <c r="AB41" s="1810">
        <f t="shared" si="16"/>
        <v>1</v>
      </c>
      <c r="AC41" s="1810">
        <f t="shared" si="17"/>
        <v>1</v>
      </c>
    </row>
    <row r="42" spans="1:29" ht="16">
      <c r="A42" s="472"/>
      <c r="B42" s="422" t="s">
        <v>2556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70"/>
      <c r="Q42" s="1809" t="str">
        <f t="shared" si="11"/>
        <v>内部装修</v>
      </c>
      <c r="R42" s="774" t="s">
        <v>21</v>
      </c>
      <c r="S42" s="775">
        <f t="shared" si="12"/>
        <v>100</v>
      </c>
      <c r="T42" s="774" t="s">
        <v>21</v>
      </c>
      <c r="U42" s="775">
        <f t="shared" si="13"/>
        <v>100</v>
      </c>
      <c r="V42" s="774" t="s">
        <v>21</v>
      </c>
      <c r="W42" s="775">
        <f t="shared" si="14"/>
        <v>100</v>
      </c>
      <c r="X42" s="1812"/>
      <c r="Y42" s="3272"/>
      <c r="Z42" s="1813" t="str">
        <f t="shared" si="18"/>
        <v>内部装修</v>
      </c>
      <c r="AA42" s="1810">
        <f t="shared" si="15"/>
        <v>1</v>
      </c>
      <c r="AB42" s="1810">
        <f t="shared" si="16"/>
        <v>1</v>
      </c>
      <c r="AC42" s="1810">
        <f t="shared" si="17"/>
        <v>1</v>
      </c>
    </row>
    <row r="43" spans="1:29" ht="16">
      <c r="A43" s="472"/>
      <c r="B43" s="422" t="s">
        <v>2557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70"/>
      <c r="Q43" s="1809" t="str">
        <f t="shared" si="11"/>
        <v>内部装修维护情况</v>
      </c>
      <c r="R43" s="774" t="s">
        <v>21</v>
      </c>
      <c r="S43" s="775">
        <f t="shared" si="12"/>
        <v>100</v>
      </c>
      <c r="T43" s="774" t="s">
        <v>21</v>
      </c>
      <c r="U43" s="775">
        <f t="shared" si="13"/>
        <v>100</v>
      </c>
      <c r="V43" s="774" t="s">
        <v>21</v>
      </c>
      <c r="W43" s="775">
        <f t="shared" si="14"/>
        <v>100</v>
      </c>
      <c r="X43" s="1812"/>
      <c r="Y43" s="3272"/>
      <c r="Z43" s="1813" t="str">
        <f t="shared" si="18"/>
        <v>内部装修维护情况</v>
      </c>
      <c r="AA43" s="1810">
        <f t="shared" si="15"/>
        <v>1</v>
      </c>
      <c r="AB43" s="1810">
        <f t="shared" si="16"/>
        <v>1</v>
      </c>
      <c r="AC43" s="1810">
        <f t="shared" si="17"/>
        <v>1</v>
      </c>
    </row>
    <row r="44" spans="1:29" s="117" customFormat="1" ht="16">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70"/>
      <c r="Q44" s="1794">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6">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70"/>
      <c r="Q45" s="1809">
        <f t="shared" si="11"/>
        <v>111</v>
      </c>
      <c r="R45" s="774" t="s">
        <v>21</v>
      </c>
      <c r="S45" s="775">
        <f t="shared" si="12"/>
        <v>100</v>
      </c>
      <c r="T45" s="774" t="s">
        <v>21</v>
      </c>
      <c r="U45" s="775">
        <f t="shared" si="13"/>
        <v>100</v>
      </c>
      <c r="V45" s="774" t="s">
        <v>21</v>
      </c>
      <c r="W45" s="775">
        <f t="shared" si="14"/>
        <v>100</v>
      </c>
      <c r="X45" s="1812"/>
      <c r="Y45" s="3272"/>
      <c r="Z45" s="1813">
        <f t="shared" si="18"/>
        <v>111</v>
      </c>
      <c r="AA45" s="1810">
        <f t="shared" si="15"/>
        <v>1</v>
      </c>
      <c r="AB45" s="1810">
        <f t="shared" si="16"/>
        <v>1</v>
      </c>
      <c r="AC45" s="1810">
        <f t="shared" si="17"/>
        <v>1</v>
      </c>
    </row>
    <row r="46" spans="1:29" ht="17"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71"/>
      <c r="Q46" s="1809">
        <f t="shared" si="11"/>
        <v>111</v>
      </c>
      <c r="R46" s="774" t="s">
        <v>20</v>
      </c>
      <c r="S46" s="775">
        <f t="shared" si="12"/>
        <v>100</v>
      </c>
      <c r="T46" s="774" t="s">
        <v>20</v>
      </c>
      <c r="U46" s="775">
        <f t="shared" si="13"/>
        <v>100</v>
      </c>
      <c r="V46" s="774" t="s">
        <v>20</v>
      </c>
      <c r="W46" s="775">
        <f t="shared" si="14"/>
        <v>100</v>
      </c>
      <c r="X46" s="1812"/>
      <c r="Y46" s="3273"/>
      <c r="Z46" s="1813">
        <f t="shared" si="18"/>
        <v>111</v>
      </c>
      <c r="AA46" s="1810">
        <f t="shared" si="15"/>
        <v>1</v>
      </c>
      <c r="AB46" s="1810">
        <f t="shared" si="16"/>
        <v>1</v>
      </c>
      <c r="AC46" s="1810">
        <f t="shared" si="17"/>
        <v>1</v>
      </c>
    </row>
    <row r="47" spans="1:29" ht="15">
      <c r="A47" s="479" t="s">
        <v>2558</v>
      </c>
      <c r="B47" s="480"/>
      <c r="C47" s="1406" t="s">
        <v>19</v>
      </c>
      <c r="D47" s="1407"/>
      <c r="E47" s="1408"/>
      <c r="F47" s="1409"/>
      <c r="G47" s="1410"/>
      <c r="H47" s="1411"/>
      <c r="I47" s="1408"/>
      <c r="J47" s="1411"/>
      <c r="K47" s="2619"/>
      <c r="L47" s="1143"/>
      <c r="M47" s="1144"/>
      <c r="N47" s="1131"/>
      <c r="O47" s="1144"/>
      <c r="P47" s="3265" t="str">
        <f>A47</f>
        <v>成交单价（元/平方米）</v>
      </c>
      <c r="Q47" s="3265"/>
      <c r="R47" s="3266">
        <f>E47</f>
        <v>0</v>
      </c>
      <c r="S47" s="3266"/>
      <c r="T47" s="3266">
        <f>G47</f>
        <v>0</v>
      </c>
      <c r="U47" s="3266"/>
      <c r="V47" s="3266">
        <f>I47</f>
        <v>0</v>
      </c>
      <c r="W47" s="3266"/>
      <c r="X47" s="759"/>
      <c r="Y47" s="781"/>
      <c r="Z47" s="759"/>
      <c r="AA47" s="759"/>
      <c r="AB47" s="759"/>
      <c r="AC47" s="759"/>
    </row>
    <row r="48" spans="1:29" ht="15" thickBot="1">
      <c r="A48" s="486" t="s">
        <v>2559</v>
      </c>
      <c r="B48" s="487"/>
      <c r="C48" s="1412" t="e">
        <f>R49</f>
        <v>#DIV/0!</v>
      </c>
      <c r="D48" s="1413"/>
      <c r="E48" s="1414" t="e">
        <f>R48</f>
        <v>#DIV/0!</v>
      </c>
      <c r="F48" s="1414"/>
      <c r="G48" s="1412" t="e">
        <f>T48</f>
        <v>#DIV/0!</v>
      </c>
      <c r="H48" s="1413"/>
      <c r="I48" s="1414" t="e">
        <f>V48</f>
        <v>#DIV/0!</v>
      </c>
      <c r="J48" s="1413"/>
      <c r="K48" s="2620"/>
      <c r="L48" s="1143"/>
      <c r="M48" s="1144"/>
      <c r="N48" s="1144"/>
      <c r="O48" s="1144"/>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 thickBot="1">
      <c r="A49" s="492" t="s">
        <v>2560</v>
      </c>
      <c r="B49" s="493"/>
      <c r="C49" s="1415" t="e">
        <f>R49</f>
        <v>#DIV/0!</v>
      </c>
      <c r="D49" s="1416"/>
      <c r="E49" s="1416"/>
      <c r="F49" s="1416"/>
      <c r="G49" s="1416"/>
      <c r="H49" s="1416"/>
      <c r="I49" s="1416"/>
      <c r="J49" s="1416"/>
      <c r="K49" s="2621"/>
      <c r="L49" s="1143"/>
      <c r="M49" s="1144"/>
      <c r="N49" s="1144"/>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 thickBot="1">
      <c r="A57" s="763" t="s">
        <v>2564</v>
      </c>
      <c r="B57" s="759"/>
      <c r="C57" s="764"/>
      <c r="D57" s="764"/>
      <c r="E57" s="764"/>
      <c r="F57" s="765"/>
      <c r="G57" s="765"/>
      <c r="H57" s="764"/>
      <c r="I57" s="764"/>
      <c r="J57" s="764"/>
      <c r="K57" s="1160"/>
      <c r="L57" s="1161"/>
      <c r="M57" s="1159"/>
      <c r="N57" s="1159"/>
      <c r="O57" s="1159"/>
      <c r="P57" s="2624"/>
      <c r="Q57" s="504"/>
    </row>
    <row r="58" spans="1:29" s="508" customFormat="1" ht="15">
      <c r="A58" s="505" t="s">
        <v>2565</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5">
      <c r="A61" s="521" t="s">
        <v>2567</v>
      </c>
      <c r="B61" s="510"/>
      <c r="C61" s="522" t="s">
        <v>2568</v>
      </c>
      <c r="D61" s="523"/>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2569</v>
      </c>
      <c r="B63" s="528" t="s">
        <v>2535</v>
      </c>
      <c r="C63" s="529">
        <f>C9</f>
        <v>0</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6"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60"/>
      <c r="E73" s="560"/>
      <c r="F73" s="560"/>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2083</v>
      </c>
      <c r="C82" s="539" t="s">
        <v>2585</v>
      </c>
      <c r="D82" s="539" t="s">
        <v>2586</v>
      </c>
      <c r="E82" s="539" t="s">
        <v>2587</v>
      </c>
      <c r="F82" s="539" t="s">
        <v>2588</v>
      </c>
      <c r="G82" s="539" t="s">
        <v>2589</v>
      </c>
      <c r="H82" s="539"/>
      <c r="I82" s="539"/>
      <c r="J82" s="539"/>
      <c r="K82" s="539"/>
      <c r="L82" s="539"/>
      <c r="M82" s="1381"/>
      <c r="N82" s="1153"/>
      <c r="O82" s="1153"/>
      <c r="P82" s="2628"/>
      <c r="Q82" s="504"/>
    </row>
    <row r="83" spans="1:17" ht="1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6"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2591</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6" thickTop="1">
      <c r="A88" s="579"/>
      <c r="B88" s="538" t="s">
        <v>2592</v>
      </c>
      <c r="C88" s="554"/>
      <c r="D88" s="554"/>
      <c r="E88" s="554"/>
      <c r="F88" s="2633"/>
      <c r="G88" s="554"/>
      <c r="H88" s="554"/>
      <c r="I88" s="554"/>
      <c r="J88" s="554"/>
      <c r="K88" s="554"/>
      <c r="L88" s="554"/>
      <c r="M88" s="581"/>
      <c r="N88" s="1151"/>
      <c r="O88" s="1151"/>
      <c r="P88" s="2628"/>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 thickTop="1">
      <c r="A90" s="553"/>
      <c r="B90" s="538">
        <f>B27</f>
        <v>111</v>
      </c>
      <c r="C90" s="554"/>
      <c r="D90" s="554"/>
      <c r="E90" s="554"/>
      <c r="F90" s="554"/>
      <c r="G90" s="554"/>
      <c r="H90" s="555"/>
      <c r="I90" s="555"/>
      <c r="J90" s="555"/>
      <c r="K90" s="555"/>
      <c r="L90" s="556"/>
      <c r="M90" s="557"/>
      <c r="N90" s="1154"/>
      <c r="O90" s="1154"/>
      <c r="P90" s="2629"/>
      <c r="Q90" s="559"/>
    </row>
    <row r="91" spans="1:17" s="471" customFormat="1" ht="15" thickBot="1">
      <c r="A91" s="553"/>
      <c r="B91" s="543"/>
      <c r="C91" s="560"/>
      <c r="D91" s="560"/>
      <c r="E91" s="560"/>
      <c r="F91" s="560"/>
      <c r="G91" s="560"/>
      <c r="H91" s="562"/>
      <c r="I91" s="562"/>
      <c r="J91" s="562"/>
      <c r="K91" s="562"/>
      <c r="L91" s="562"/>
      <c r="M91" s="563"/>
      <c r="N91" s="1154"/>
      <c r="O91" s="1154"/>
      <c r="P91" s="2629"/>
      <c r="Q91" s="559"/>
    </row>
    <row r="92" spans="1:17" ht="15" thickTop="1">
      <c r="A92" s="534"/>
      <c r="B92" s="538">
        <f>B28</f>
        <v>111</v>
      </c>
      <c r="C92" s="554"/>
      <c r="D92" s="554"/>
      <c r="E92" s="554"/>
      <c r="F92" s="554"/>
      <c r="G92" s="583"/>
      <c r="H92" s="583"/>
      <c r="I92" s="583"/>
      <c r="J92" s="583"/>
      <c r="K92" s="584"/>
      <c r="L92" s="585"/>
      <c r="M92" s="586"/>
      <c r="N92" s="1152"/>
      <c r="O92" s="1152"/>
      <c r="P92" s="2628"/>
      <c r="Q92" s="504"/>
    </row>
    <row r="93" spans="1:17" ht="15" thickBot="1">
      <c r="A93" s="534"/>
      <c r="B93" s="543"/>
      <c r="C93" s="560"/>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60"/>
      <c r="E95" s="560"/>
      <c r="F95" s="560"/>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70"/>
      <c r="D97" s="570"/>
      <c r="E97" s="570"/>
      <c r="F97" s="570"/>
      <c r="G97" s="536"/>
      <c r="H97" s="536"/>
      <c r="I97" s="536"/>
      <c r="J97" s="536"/>
      <c r="K97" s="536"/>
      <c r="L97" s="536"/>
      <c r="M97" s="537"/>
      <c r="N97" s="1153"/>
      <c r="O97" s="1153"/>
      <c r="P97" s="2628"/>
      <c r="Q97" s="504"/>
    </row>
    <row r="98" spans="1:17" ht="15" thickTop="1">
      <c r="A98" s="534"/>
      <c r="B98" s="546">
        <f>B31</f>
        <v>111</v>
      </c>
      <c r="C98" s="587"/>
      <c r="D98" s="587"/>
      <c r="E98" s="587"/>
      <c r="F98" s="587"/>
      <c r="G98" s="587"/>
      <c r="H98" s="587"/>
      <c r="I98" s="587"/>
      <c r="J98" s="587"/>
      <c r="K98" s="588"/>
      <c r="L98" s="589"/>
      <c r="M98" s="590"/>
      <c r="N98" s="1152"/>
      <c r="O98" s="1152"/>
      <c r="P98" s="2628"/>
      <c r="Q98" s="504"/>
    </row>
    <row r="99" spans="1:17" ht="15" thickBot="1">
      <c r="A99" s="2634"/>
      <c r="B99" s="569"/>
      <c r="C99" s="591"/>
      <c r="D99" s="591"/>
      <c r="E99" s="591"/>
      <c r="F99" s="591"/>
      <c r="G99" s="591"/>
      <c r="H99" s="591"/>
      <c r="I99" s="591"/>
      <c r="J99" s="591"/>
      <c r="K99" s="591"/>
      <c r="L99" s="591"/>
      <c r="M99" s="592"/>
      <c r="N99" s="1153"/>
      <c r="O99" s="1153"/>
      <c r="P99" s="2628"/>
      <c r="Q99" s="504"/>
    </row>
    <row r="100" spans="1:17" ht="15">
      <c r="A100" s="527" t="s">
        <v>2544</v>
      </c>
      <c r="B100" s="528" t="s">
        <v>2593</v>
      </c>
      <c r="C100" s="530"/>
      <c r="D100" s="530"/>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6"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 thickBot="1">
      <c r="A104" s="553"/>
      <c r="B104" s="543"/>
      <c r="C104" s="560"/>
      <c r="D104" s="536"/>
      <c r="E104" s="536"/>
      <c r="F104" s="536"/>
      <c r="G104" s="536"/>
      <c r="H104" s="536"/>
      <c r="I104" s="536"/>
      <c r="J104" s="536"/>
      <c r="K104" s="536"/>
      <c r="L104" s="536"/>
      <c r="M104" s="536"/>
      <c r="N104" s="1153"/>
      <c r="O104" s="1153"/>
      <c r="P104" s="2629"/>
      <c r="Q104" s="559"/>
    </row>
    <row r="105" spans="1:17" ht="16" thickTop="1">
      <c r="A105" s="599"/>
      <c r="B105" s="538" t="s">
        <v>2595</v>
      </c>
      <c r="C105" s="554"/>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6" thickTop="1">
      <c r="A107" s="599"/>
      <c r="B107" s="538" t="s">
        <v>2596</v>
      </c>
      <c r="C107" s="583"/>
      <c r="D107" s="583"/>
      <c r="E107" s="583"/>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6" thickTop="1">
      <c r="A109" s="599"/>
      <c r="B109" s="538" t="s">
        <v>2597</v>
      </c>
      <c r="C109" s="554"/>
      <c r="D109" s="554"/>
      <c r="E109" s="554"/>
      <c r="F109" s="583"/>
      <c r="G109" s="583"/>
      <c r="H109" s="583"/>
      <c r="I109" s="583"/>
      <c r="J109" s="583"/>
      <c r="K109" s="584"/>
      <c r="L109" s="585"/>
      <c r="M109" s="586"/>
      <c r="N109" s="1152"/>
      <c r="O109" s="1152"/>
      <c r="P109" s="2628"/>
      <c r="Q109" s="504"/>
    </row>
    <row r="110" spans="1:17" ht="1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6"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6" thickTop="1">
      <c r="A114" s="599"/>
      <c r="B114" s="538" t="s">
        <v>2598</v>
      </c>
      <c r="C114" s="554"/>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6" thickTop="1">
      <c r="A116" s="599"/>
      <c r="B116" s="538" t="s">
        <v>2599</v>
      </c>
      <c r="C116" s="554"/>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2600</v>
      </c>
      <c r="C118" s="583"/>
      <c r="D118" s="583"/>
      <c r="E118" s="583"/>
      <c r="F118" s="583"/>
      <c r="G118" s="583"/>
      <c r="H118" s="583"/>
      <c r="I118" s="583"/>
      <c r="J118" s="583"/>
      <c r="K118" s="584"/>
      <c r="L118" s="585"/>
      <c r="M118" s="586"/>
      <c r="N118" s="1152"/>
      <c r="O118" s="1152"/>
      <c r="P118" s="2628"/>
      <c r="Q118" s="504"/>
    </row>
    <row r="119" spans="1:17" ht="1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31" thickTop="1">
      <c r="A120" s="593"/>
      <c r="B120" s="538" t="s">
        <v>2555</v>
      </c>
      <c r="C120" s="554"/>
      <c r="D120" s="554"/>
      <c r="E120" s="554"/>
      <c r="F120" s="554"/>
      <c r="G120" s="554"/>
      <c r="H120" s="554"/>
      <c r="I120" s="554"/>
      <c r="J120" s="554"/>
      <c r="K120" s="554"/>
      <c r="L120" s="580"/>
      <c r="M120" s="581"/>
      <c r="N120" s="1154"/>
      <c r="O120" s="1154"/>
      <c r="P120" s="2629"/>
      <c r="Q120" s="559"/>
    </row>
    <row r="121" spans="1:17" s="471" customFormat="1" ht="15" thickBot="1">
      <c r="A121" s="553"/>
      <c r="B121" s="535"/>
      <c r="C121" s="560"/>
      <c r="D121" s="536"/>
      <c r="E121" s="536"/>
      <c r="F121" s="536"/>
      <c r="G121" s="536"/>
      <c r="H121" s="536"/>
      <c r="I121" s="536"/>
      <c r="J121" s="536"/>
      <c r="K121" s="536"/>
      <c r="L121" s="536"/>
      <c r="M121" s="536"/>
      <c r="N121" s="1154"/>
      <c r="O121" s="1154"/>
      <c r="P121" s="2629"/>
      <c r="Q121" s="559"/>
    </row>
    <row r="122" spans="1:17" ht="16" thickTop="1">
      <c r="A122" s="599"/>
      <c r="B122" s="538" t="s">
        <v>2601</v>
      </c>
      <c r="C122" s="554"/>
      <c r="D122" s="554"/>
      <c r="E122" s="554"/>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6"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2603</v>
      </c>
    </row>
    <row r="137" spans="1:17" ht="16">
      <c r="B137" s="2636" t="s">
        <v>2604</v>
      </c>
      <c r="C137" s="2637"/>
      <c r="D137" s="2637"/>
      <c r="E137" s="2637"/>
      <c r="F137" s="2637"/>
      <c r="G137" s="2638"/>
      <c r="H137" s="2639"/>
      <c r="I137" s="2640" t="s">
        <v>2605</v>
      </c>
      <c r="J137" s="2637"/>
      <c r="K137" s="2641"/>
    </row>
    <row r="138" spans="1:17" ht="16">
      <c r="B138" s="2642"/>
      <c r="C138" s="146" t="s">
        <v>2606</v>
      </c>
      <c r="D138" s="146" t="s">
        <v>2607</v>
      </c>
      <c r="E138" s="2643" t="s">
        <v>2608</v>
      </c>
      <c r="F138" s="2644" t="s">
        <v>2609</v>
      </c>
      <c r="G138" s="146" t="s">
        <v>2607</v>
      </c>
      <c r="H138" s="147" t="s">
        <v>2608</v>
      </c>
      <c r="I138" s="2645"/>
      <c r="J138" s="146" t="s">
        <v>2610</v>
      </c>
      <c r="K138" s="147" t="s">
        <v>2611</v>
      </c>
    </row>
    <row r="139" spans="1:17" ht="16">
      <c r="B139" s="1084">
        <v>6</v>
      </c>
      <c r="C139" s="1085">
        <v>96</v>
      </c>
      <c r="D139" s="2646" t="s">
        <v>2612</v>
      </c>
      <c r="E139" s="1086">
        <v>100</v>
      </c>
      <c r="F139" s="1087">
        <v>102.5</v>
      </c>
      <c r="G139" s="2646" t="s">
        <v>2612</v>
      </c>
      <c r="H139" s="1088">
        <v>105</v>
      </c>
      <c r="I139" s="2647" t="s">
        <v>2613</v>
      </c>
      <c r="J139" s="1085">
        <v>20</v>
      </c>
      <c r="K139" s="1089">
        <f>C145/(J139-2)</f>
        <v>4.0555555555555553E-3</v>
      </c>
    </row>
    <row r="140" spans="1:17" ht="16">
      <c r="B140" s="1090">
        <v>5</v>
      </c>
      <c r="C140" s="1091">
        <v>100</v>
      </c>
      <c r="D140" s="1091"/>
      <c r="E140" s="1092"/>
      <c r="F140" s="1093">
        <v>102</v>
      </c>
      <c r="G140" s="1091"/>
      <c r="H140" s="1094"/>
      <c r="I140" s="2648" t="s">
        <v>2614</v>
      </c>
      <c r="J140" s="315">
        <f>ROUNDUP((J139-1)/2,0)</f>
        <v>10</v>
      </c>
      <c r="K140" s="1095">
        <v>100</v>
      </c>
    </row>
    <row r="141" spans="1:17" ht="16">
      <c r="B141" s="1090">
        <v>4</v>
      </c>
      <c r="C141" s="1091">
        <v>102</v>
      </c>
      <c r="D141" s="1091"/>
      <c r="E141" s="1092"/>
      <c r="F141" s="1093">
        <v>101.5</v>
      </c>
      <c r="G141" s="1091"/>
      <c r="H141" s="1094"/>
      <c r="I141" s="2648" t="s">
        <v>2615</v>
      </c>
      <c r="J141" s="315">
        <v>1</v>
      </c>
      <c r="K141" s="1096">
        <f>ROUND(100+(J141-J140)*K139*100,1)</f>
        <v>96.4</v>
      </c>
    </row>
    <row r="142" spans="1:17" ht="16">
      <c r="B142" s="1090">
        <v>3</v>
      </c>
      <c r="C142" s="1091">
        <v>103</v>
      </c>
      <c r="D142" s="1091"/>
      <c r="E142" s="1092"/>
      <c r="F142" s="1093">
        <v>101</v>
      </c>
      <c r="G142" s="1091"/>
      <c r="H142" s="1094"/>
      <c r="I142" s="2648" t="s">
        <v>2616</v>
      </c>
      <c r="J142" s="315">
        <f>J139</f>
        <v>20</v>
      </c>
      <c r="K142" s="1097">
        <v>95</v>
      </c>
    </row>
    <row r="143" spans="1:17" ht="16">
      <c r="B143" s="1090">
        <v>2</v>
      </c>
      <c r="C143" s="1091">
        <v>100</v>
      </c>
      <c r="D143" s="1091"/>
      <c r="E143" s="1092"/>
      <c r="F143" s="1093">
        <v>100.5</v>
      </c>
      <c r="G143" s="1091"/>
      <c r="H143" s="1094"/>
      <c r="I143" s="2648" t="s">
        <v>2617</v>
      </c>
      <c r="J143" s="1091">
        <v>15</v>
      </c>
      <c r="K143" s="1096">
        <f>ROUND(100+(J143-J140)*K139*100,1)</f>
        <v>102</v>
      </c>
    </row>
    <row r="144" spans="1:17" ht="16">
      <c r="B144" s="1090">
        <v>1</v>
      </c>
      <c r="C144" s="1091">
        <v>98</v>
      </c>
      <c r="D144" s="2649" t="s">
        <v>2618</v>
      </c>
      <c r="E144" s="1092">
        <v>102</v>
      </c>
      <c r="F144" s="1098">
        <v>100</v>
      </c>
      <c r="G144" s="2649" t="s">
        <v>2618</v>
      </c>
      <c r="H144" s="1094">
        <v>105</v>
      </c>
      <c r="I144" s="2648" t="s">
        <v>2617</v>
      </c>
      <c r="J144" s="1091">
        <v>18</v>
      </c>
      <c r="K144" s="1096">
        <f>ROUND(100+(J144-J140)*K139*100,1)</f>
        <v>103.2</v>
      </c>
    </row>
    <row r="145" spans="2:11" ht="17" thickBot="1">
      <c r="B145" s="2650" t="s">
        <v>2619</v>
      </c>
      <c r="C145" s="1099">
        <f>ROUND(MAX(C139:C144)/MIN(C139:C144)-1,3)</f>
        <v>7.2999999999999995E-2</v>
      </c>
      <c r="D145" s="1100"/>
      <c r="E145" s="1100"/>
      <c r="F145" s="2651" t="s">
        <v>2620</v>
      </c>
      <c r="G145" s="2652"/>
      <c r="H145" s="2653"/>
      <c r="I145" s="2654" t="s">
        <v>2617</v>
      </c>
      <c r="J145" s="1101">
        <v>8</v>
      </c>
      <c r="K145" s="1102">
        <f>ROUND(100+(J145-J140)*K139*100,1)</f>
        <v>99.2</v>
      </c>
    </row>
    <row r="147" spans="2:11">
      <c r="B147" s="2635" t="s">
        <v>2621</v>
      </c>
    </row>
    <row r="148" spans="2:11">
      <c r="B148" s="2635"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E15" sqref="E15"/>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2623</v>
      </c>
      <c r="C1" s="1633" t="s">
        <v>2511</v>
      </c>
      <c r="D1" s="1620"/>
      <c r="E1" s="2655"/>
      <c r="F1" s="2582"/>
      <c r="G1" s="1630" t="s">
        <v>2624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2311</v>
      </c>
      <c r="B2" s="1417" t="e">
        <f ca="1">IF(C2="——",ROUND(C49*D3/10000,0),ROUND(C49*D3/10000,0)-D2)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t="e">
        <f ca="1">IF(C2="——",C49,ROUND(B2*10000/D3,0))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60" t="s">
        <v>2629</v>
      </c>
      <c r="AC4" s="3230" t="s">
        <v>2630</v>
      </c>
    </row>
    <row r="5" spans="1:29">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60"/>
      <c r="AC5" s="3231"/>
    </row>
    <row r="6" spans="1:29" ht="16" thickBot="1">
      <c r="A6" s="406"/>
      <c r="B6" s="407"/>
      <c r="C6" s="3243" t="s">
        <v>2527</v>
      </c>
      <c r="D6" s="3244"/>
      <c r="E6" s="3245" t="s">
        <v>2527</v>
      </c>
      <c r="F6" s="3246"/>
      <c r="G6" s="3243" t="s">
        <v>2527</v>
      </c>
      <c r="H6" s="3244"/>
      <c r="I6" s="3243" t="s">
        <v>2527</v>
      </c>
      <c r="J6" s="3244"/>
      <c r="K6" s="610" t="s">
        <v>2528</v>
      </c>
      <c r="L6" s="1130"/>
      <c r="M6" s="1131"/>
      <c r="N6" s="1131"/>
      <c r="O6" s="1131"/>
      <c r="P6" s="3256"/>
      <c r="Q6" s="3257"/>
      <c r="R6" s="3237"/>
      <c r="S6" s="3238"/>
      <c r="T6" s="3258"/>
      <c r="U6" s="3259"/>
      <c r="V6" s="3260"/>
      <c r="W6" s="3260"/>
      <c r="X6" s="1812"/>
      <c r="Y6" s="3258"/>
      <c r="Z6" s="3259"/>
      <c r="AA6" s="3232"/>
      <c r="AB6" s="3260"/>
      <c r="AC6" s="3232"/>
    </row>
    <row r="7" spans="1:29" s="117" customFormat="1" ht="16" thickBot="1">
      <c r="A7" s="408" t="s">
        <v>2529</v>
      </c>
      <c r="B7" s="409"/>
      <c r="C7" s="410">
        <f>'数据-取费表'!B2</f>
        <v>43906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3" t="s">
        <v>2530</v>
      </c>
      <c r="Q7" s="3261"/>
      <c r="R7" s="770" t="s">
        <v>17</v>
      </c>
      <c r="S7" s="771">
        <f t="shared" ref="S7:S15" si="0">F7</f>
        <v>0</v>
      </c>
      <c r="T7" s="770" t="s">
        <v>17</v>
      </c>
      <c r="U7" s="771">
        <f t="shared" ref="U7:U15" si="1">H7</f>
        <v>0</v>
      </c>
      <c r="V7" s="770" t="s">
        <v>17</v>
      </c>
      <c r="W7" s="771">
        <f t="shared" ref="W7:W15" si="2">J7</f>
        <v>0</v>
      </c>
      <c r="X7" s="772"/>
      <c r="Y7" s="3233" t="s">
        <v>2530</v>
      </c>
      <c r="Z7" s="3234"/>
      <c r="AA7" s="773" t="e">
        <f>D7/F7</f>
        <v>#DIV/0!</v>
      </c>
      <c r="AB7" s="773" t="e">
        <f>D7/H7</f>
        <v>#DIV/0!</v>
      </c>
      <c r="AC7" s="773" t="e">
        <f>D7/J7</f>
        <v>#DIV/0!</v>
      </c>
    </row>
    <row r="8" spans="1:29" s="117" customFormat="1" ht="16" thickBot="1">
      <c r="A8" s="408" t="s">
        <v>2531</v>
      </c>
      <c r="B8" s="409"/>
      <c r="C8" s="414" t="s">
        <v>2633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46" si="3">D8/F8</f>
        <v>#DIV/0!</v>
      </c>
      <c r="AB8" s="773" t="e">
        <f t="shared" ref="AB8:AB46" si="4">D8/H8</f>
        <v>#DIV/0!</v>
      </c>
      <c r="AC8" s="773" t="e">
        <f t="shared" ref="AC8:AC46" si="5">D8/J8</f>
        <v>#DIV/0!</v>
      </c>
    </row>
    <row r="9" spans="1:29" s="117" customFormat="1" ht="15">
      <c r="A9" s="415" t="s">
        <v>2534</v>
      </c>
      <c r="B9" s="71" t="s">
        <v>2535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7"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30">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6">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7"/>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7"/>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6">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7"/>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7"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7"/>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6">
      <c r="A15" s="440" t="s">
        <v>2540</v>
      </c>
      <c r="B15" s="69" t="s">
        <v>2634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4" t="s">
        <v>2541</v>
      </c>
      <c r="Q15" s="1809" t="str">
        <f t="shared" si="6"/>
        <v>商业繁华度</v>
      </c>
      <c r="R15" s="774" t="s">
        <v>17</v>
      </c>
      <c r="S15" s="775">
        <f t="shared" si="0"/>
        <v>100</v>
      </c>
      <c r="T15" s="774" t="s">
        <v>17</v>
      </c>
      <c r="U15" s="775">
        <f t="shared" si="1"/>
        <v>100</v>
      </c>
      <c r="V15" s="774" t="s">
        <v>17</v>
      </c>
      <c r="W15" s="775">
        <f t="shared" si="2"/>
        <v>100</v>
      </c>
      <c r="X15" s="1812"/>
      <c r="Y15" s="3267" t="s">
        <v>2541</v>
      </c>
      <c r="Z15" s="1813" t="str">
        <f t="shared" si="7"/>
        <v>商业繁华度</v>
      </c>
      <c r="AA15" s="1810">
        <f t="shared" si="3"/>
        <v>1</v>
      </c>
      <c r="AB15" s="1810">
        <f t="shared" si="4"/>
        <v>1</v>
      </c>
      <c r="AC15" s="1810">
        <f t="shared" si="5"/>
        <v>1</v>
      </c>
    </row>
    <row r="16" spans="1:29" ht="16">
      <c r="A16" s="428"/>
      <c r="B16" s="446"/>
      <c r="C16" s="447"/>
      <c r="D16" s="448"/>
      <c r="E16" s="447"/>
      <c r="F16" s="449"/>
      <c r="G16" s="447"/>
      <c r="H16" s="450"/>
      <c r="I16" s="447"/>
      <c r="J16" s="448"/>
      <c r="K16" s="615"/>
      <c r="L16" s="1140"/>
      <c r="M16" s="1131"/>
      <c r="N16" s="1131"/>
      <c r="O16" s="1131"/>
      <c r="P16" s="3275"/>
      <c r="Q16" s="1809"/>
      <c r="R16" s="774"/>
      <c r="S16" s="775"/>
      <c r="T16" s="774"/>
      <c r="U16" s="775"/>
      <c r="V16" s="774"/>
      <c r="W16" s="775"/>
      <c r="X16" s="1812"/>
      <c r="Y16" s="3268"/>
      <c r="Z16" s="1813"/>
      <c r="AA16" s="1810">
        <v>1</v>
      </c>
      <c r="AB16" s="1810">
        <v>1</v>
      </c>
      <c r="AC16" s="1810">
        <v>1</v>
      </c>
    </row>
    <row r="17" spans="1:29" ht="16">
      <c r="A17" s="428"/>
      <c r="B17" s="451" t="s">
        <v>2082</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5"/>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6">
      <c r="A18" s="428"/>
      <c r="B18" s="456"/>
      <c r="C18" s="2606"/>
      <c r="D18" s="450"/>
      <c r="E18" s="2608"/>
      <c r="F18" s="453"/>
      <c r="G18" s="2607"/>
      <c r="H18" s="448"/>
      <c r="I18" s="2608"/>
      <c r="J18" s="448"/>
      <c r="K18" s="615"/>
      <c r="L18" s="1140"/>
      <c r="M18" s="1131"/>
      <c r="N18" s="1131"/>
      <c r="O18" s="1131"/>
      <c r="P18" s="3275"/>
      <c r="Q18" s="1809"/>
      <c r="R18" s="774"/>
      <c r="S18" s="775"/>
      <c r="T18" s="774"/>
      <c r="U18" s="775"/>
      <c r="V18" s="774"/>
      <c r="W18" s="775"/>
      <c r="X18" s="1812"/>
      <c r="Y18" s="3268"/>
      <c r="Z18" s="1813"/>
      <c r="AA18" s="1810">
        <v>1</v>
      </c>
      <c r="AB18" s="1810">
        <v>1</v>
      </c>
      <c r="AC18" s="1810">
        <v>1</v>
      </c>
    </row>
    <row r="19" spans="1:29" ht="16">
      <c r="A19" s="428"/>
      <c r="B19" s="451" t="s">
        <v>2635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5"/>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1810">
        <f t="shared" si="5"/>
        <v>1</v>
      </c>
    </row>
    <row r="20" spans="1:29" ht="16">
      <c r="A20" s="428"/>
      <c r="B20" s="456"/>
      <c r="C20" s="447"/>
      <c r="D20" s="448"/>
      <c r="E20" s="2603"/>
      <c r="F20" s="449"/>
      <c r="G20" s="2602"/>
      <c r="H20" s="448"/>
      <c r="I20" s="2603"/>
      <c r="J20" s="448"/>
      <c r="K20" s="615"/>
      <c r="L20" s="1140"/>
      <c r="M20" s="1131"/>
      <c r="N20" s="1131"/>
      <c r="O20" s="1131"/>
      <c r="P20" s="3275"/>
      <c r="Q20" s="1809"/>
      <c r="R20" s="774"/>
      <c r="S20" s="775"/>
      <c r="T20" s="774"/>
      <c r="U20" s="775"/>
      <c r="V20" s="774"/>
      <c r="W20" s="775"/>
      <c r="X20" s="1812"/>
      <c r="Y20" s="3268"/>
      <c r="Z20" s="1813"/>
      <c r="AA20" s="1810">
        <v>1</v>
      </c>
      <c r="AB20" s="1810">
        <v>1</v>
      </c>
      <c r="AC20" s="1810">
        <v>1</v>
      </c>
    </row>
    <row r="21" spans="1:29" ht="16">
      <c r="A21" s="428"/>
      <c r="B21" s="1383" t="s">
        <v>2636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6">
      <c r="A22" s="428"/>
      <c r="B22" s="1383"/>
      <c r="C22" s="2606"/>
      <c r="D22" s="448"/>
      <c r="E22" s="447"/>
      <c r="F22" s="449"/>
      <c r="G22" s="447"/>
      <c r="H22" s="448"/>
      <c r="I22" s="447"/>
      <c r="J22" s="448"/>
      <c r="K22" s="1382"/>
      <c r="L22" s="1140"/>
      <c r="M22" s="1131"/>
      <c r="N22" s="1131"/>
      <c r="O22" s="1131"/>
      <c r="P22" s="3275"/>
      <c r="Q22" s="1809"/>
      <c r="R22" s="774"/>
      <c r="S22" s="775"/>
      <c r="T22" s="774"/>
      <c r="U22" s="775"/>
      <c r="V22" s="774"/>
      <c r="W22" s="775"/>
      <c r="X22" s="1812"/>
      <c r="Y22" s="3268"/>
      <c r="Z22" s="1813"/>
      <c r="AA22" s="1810">
        <v>1</v>
      </c>
      <c r="AB22" s="1810">
        <v>1</v>
      </c>
      <c r="AC22" s="1810">
        <v>1</v>
      </c>
    </row>
    <row r="23" spans="1:29" ht="16">
      <c r="A23" s="428"/>
      <c r="B23" s="451" t="s">
        <v>2085</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5"/>
      <c r="Q23" s="1809" t="str">
        <f>B23</f>
        <v>自然及人文环境</v>
      </c>
      <c r="R23" s="774" t="s">
        <v>17</v>
      </c>
      <c r="S23" s="775">
        <f>F23</f>
        <v>100</v>
      </c>
      <c r="T23" s="774" t="s">
        <v>17</v>
      </c>
      <c r="U23" s="775">
        <f>H23</f>
        <v>100</v>
      </c>
      <c r="V23" s="774" t="s">
        <v>17</v>
      </c>
      <c r="W23" s="775">
        <f>J23</f>
        <v>100</v>
      </c>
      <c r="X23" s="1812"/>
      <c r="Y23" s="3268"/>
      <c r="Z23" s="1813" t="str">
        <f>Q23</f>
        <v>自然及人文环境</v>
      </c>
      <c r="AA23" s="1810">
        <f t="shared" si="3"/>
        <v>1</v>
      </c>
      <c r="AB23" s="1810">
        <f t="shared" si="4"/>
        <v>1</v>
      </c>
      <c r="AC23" s="1810">
        <f t="shared" si="5"/>
        <v>1</v>
      </c>
    </row>
    <row r="24" spans="1:29" ht="16">
      <c r="A24" s="428"/>
      <c r="B24" s="456"/>
      <c r="C24" s="447"/>
      <c r="D24" s="448"/>
      <c r="E24" s="2603"/>
      <c r="F24" s="449"/>
      <c r="G24" s="2602"/>
      <c r="H24" s="448"/>
      <c r="I24" s="2603"/>
      <c r="J24" s="448"/>
      <c r="K24" s="615"/>
      <c r="L24" s="1140"/>
      <c r="M24" s="1131"/>
      <c r="N24" s="1131"/>
      <c r="O24" s="1131"/>
      <c r="P24" s="3275"/>
      <c r="Q24" s="1809"/>
      <c r="R24" s="774"/>
      <c r="S24" s="775"/>
      <c r="T24" s="774"/>
      <c r="U24" s="775"/>
      <c r="V24" s="774"/>
      <c r="W24" s="775"/>
      <c r="X24" s="1812"/>
      <c r="Y24" s="3268"/>
      <c r="Z24" s="1813"/>
      <c r="AA24" s="1810">
        <v>1</v>
      </c>
      <c r="AB24" s="1810">
        <v>1</v>
      </c>
      <c r="AC24" s="1810">
        <v>1</v>
      </c>
    </row>
    <row r="25" spans="1:29" ht="16">
      <c r="A25" s="428"/>
      <c r="B25" s="422" t="s">
        <v>2637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5"/>
      <c r="Q25" s="1809" t="str">
        <f t="shared" ref="Q25:Q46" si="11">B25</f>
        <v>临街状况</v>
      </c>
      <c r="R25" s="774" t="s">
        <v>17</v>
      </c>
      <c r="S25" s="775">
        <f>F25</f>
        <v>100</v>
      </c>
      <c r="T25" s="774" t="s">
        <v>17</v>
      </c>
      <c r="U25" s="775">
        <f>H25</f>
        <v>100</v>
      </c>
      <c r="V25" s="774" t="s">
        <v>17</v>
      </c>
      <c r="W25" s="775">
        <f>J25</f>
        <v>100</v>
      </c>
      <c r="X25" s="1812"/>
      <c r="Y25" s="3268"/>
      <c r="Z25" s="1813" t="str">
        <f>Q25</f>
        <v>临街状况</v>
      </c>
      <c r="AA25" s="1810">
        <f t="shared" si="3"/>
        <v>1</v>
      </c>
      <c r="AB25" s="1810">
        <f t="shared" si="4"/>
        <v>1</v>
      </c>
      <c r="AC25" s="1810">
        <f t="shared" si="5"/>
        <v>1</v>
      </c>
    </row>
    <row r="26" spans="1:29" ht="16">
      <c r="A26" s="428"/>
      <c r="B26" s="1385" t="s">
        <v>2638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5"/>
      <c r="Q26" s="1809" t="str">
        <f t="shared" si="11"/>
        <v>平面位置/可视性</v>
      </c>
      <c r="R26" s="774" t="s">
        <v>17</v>
      </c>
      <c r="S26" s="775">
        <f>F26</f>
        <v>100</v>
      </c>
      <c r="T26" s="774" t="s">
        <v>17</v>
      </c>
      <c r="U26" s="775">
        <f>H26</f>
        <v>100</v>
      </c>
      <c r="V26" s="774" t="s">
        <v>17</v>
      </c>
      <c r="W26" s="775">
        <f>J26</f>
        <v>100</v>
      </c>
      <c r="X26" s="1812"/>
      <c r="Y26" s="3268"/>
      <c r="Z26" s="1813" t="str">
        <f>Q26</f>
        <v>平面位置/可视性</v>
      </c>
      <c r="AA26" s="1810">
        <f t="shared" si="3"/>
        <v>1</v>
      </c>
      <c r="AB26" s="1810">
        <f t="shared" si="4"/>
        <v>1</v>
      </c>
      <c r="AC26" s="1810">
        <f t="shared" si="5"/>
        <v>1</v>
      </c>
    </row>
    <row r="27" spans="1:29" s="117" customFormat="1" ht="16">
      <c r="A27" s="431"/>
      <c r="B27" s="451" t="s">
        <v>2639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75"/>
      <c r="Q27" s="1794" t="str">
        <f t="shared" si="11"/>
        <v>人流量</v>
      </c>
      <c r="R27" s="770" t="s">
        <v>17</v>
      </c>
      <c r="S27" s="771">
        <f>F27</f>
        <v>100</v>
      </c>
      <c r="T27" s="770" t="s">
        <v>17</v>
      </c>
      <c r="U27" s="771">
        <f>H27</f>
        <v>100</v>
      </c>
      <c r="V27" s="770" t="s">
        <v>17</v>
      </c>
      <c r="W27" s="771">
        <f>J27</f>
        <v>100</v>
      </c>
      <c r="X27" s="772"/>
      <c r="Y27" s="3268"/>
      <c r="Z27" s="55" t="str">
        <f>Q27</f>
        <v>人流量</v>
      </c>
      <c r="AA27" s="1810">
        <f>D27/F27</f>
        <v>1</v>
      </c>
      <c r="AB27" s="1810">
        <f>D27/H27</f>
        <v>1</v>
      </c>
      <c r="AC27" s="1810">
        <f>D27/J27</f>
        <v>1</v>
      </c>
    </row>
    <row r="28" spans="1:29" ht="16">
      <c r="A28" s="428"/>
      <c r="B28" s="422" t="s">
        <v>2640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8"/>
      <c r="Z28" s="1813" t="str">
        <f t="shared" ref="Z28:Z46" si="15">Q28</f>
        <v>楼层</v>
      </c>
      <c r="AA28" s="1810">
        <f t="shared" si="3"/>
        <v>1</v>
      </c>
      <c r="AB28" s="1810">
        <f t="shared" si="4"/>
        <v>1</v>
      </c>
      <c r="AC28" s="1810">
        <f t="shared" si="5"/>
        <v>1</v>
      </c>
    </row>
    <row r="29" spans="1:29" ht="16">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5"/>
      <c r="Q29" s="1809">
        <f t="shared" si="11"/>
        <v>111</v>
      </c>
      <c r="R29" s="774" t="s">
        <v>17</v>
      </c>
      <c r="S29" s="775">
        <f t="shared" si="12"/>
        <v>100</v>
      </c>
      <c r="T29" s="774" t="s">
        <v>17</v>
      </c>
      <c r="U29" s="775">
        <f t="shared" si="13"/>
        <v>100</v>
      </c>
      <c r="V29" s="774" t="s">
        <v>17</v>
      </c>
      <c r="W29" s="775">
        <f t="shared" si="14"/>
        <v>100</v>
      </c>
      <c r="X29" s="1812"/>
      <c r="Y29" s="3268"/>
      <c r="Z29" s="1813">
        <f t="shared" si="15"/>
        <v>111</v>
      </c>
      <c r="AA29" s="1810">
        <f t="shared" si="3"/>
        <v>1</v>
      </c>
      <c r="AB29" s="1810">
        <f t="shared" si="4"/>
        <v>1</v>
      </c>
      <c r="AC29" s="1810">
        <f t="shared" si="5"/>
        <v>1</v>
      </c>
    </row>
    <row r="30" spans="1:29" ht="16">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5"/>
      <c r="Q30" s="1809">
        <f t="shared" si="11"/>
        <v>111</v>
      </c>
      <c r="R30" s="774" t="s">
        <v>17</v>
      </c>
      <c r="S30" s="775">
        <f t="shared" si="12"/>
        <v>100</v>
      </c>
      <c r="T30" s="774" t="s">
        <v>17</v>
      </c>
      <c r="U30" s="775">
        <f t="shared" si="13"/>
        <v>100</v>
      </c>
      <c r="V30" s="774" t="s">
        <v>17</v>
      </c>
      <c r="W30" s="775">
        <f t="shared" si="14"/>
        <v>100</v>
      </c>
      <c r="X30" s="1812"/>
      <c r="Y30" s="3268"/>
      <c r="Z30" s="1813">
        <f t="shared" si="15"/>
        <v>111</v>
      </c>
      <c r="AA30" s="1810">
        <f t="shared" si="3"/>
        <v>1</v>
      </c>
      <c r="AB30" s="1810">
        <f t="shared" si="4"/>
        <v>1</v>
      </c>
      <c r="AC30" s="1810">
        <f t="shared" si="5"/>
        <v>1</v>
      </c>
    </row>
    <row r="31" spans="1:29" ht="17"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5"/>
      <c r="Q31" s="1809">
        <f t="shared" si="11"/>
        <v>111</v>
      </c>
      <c r="R31" s="774" t="s">
        <v>17</v>
      </c>
      <c r="S31" s="775">
        <f t="shared" si="12"/>
        <v>100</v>
      </c>
      <c r="T31" s="774" t="s">
        <v>17</v>
      </c>
      <c r="U31" s="775">
        <f t="shared" si="13"/>
        <v>100</v>
      </c>
      <c r="V31" s="774" t="s">
        <v>17</v>
      </c>
      <c r="W31" s="775">
        <f t="shared" si="14"/>
        <v>100</v>
      </c>
      <c r="X31" s="1812"/>
      <c r="Y31" s="3268"/>
      <c r="Z31" s="1813">
        <f t="shared" si="15"/>
        <v>111</v>
      </c>
      <c r="AA31" s="1810">
        <f t="shared" si="3"/>
        <v>1</v>
      </c>
      <c r="AB31" s="1810">
        <f t="shared" si="4"/>
        <v>1</v>
      </c>
      <c r="AC31" s="1810">
        <f t="shared" si="5"/>
        <v>1</v>
      </c>
    </row>
    <row r="32" spans="1:29" ht="16">
      <c r="A32" s="440" t="s">
        <v>2544</v>
      </c>
      <c r="B32" s="71" t="s">
        <v>2641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69" t="s">
        <v>2546</v>
      </c>
      <c r="Q32" s="1809" t="str">
        <f t="shared" si="11"/>
        <v>商业类型</v>
      </c>
      <c r="R32" s="774" t="s">
        <v>17</v>
      </c>
      <c r="S32" s="775">
        <f t="shared" si="12"/>
        <v>100</v>
      </c>
      <c r="T32" s="774" t="s">
        <v>17</v>
      </c>
      <c r="U32" s="775">
        <f t="shared" si="13"/>
        <v>100</v>
      </c>
      <c r="V32" s="774" t="s">
        <v>17</v>
      </c>
      <c r="W32" s="775">
        <f t="shared" si="14"/>
        <v>100</v>
      </c>
      <c r="X32" s="1812"/>
      <c r="Y32" s="3272" t="s">
        <v>2546</v>
      </c>
      <c r="Z32" s="1813" t="str">
        <f t="shared" si="15"/>
        <v>商业类型</v>
      </c>
      <c r="AA32" s="1810">
        <f t="shared" si="3"/>
        <v>1</v>
      </c>
      <c r="AB32" s="1810">
        <f t="shared" si="4"/>
        <v>1</v>
      </c>
      <c r="AC32" s="1810">
        <f t="shared" si="5"/>
        <v>1</v>
      </c>
    </row>
    <row r="33" spans="1:29" s="471" customFormat="1" ht="16">
      <c r="A33" s="468"/>
      <c r="B33" s="422" t="s">
        <v>2547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0" t="e">
        <f t="shared" si="3"/>
        <v>#N/A</v>
      </c>
      <c r="AB33" s="1810" t="e">
        <f t="shared" si="4"/>
        <v>#N/A</v>
      </c>
      <c r="AC33" s="1810" t="e">
        <f t="shared" si="5"/>
        <v>#N/A</v>
      </c>
    </row>
    <row r="34" spans="1:29" ht="16">
      <c r="A34" s="472"/>
      <c r="B34" s="422" t="s">
        <v>2548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70"/>
      <c r="Q34" s="1809" t="str">
        <f t="shared" si="11"/>
        <v>建筑结构</v>
      </c>
      <c r="R34" s="774" t="s">
        <v>17</v>
      </c>
      <c r="S34" s="775">
        <f t="shared" si="12"/>
        <v>100</v>
      </c>
      <c r="T34" s="774" t="s">
        <v>17</v>
      </c>
      <c r="U34" s="775">
        <f t="shared" si="13"/>
        <v>100</v>
      </c>
      <c r="V34" s="774" t="s">
        <v>17</v>
      </c>
      <c r="W34" s="775">
        <f t="shared" si="14"/>
        <v>100</v>
      </c>
      <c r="X34" s="1812"/>
      <c r="Y34" s="3272"/>
      <c r="Z34" s="1813" t="str">
        <f t="shared" si="15"/>
        <v>建筑结构</v>
      </c>
      <c r="AA34" s="1810">
        <f t="shared" si="3"/>
        <v>1</v>
      </c>
      <c r="AB34" s="1810">
        <f t="shared" si="4"/>
        <v>1</v>
      </c>
      <c r="AC34" s="1810">
        <f t="shared" si="5"/>
        <v>1</v>
      </c>
    </row>
    <row r="35" spans="1:29" ht="16">
      <c r="A35" s="472"/>
      <c r="B35" s="422" t="s">
        <v>2642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70"/>
      <c r="Q35" s="1809" t="str">
        <f t="shared" si="11"/>
        <v>公共部分装修</v>
      </c>
      <c r="R35" s="774" t="s">
        <v>17</v>
      </c>
      <c r="S35" s="775">
        <f t="shared" si="12"/>
        <v>100</v>
      </c>
      <c r="T35" s="774" t="s">
        <v>17</v>
      </c>
      <c r="U35" s="775">
        <f t="shared" si="13"/>
        <v>100</v>
      </c>
      <c r="V35" s="774" t="s">
        <v>17</v>
      </c>
      <c r="W35" s="775">
        <f t="shared" si="14"/>
        <v>100</v>
      </c>
      <c r="X35" s="1812"/>
      <c r="Y35" s="3272"/>
      <c r="Z35" s="1813" t="str">
        <f t="shared" si="15"/>
        <v>公共部分装修</v>
      </c>
      <c r="AA35" s="1810">
        <f t="shared" si="3"/>
        <v>1</v>
      </c>
      <c r="AB35" s="1810">
        <f t="shared" si="4"/>
        <v>1</v>
      </c>
      <c r="AC35" s="1810">
        <f t="shared" si="5"/>
        <v>1</v>
      </c>
    </row>
    <row r="36" spans="1:29" ht="16">
      <c r="A36" s="472"/>
      <c r="B36" s="422" t="s">
        <v>2643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0"/>
      <c r="Q36" s="1809" t="str">
        <f t="shared" si="11"/>
        <v>成新度</v>
      </c>
      <c r="R36" s="774" t="s">
        <v>17</v>
      </c>
      <c r="S36" s="775" t="e">
        <f t="shared" si="12"/>
        <v>#N/A</v>
      </c>
      <c r="T36" s="774" t="s">
        <v>17</v>
      </c>
      <c r="U36" s="775" t="e">
        <f t="shared" si="13"/>
        <v>#N/A</v>
      </c>
      <c r="V36" s="774" t="s">
        <v>17</v>
      </c>
      <c r="W36" s="775" t="e">
        <f t="shared" si="14"/>
        <v>#N/A</v>
      </c>
      <c r="X36" s="1812"/>
      <c r="Y36" s="3272"/>
      <c r="Z36" s="1813" t="str">
        <f t="shared" si="15"/>
        <v>成新度</v>
      </c>
      <c r="AA36" s="1810" t="e">
        <f t="shared" si="3"/>
        <v>#N/A</v>
      </c>
      <c r="AB36" s="1810" t="e">
        <f t="shared" si="4"/>
        <v>#N/A</v>
      </c>
      <c r="AC36" s="1810" t="e">
        <f t="shared" si="5"/>
        <v>#N/A</v>
      </c>
    </row>
    <row r="37" spans="1:29" s="117" customFormat="1" ht="16">
      <c r="A37" s="473"/>
      <c r="B37" s="422" t="s">
        <v>2644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70"/>
      <c r="Q37" s="1794"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6">
      <c r="A38" s="472"/>
      <c r="B38" s="422" t="s">
        <v>2645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70" t="s">
        <v>2546</v>
      </c>
      <c r="Q38" s="1809" t="str">
        <f t="shared" si="11"/>
        <v>业态</v>
      </c>
      <c r="R38" s="774" t="s">
        <v>17</v>
      </c>
      <c r="S38" s="775">
        <f t="shared" si="12"/>
        <v>100</v>
      </c>
      <c r="T38" s="774" t="s">
        <v>17</v>
      </c>
      <c r="U38" s="775">
        <f t="shared" si="13"/>
        <v>100</v>
      </c>
      <c r="V38" s="774" t="s">
        <v>17</v>
      </c>
      <c r="W38" s="775">
        <f t="shared" si="14"/>
        <v>100</v>
      </c>
      <c r="X38" s="1812"/>
      <c r="Y38" s="3272" t="s">
        <v>2546</v>
      </c>
      <c r="Z38" s="1813" t="str">
        <f t="shared" si="15"/>
        <v>业态</v>
      </c>
      <c r="AA38" s="1810">
        <f t="shared" si="3"/>
        <v>1</v>
      </c>
      <c r="AB38" s="1810">
        <f t="shared" si="4"/>
        <v>1</v>
      </c>
      <c r="AC38" s="1810">
        <f t="shared" si="5"/>
        <v>1</v>
      </c>
    </row>
    <row r="39" spans="1:29" ht="16">
      <c r="A39" s="472"/>
      <c r="B39" s="422" t="s">
        <v>2646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70"/>
      <c r="Q39" s="1809" t="str">
        <f t="shared" si="11"/>
        <v>层高</v>
      </c>
      <c r="R39" s="774" t="s">
        <v>17</v>
      </c>
      <c r="S39" s="775">
        <f t="shared" si="12"/>
        <v>100</v>
      </c>
      <c r="T39" s="774" t="s">
        <v>17</v>
      </c>
      <c r="U39" s="775">
        <f t="shared" si="13"/>
        <v>100</v>
      </c>
      <c r="V39" s="774" t="s">
        <v>17</v>
      </c>
      <c r="W39" s="775">
        <f t="shared" si="14"/>
        <v>100</v>
      </c>
      <c r="X39" s="1812"/>
      <c r="Y39" s="3272"/>
      <c r="Z39" s="1813" t="str">
        <f t="shared" si="15"/>
        <v>层高</v>
      </c>
      <c r="AA39" s="1810">
        <f t="shared" si="3"/>
        <v>1</v>
      </c>
      <c r="AB39" s="1810">
        <f t="shared" si="4"/>
        <v>1</v>
      </c>
      <c r="AC39" s="1810">
        <f t="shared" si="5"/>
        <v>1</v>
      </c>
    </row>
    <row r="40" spans="1:29" ht="16">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0"/>
      <c r="Q40" s="1809" t="str">
        <f t="shared" si="11"/>
        <v>单套建筑面积</v>
      </c>
      <c r="R40" s="774" t="s">
        <v>17</v>
      </c>
      <c r="S40" s="775">
        <f t="shared" si="12"/>
        <v>100</v>
      </c>
      <c r="T40" s="774" t="s">
        <v>17</v>
      </c>
      <c r="U40" s="775">
        <f t="shared" si="13"/>
        <v>100</v>
      </c>
      <c r="V40" s="774" t="s">
        <v>17</v>
      </c>
      <c r="W40" s="775">
        <f t="shared" si="14"/>
        <v>100</v>
      </c>
      <c r="X40" s="1812"/>
      <c r="Y40" s="3272"/>
      <c r="Z40" s="1813" t="str">
        <f t="shared" si="15"/>
        <v>单套建筑面积</v>
      </c>
      <c r="AA40" s="1810">
        <f t="shared" si="3"/>
        <v>1</v>
      </c>
      <c r="AB40" s="1810">
        <f t="shared" si="4"/>
        <v>1</v>
      </c>
      <c r="AC40" s="1810">
        <f t="shared" si="5"/>
        <v>1</v>
      </c>
    </row>
    <row r="41" spans="1:29" s="471" customFormat="1" ht="16">
      <c r="A41" s="468"/>
      <c r="B41" s="1811"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0">
        <f t="shared" si="3"/>
        <v>1</v>
      </c>
      <c r="AB41" s="1810">
        <f t="shared" si="4"/>
        <v>1</v>
      </c>
      <c r="AC41" s="1810">
        <f t="shared" si="5"/>
        <v>1</v>
      </c>
    </row>
    <row r="42" spans="1:29" ht="16">
      <c r="A42" s="472"/>
      <c r="B42" s="422" t="s">
        <v>2649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70"/>
      <c r="Q42" s="1809" t="str">
        <f t="shared" si="11"/>
        <v>内部装修</v>
      </c>
      <c r="R42" s="774" t="s">
        <v>17</v>
      </c>
      <c r="S42" s="775">
        <f t="shared" si="12"/>
        <v>100</v>
      </c>
      <c r="T42" s="774" t="s">
        <v>17</v>
      </c>
      <c r="U42" s="775">
        <f t="shared" si="13"/>
        <v>100</v>
      </c>
      <c r="V42" s="774" t="s">
        <v>17</v>
      </c>
      <c r="W42" s="775">
        <f t="shared" si="14"/>
        <v>100</v>
      </c>
      <c r="X42" s="1812"/>
      <c r="Y42" s="3272"/>
      <c r="Z42" s="1813" t="str">
        <f t="shared" si="15"/>
        <v>内部装修</v>
      </c>
      <c r="AA42" s="1810">
        <f t="shared" si="3"/>
        <v>1</v>
      </c>
      <c r="AB42" s="1810">
        <f t="shared" si="4"/>
        <v>1</v>
      </c>
      <c r="AC42" s="1810">
        <f t="shared" si="5"/>
        <v>1</v>
      </c>
    </row>
    <row r="43" spans="1:29" ht="16">
      <c r="A43" s="472"/>
      <c r="B43" s="422" t="s">
        <v>2557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70"/>
      <c r="Q43" s="1809" t="str">
        <f t="shared" si="11"/>
        <v>内部装修维护情况</v>
      </c>
      <c r="R43" s="774" t="s">
        <v>17</v>
      </c>
      <c r="S43" s="775">
        <f t="shared" si="12"/>
        <v>100</v>
      </c>
      <c r="T43" s="774" t="s">
        <v>17</v>
      </c>
      <c r="U43" s="775">
        <f t="shared" si="13"/>
        <v>100</v>
      </c>
      <c r="V43" s="774" t="s">
        <v>17</v>
      </c>
      <c r="W43" s="775">
        <f t="shared" si="14"/>
        <v>100</v>
      </c>
      <c r="X43" s="1812"/>
      <c r="Y43" s="3272"/>
      <c r="Z43" s="1813" t="str">
        <f t="shared" si="15"/>
        <v>内部装修维护情况</v>
      </c>
      <c r="AA43" s="1810">
        <f t="shared" si="3"/>
        <v>1</v>
      </c>
      <c r="AB43" s="1810">
        <f t="shared" si="4"/>
        <v>1</v>
      </c>
      <c r="AC43" s="1810">
        <f t="shared" si="5"/>
        <v>1</v>
      </c>
    </row>
    <row r="44" spans="1:29" s="117" customFormat="1" ht="16">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0"/>
      <c r="Q44" s="1794">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6">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0"/>
      <c r="Q45" s="1809">
        <f t="shared" si="11"/>
        <v>111</v>
      </c>
      <c r="R45" s="774" t="s">
        <v>17</v>
      </c>
      <c r="S45" s="775">
        <f t="shared" si="12"/>
        <v>100</v>
      </c>
      <c r="T45" s="774" t="s">
        <v>17</v>
      </c>
      <c r="U45" s="775">
        <f t="shared" si="13"/>
        <v>100</v>
      </c>
      <c r="V45" s="774" t="s">
        <v>17</v>
      </c>
      <c r="W45" s="775">
        <f t="shared" si="14"/>
        <v>100</v>
      </c>
      <c r="X45" s="1812"/>
      <c r="Y45" s="3272"/>
      <c r="Z45" s="1813">
        <f t="shared" si="15"/>
        <v>111</v>
      </c>
      <c r="AA45" s="1810">
        <f t="shared" si="3"/>
        <v>1</v>
      </c>
      <c r="AB45" s="1810">
        <f t="shared" si="4"/>
        <v>1</v>
      </c>
      <c r="AC45" s="1810">
        <f t="shared" si="5"/>
        <v>1</v>
      </c>
    </row>
    <row r="46" spans="1:29" ht="17"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1"/>
      <c r="Q46" s="1809">
        <f t="shared" si="11"/>
        <v>111</v>
      </c>
      <c r="R46" s="774" t="s">
        <v>17</v>
      </c>
      <c r="S46" s="775">
        <f t="shared" si="12"/>
        <v>100</v>
      </c>
      <c r="T46" s="774" t="s">
        <v>17</v>
      </c>
      <c r="U46" s="775">
        <f t="shared" si="13"/>
        <v>100</v>
      </c>
      <c r="V46" s="774" t="s">
        <v>17</v>
      </c>
      <c r="W46" s="775">
        <f t="shared" si="14"/>
        <v>100</v>
      </c>
      <c r="X46" s="1812"/>
      <c r="Y46" s="3273"/>
      <c r="Z46" s="1813">
        <f t="shared" si="15"/>
        <v>111</v>
      </c>
      <c r="AA46" s="1810">
        <f t="shared" si="3"/>
        <v>1</v>
      </c>
      <c r="AB46" s="1810">
        <f t="shared" si="4"/>
        <v>1</v>
      </c>
      <c r="AC46" s="1810">
        <f t="shared" si="5"/>
        <v>1</v>
      </c>
    </row>
    <row r="47" spans="1:29" ht="15">
      <c r="A47" s="479" t="s">
        <v>2558</v>
      </c>
      <c r="B47" s="480"/>
      <c r="C47" s="1406" t="s">
        <v>1</v>
      </c>
      <c r="D47" s="1407"/>
      <c r="E47" s="1408"/>
      <c r="F47" s="1409"/>
      <c r="G47" s="1410"/>
      <c r="H47" s="1411"/>
      <c r="I47" s="1408"/>
      <c r="J47" s="1411"/>
      <c r="K47" s="783"/>
      <c r="L47" s="1143"/>
      <c r="M47" s="1144"/>
      <c r="N47" s="1131"/>
      <c r="O47" s="1144"/>
      <c r="P47" s="3265" t="str">
        <f>A47</f>
        <v>成交单价（元/平方米）</v>
      </c>
      <c r="Q47" s="3265"/>
      <c r="R47" s="3260">
        <f>E47</f>
        <v>0</v>
      </c>
      <c r="S47" s="3260"/>
      <c r="T47" s="3260">
        <f>G47</f>
        <v>0</v>
      </c>
      <c r="U47" s="3260"/>
      <c r="V47" s="3260">
        <f>I47</f>
        <v>0</v>
      </c>
      <c r="W47" s="3260"/>
      <c r="X47" s="759"/>
      <c r="Y47" s="781"/>
      <c r="Z47" s="759"/>
      <c r="AA47" s="759"/>
      <c r="AB47" s="759"/>
      <c r="AC47" s="759"/>
    </row>
    <row r="48" spans="1:29" ht="15" thickBot="1">
      <c r="A48" s="486" t="s">
        <v>2650</v>
      </c>
      <c r="B48" s="487"/>
      <c r="C48" s="1412" t="e">
        <f>R49</f>
        <v>#DIV/0!</v>
      </c>
      <c r="D48" s="1413"/>
      <c r="E48" s="1414" t="e">
        <f>R48</f>
        <v>#DIV/0!</v>
      </c>
      <c r="F48" s="1414"/>
      <c r="G48" s="1412" t="e">
        <f>T48</f>
        <v>#DIV/0!</v>
      </c>
      <c r="H48" s="1413"/>
      <c r="I48" s="1414" t="e">
        <f>V48</f>
        <v>#DIV/0!</v>
      </c>
      <c r="J48" s="1413"/>
      <c r="K48" s="784"/>
      <c r="L48" s="1143"/>
      <c r="M48" s="1144"/>
      <c r="N48" s="1131"/>
      <c r="O48" s="1144"/>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 thickBot="1">
      <c r="A49" s="492" t="s">
        <v>2651</v>
      </c>
      <c r="B49" s="493"/>
      <c r="C49" s="1416" t="e">
        <f>R49</f>
        <v>#DIV/0!</v>
      </c>
      <c r="D49" s="1416"/>
      <c r="E49" s="1416"/>
      <c r="F49" s="1416"/>
      <c r="G49" s="1416"/>
      <c r="H49" s="1416"/>
      <c r="I49" s="1416"/>
      <c r="J49" s="1416"/>
      <c r="K49" s="785"/>
      <c r="L49" s="1143"/>
      <c r="M49" s="1144"/>
      <c r="N49" s="1131"/>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 thickBot="1">
      <c r="A57" s="763" t="s">
        <v>2655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2529</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5">
      <c r="A61" s="521" t="s">
        <v>2531</v>
      </c>
      <c r="B61" s="510"/>
      <c r="C61" s="522" t="s">
        <v>2633</v>
      </c>
      <c r="D61" s="523"/>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2569</v>
      </c>
      <c r="B63" s="528" t="s">
        <v>2535</v>
      </c>
      <c r="C63" s="529">
        <f>C9</f>
        <v>0</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6" thickTop="1">
      <c r="A67" s="534"/>
      <c r="B67" s="546" t="s">
        <v>2539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36"/>
      <c r="E73" s="536"/>
      <c r="F73" s="536"/>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2636</v>
      </c>
      <c r="C82" s="660" t="s">
        <v>2656</v>
      </c>
      <c r="D82" s="660" t="s">
        <v>2657</v>
      </c>
      <c r="E82" s="660" t="s">
        <v>2658</v>
      </c>
      <c r="F82" s="660" t="s">
        <v>2659</v>
      </c>
      <c r="G82" s="660" t="s">
        <v>2660</v>
      </c>
      <c r="H82" s="539"/>
      <c r="I82" s="539"/>
      <c r="J82" s="539"/>
      <c r="K82" s="539"/>
      <c r="L82" s="539"/>
      <c r="M82" s="1381"/>
      <c r="N82" s="1153"/>
      <c r="O82" s="1153"/>
      <c r="P82" s="2628"/>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6"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2661</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6"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 thickBot="1">
      <c r="A89" s="579"/>
      <c r="B89" s="543"/>
      <c r="C89" s="560"/>
      <c r="D89" s="536"/>
      <c r="E89" s="536"/>
      <c r="F89" s="536"/>
      <c r="G89" s="536"/>
      <c r="H89" s="536"/>
      <c r="I89" s="536"/>
      <c r="J89" s="536"/>
      <c r="K89" s="536"/>
      <c r="L89" s="536"/>
      <c r="M89" s="536"/>
      <c r="N89" s="1153"/>
      <c r="O89" s="1153"/>
      <c r="P89" s="2628"/>
      <c r="Q89" s="504"/>
    </row>
    <row r="90" spans="1:17" s="471" customFormat="1" ht="16"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6" thickTop="1">
      <c r="A92" s="534"/>
      <c r="B92" s="538" t="str">
        <f>B28</f>
        <v>楼层</v>
      </c>
      <c r="C92" s="554"/>
      <c r="D92" s="554"/>
      <c r="E92" s="554"/>
      <c r="F92" s="554"/>
      <c r="G92" s="554"/>
      <c r="H92" s="554"/>
      <c r="I92" s="554"/>
      <c r="J92" s="554"/>
      <c r="K92" s="554"/>
      <c r="L92" s="580"/>
      <c r="M92" s="581"/>
      <c r="N92" s="1152"/>
      <c r="O92" s="1152"/>
      <c r="P92" s="2628"/>
      <c r="Q92" s="504"/>
    </row>
    <row r="93" spans="1:17" ht="15" thickBot="1">
      <c r="A93" s="534"/>
      <c r="B93" s="543"/>
      <c r="C93" s="536"/>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36"/>
      <c r="E95" s="536"/>
      <c r="F95" s="536"/>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60"/>
      <c r="D97" s="536"/>
      <c r="E97" s="536"/>
      <c r="F97" s="536"/>
      <c r="G97" s="536"/>
      <c r="H97" s="536"/>
      <c r="I97" s="536"/>
      <c r="J97" s="536"/>
      <c r="K97" s="536"/>
      <c r="L97" s="536"/>
      <c r="M97" s="537"/>
      <c r="N97" s="1153"/>
      <c r="O97" s="1153"/>
      <c r="P97" s="2628"/>
      <c r="Q97" s="504"/>
    </row>
    <row r="98" spans="1:17" ht="15" thickTop="1">
      <c r="A98" s="534"/>
      <c r="B98" s="546">
        <f>B31</f>
        <v>111</v>
      </c>
      <c r="C98" s="554"/>
      <c r="D98" s="554"/>
      <c r="E98" s="554"/>
      <c r="F98" s="554"/>
      <c r="G98" s="587"/>
      <c r="H98" s="587"/>
      <c r="I98" s="587"/>
      <c r="J98" s="587"/>
      <c r="K98" s="588"/>
      <c r="L98" s="589"/>
      <c r="M98" s="590"/>
      <c r="N98" s="1152"/>
      <c r="O98" s="1152"/>
      <c r="P98" s="2628"/>
      <c r="Q98" s="504"/>
    </row>
    <row r="99" spans="1:17" ht="15" thickBot="1">
      <c r="A99" s="2634"/>
      <c r="B99" s="569"/>
      <c r="C99" s="570"/>
      <c r="D99" s="570"/>
      <c r="E99" s="570"/>
      <c r="F99" s="570"/>
      <c r="G99" s="591"/>
      <c r="H99" s="591"/>
      <c r="I99" s="591"/>
      <c r="J99" s="591"/>
      <c r="K99" s="591"/>
      <c r="L99" s="591"/>
      <c r="M99" s="592"/>
      <c r="N99" s="1153"/>
      <c r="O99" s="1153"/>
      <c r="P99" s="2628"/>
      <c r="Q99" s="504"/>
    </row>
    <row r="100" spans="1:17" ht="15">
      <c r="A100" s="527" t="s">
        <v>2544</v>
      </c>
      <c r="B100" s="528" t="s">
        <v>2662</v>
      </c>
      <c r="C100" s="530"/>
      <c r="D100" s="530"/>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6" thickTop="1">
      <c r="A102" s="534"/>
      <c r="B102" s="538" t="s">
        <v>2594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 thickBot="1">
      <c r="A104" s="553"/>
      <c r="B104" s="543"/>
      <c r="C104" s="560"/>
      <c r="D104" s="536"/>
      <c r="E104" s="536"/>
      <c r="F104" s="536"/>
      <c r="G104" s="536"/>
      <c r="H104" s="536"/>
      <c r="I104" s="536"/>
      <c r="J104" s="536"/>
      <c r="K104" s="536"/>
      <c r="L104" s="536"/>
      <c r="M104" s="537"/>
      <c r="N104" s="1153"/>
      <c r="O104" s="1153"/>
      <c r="P104" s="2629"/>
      <c r="Q104" s="559"/>
    </row>
    <row r="105" spans="1:17" ht="16" thickTop="1">
      <c r="A105" s="599"/>
      <c r="B105" s="538" t="s">
        <v>2595</v>
      </c>
      <c r="C105" s="554"/>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6" thickTop="1">
      <c r="A107" s="599"/>
      <c r="B107" s="538" t="s">
        <v>2597</v>
      </c>
      <c r="C107" s="554"/>
      <c r="D107" s="554"/>
      <c r="E107" s="554"/>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6"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6" thickTop="1">
      <c r="A112" s="593"/>
      <c r="B112" s="538" t="s">
        <v>2599</v>
      </c>
      <c r="C112" s="554"/>
      <c r="D112" s="554"/>
      <c r="E112" s="554"/>
      <c r="F112" s="554"/>
      <c r="G112" s="554"/>
      <c r="H112" s="583"/>
      <c r="I112" s="583"/>
      <c r="J112" s="583"/>
      <c r="K112" s="584"/>
      <c r="L112" s="585"/>
      <c r="M112" s="586"/>
      <c r="N112" s="1154"/>
      <c r="O112" s="1154"/>
      <c r="P112" s="2629"/>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6" thickTop="1">
      <c r="A114" s="599"/>
      <c r="B114" s="538" t="s">
        <v>2663</v>
      </c>
      <c r="C114" s="554"/>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6" thickTop="1">
      <c r="A116" s="599"/>
      <c r="B116" s="538" t="s">
        <v>2664</v>
      </c>
      <c r="C116" s="554"/>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2665</v>
      </c>
      <c r="C118" s="627"/>
      <c r="D118" s="627"/>
      <c r="E118" s="627"/>
      <c r="F118" s="627"/>
      <c r="G118" s="627"/>
      <c r="H118" s="555"/>
      <c r="I118" s="555"/>
      <c r="J118" s="555"/>
      <c r="K118" s="555"/>
      <c r="L118" s="556"/>
      <c r="M118" s="557"/>
      <c r="N118" s="1152"/>
      <c r="O118" s="1152"/>
      <c r="P118" s="2628"/>
      <c r="Q118" s="504"/>
    </row>
    <row r="119" spans="1:17" ht="1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6" thickTop="1">
      <c r="A120" s="593"/>
      <c r="B120" s="538" t="s">
        <v>2666</v>
      </c>
      <c r="C120" s="583"/>
      <c r="D120" s="583"/>
      <c r="E120" s="583"/>
      <c r="F120" s="583"/>
      <c r="G120" s="555"/>
      <c r="H120" s="555"/>
      <c r="I120" s="555"/>
      <c r="J120" s="555"/>
      <c r="K120" s="555"/>
      <c r="L120" s="556"/>
      <c r="M120" s="557"/>
      <c r="N120" s="1154"/>
      <c r="O120" s="1154"/>
      <c r="P120" s="2629"/>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6" thickTop="1">
      <c r="A122" s="599"/>
      <c r="B122" s="538" t="s">
        <v>2601</v>
      </c>
      <c r="C122" s="554"/>
      <c r="D122" s="554"/>
      <c r="E122" s="554"/>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6"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3" customWidth="1"/>
    <col min="2" max="16384" width="9" style="1943"/>
  </cols>
  <sheetData>
    <row r="1" spans="1:1" ht="24">
      <c r="A1" s="1942" t="s">
        <v>1605</v>
      </c>
    </row>
    <row r="2" spans="1:1">
      <c r="A2" s="1944"/>
    </row>
    <row r="3" spans="1:1" ht="18">
      <c r="A3" s="1945" t="str">
        <f>项目基本情况!B5&amp;"："</f>
        <v>北京星华蓝光置业有限公司：</v>
      </c>
    </row>
    <row r="4" spans="1:1" ht="38">
      <c r="A4" s="1946" t="str">
        <f>"受贵公司委托，我公司对"&amp;项目基本情况!S1&amp;"进行了预评估。"</f>
        <v>受贵公司委托，我公司对北京市出让国有建设用地使用权及在建建筑物房地产抵押价值进行了预评估。</v>
      </c>
    </row>
    <row r="5" spans="1:1" ht="18">
      <c r="A5" s="1947" t="s">
        <v>1606</v>
      </c>
    </row>
    <row r="6" spans="1:1" ht="18">
      <c r="A6" s="1948" t="s">
        <v>1607</v>
      </c>
    </row>
    <row r="7" spans="1:1" ht="5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1" ht="56">
      <c r="A8" s="1949" t="s">
        <v>1608</v>
      </c>
    </row>
    <row r="9" spans="1:1" ht="18">
      <c r="A9" s="1948" t="s">
        <v>1609</v>
      </c>
    </row>
    <row r="10" spans="1:1" ht="7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1" spans="1:1" ht="74">
      <c r="A11" s="1949" t="s">
        <v>1610</v>
      </c>
    </row>
    <row r="12" spans="1:1" ht="18">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
      <c r="A14" s="1951" t="s">
        <v>1612</v>
      </c>
    </row>
    <row r="15" spans="1:1" ht="18">
      <c r="A15" s="1952" t="str">
        <f>TEXT(项目基本情况!D3,"yyyy年m月d日;;")&amp;IF(项目基本情况!D3=项目基本情况!B3,"（评估专业人员实地查勘之日）","")</f>
        <v>2020年3月16日（评估专业人员实地查勘之日）</v>
      </c>
    </row>
    <row r="16" spans="1:1" ht="18">
      <c r="A16" s="1951" t="s">
        <v>1613</v>
      </c>
    </row>
    <row r="17" spans="1:1" ht="72">
      <c r="A17" s="1946" t="s">
        <v>1614</v>
      </c>
    </row>
    <row r="18" spans="1:1" ht="7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商业、办公，土地取得方式为出让，出让国有建设用地使用权剩余土地使用年限为商业33.5年、办公43.5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7">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7">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946" t="str">
        <f>IF(项目基本情况!B9="房地产市场价值","——",IF(项目基本情况!E9="——","",定义!C57))</f>
        <v/>
      </c>
    </row>
    <row r="23" spans="1:1" ht="18">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sqref="A1:XFD1048576"/>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2667</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IF(C2="——",ROUND(C50*D3/10000,0),ROUND(C50*D3/10000,0)-D2)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82" t="s">
        <v>2632</v>
      </c>
      <c r="Q4" s="3283"/>
      <c r="R4" s="3277" t="s">
        <v>2628</v>
      </c>
      <c r="S4" s="3278"/>
      <c r="T4" s="3277" t="s">
        <v>2629</v>
      </c>
      <c r="U4" s="3278"/>
      <c r="V4" s="3286" t="s">
        <v>2630</v>
      </c>
      <c r="W4" s="3286"/>
      <c r="X4" s="2668"/>
      <c r="Y4" s="3277" t="s">
        <v>2632</v>
      </c>
      <c r="Z4" s="3278"/>
      <c r="AA4" s="3276" t="s">
        <v>2628</v>
      </c>
      <c r="AB4" s="3276" t="s">
        <v>2629</v>
      </c>
      <c r="AC4" s="3279" t="s">
        <v>2630</v>
      </c>
    </row>
    <row r="5" spans="1:29">
      <c r="A5" s="404"/>
      <c r="B5" s="405"/>
      <c r="C5" s="3241" t="s">
        <v>2523</v>
      </c>
      <c r="D5" s="3242"/>
      <c r="E5" s="3239" t="s">
        <v>2524</v>
      </c>
      <c r="F5" s="3240"/>
      <c r="G5" s="3241" t="s">
        <v>2525</v>
      </c>
      <c r="H5" s="3242"/>
      <c r="I5" s="3241" t="s">
        <v>2526</v>
      </c>
      <c r="J5" s="3242"/>
      <c r="K5" s="610"/>
      <c r="L5" s="1130"/>
      <c r="M5" s="1131"/>
      <c r="N5" s="1131"/>
      <c r="O5" s="1131"/>
      <c r="P5" s="3284"/>
      <c r="Q5" s="3255"/>
      <c r="R5" s="3237"/>
      <c r="S5" s="3238"/>
      <c r="T5" s="3237"/>
      <c r="U5" s="3238"/>
      <c r="V5" s="3260"/>
      <c r="W5" s="3260"/>
      <c r="X5" s="1812"/>
      <c r="Y5" s="3237"/>
      <c r="Z5" s="3238"/>
      <c r="AA5" s="3231"/>
      <c r="AB5" s="3231"/>
      <c r="AC5" s="3280"/>
    </row>
    <row r="6" spans="1:29" ht="16" thickBot="1">
      <c r="A6" s="406"/>
      <c r="B6" s="407"/>
      <c r="C6" s="3243" t="s">
        <v>2527</v>
      </c>
      <c r="D6" s="3244"/>
      <c r="E6" s="3245" t="s">
        <v>2527</v>
      </c>
      <c r="F6" s="3246"/>
      <c r="G6" s="3243" t="s">
        <v>2527</v>
      </c>
      <c r="H6" s="3244"/>
      <c r="I6" s="3243" t="s">
        <v>2527</v>
      </c>
      <c r="J6" s="3244"/>
      <c r="K6" s="610" t="s">
        <v>2528</v>
      </c>
      <c r="L6" s="1130"/>
      <c r="M6" s="1131"/>
      <c r="N6" s="1131"/>
      <c r="O6" s="1131"/>
      <c r="P6" s="3285"/>
      <c r="Q6" s="3257"/>
      <c r="R6" s="3237"/>
      <c r="S6" s="3238"/>
      <c r="T6" s="3258"/>
      <c r="U6" s="3259"/>
      <c r="V6" s="3260"/>
      <c r="W6" s="3260"/>
      <c r="X6" s="1812"/>
      <c r="Y6" s="3258"/>
      <c r="Z6" s="3259"/>
      <c r="AA6" s="3232"/>
      <c r="AB6" s="3232"/>
      <c r="AC6" s="3281"/>
    </row>
    <row r="7" spans="1:29" s="117" customFormat="1" ht="16" thickBot="1">
      <c r="A7" s="408" t="s">
        <v>2529</v>
      </c>
      <c r="B7" s="409"/>
      <c r="C7" s="410">
        <f>'数据-取费表'!B2</f>
        <v>43906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7" t="s">
        <v>2530</v>
      </c>
      <c r="Q7" s="3261"/>
      <c r="R7" s="770" t="s">
        <v>17</v>
      </c>
      <c r="S7" s="771">
        <f t="shared" ref="S7:S15" si="0">F7</f>
        <v>0</v>
      </c>
      <c r="T7" s="770" t="s">
        <v>17</v>
      </c>
      <c r="U7" s="771">
        <f t="shared" ref="U7:U15" si="1">H7</f>
        <v>0</v>
      </c>
      <c r="V7" s="770" t="s">
        <v>17</v>
      </c>
      <c r="W7" s="771">
        <f t="shared" ref="W7:W15" si="2">J7</f>
        <v>0</v>
      </c>
      <c r="X7" s="772"/>
      <c r="Y7" s="3233" t="s">
        <v>2530</v>
      </c>
      <c r="Z7" s="3234"/>
      <c r="AA7" s="773" t="e">
        <f>D7/F7</f>
        <v>#DIV/0!</v>
      </c>
      <c r="AB7" s="773" t="e">
        <f>D7/H7</f>
        <v>#DIV/0!</v>
      </c>
      <c r="AC7" s="2669" t="e">
        <f>D7/J7</f>
        <v>#DIV/0!</v>
      </c>
    </row>
    <row r="8" spans="1:29" s="117" customFormat="1" ht="16" thickBot="1">
      <c r="A8" s="408" t="s">
        <v>2531</v>
      </c>
      <c r="B8" s="409"/>
      <c r="C8" s="414" t="s">
        <v>2633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7" t="s">
        <v>2533</v>
      </c>
      <c r="Q8" s="3234"/>
      <c r="R8" s="770" t="s">
        <v>17</v>
      </c>
      <c r="S8" s="771">
        <f t="shared" si="0"/>
        <v>0</v>
      </c>
      <c r="T8" s="770" t="s">
        <v>17</v>
      </c>
      <c r="U8" s="771">
        <f t="shared" si="1"/>
        <v>0</v>
      </c>
      <c r="V8" s="770" t="s">
        <v>17</v>
      </c>
      <c r="W8" s="771">
        <f t="shared" si="2"/>
        <v>0</v>
      </c>
      <c r="X8" s="772"/>
      <c r="Y8" s="3233" t="s">
        <v>2533</v>
      </c>
      <c r="Z8" s="3234"/>
      <c r="AA8" s="773" t="e">
        <f t="shared" ref="AA8:AA47" si="3">D8/F8</f>
        <v>#DIV/0!</v>
      </c>
      <c r="AB8" s="773" t="e">
        <f t="shared" ref="AB8:AB47" si="4">D8/H8</f>
        <v>#DIV/0!</v>
      </c>
      <c r="AC8" s="2669" t="e">
        <f t="shared" ref="AC8:AC47" si="5">D8/J8</f>
        <v>#DIV/0!</v>
      </c>
    </row>
    <row r="9" spans="1:29" s="117" customFormat="1" ht="15">
      <c r="A9" s="415" t="s">
        <v>2534</v>
      </c>
      <c r="B9" s="71" t="s">
        <v>2535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7"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2669">
        <f t="shared" si="5"/>
        <v>1</v>
      </c>
    </row>
    <row r="10" spans="1:29" s="427" customFormat="1" ht="30">
      <c r="A10" s="421"/>
      <c r="B10" s="422" t="s">
        <v>2538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69">
        <f t="shared" si="5"/>
        <v>1</v>
      </c>
    </row>
    <row r="11" spans="1:29" ht="16">
      <c r="A11" s="428"/>
      <c r="B11" s="422" t="s">
        <v>2539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7"/>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69" t="e">
        <f t="shared" si="5"/>
        <v>#N/A</v>
      </c>
    </row>
    <row r="12" spans="1:29" s="117" customFormat="1" ht="16">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47"/>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69">
        <f>D12/J12</f>
        <v>1</v>
      </c>
    </row>
    <row r="13" spans="1:29" ht="16">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47"/>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69">
        <f t="shared" si="5"/>
        <v>1</v>
      </c>
    </row>
    <row r="14" spans="1:29" ht="17"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47"/>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69">
        <f t="shared" si="5"/>
        <v>1</v>
      </c>
    </row>
    <row r="15" spans="1:29" ht="16">
      <c r="A15" s="440" t="s">
        <v>2540</v>
      </c>
      <c r="B15" s="629" t="s">
        <v>2668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4" t="s">
        <v>2541</v>
      </c>
      <c r="Q15" s="1809" t="str">
        <f t="shared" si="6"/>
        <v>办公集聚程度</v>
      </c>
      <c r="R15" s="774" t="s">
        <v>17</v>
      </c>
      <c r="S15" s="775">
        <f t="shared" si="0"/>
        <v>100</v>
      </c>
      <c r="T15" s="774" t="s">
        <v>17</v>
      </c>
      <c r="U15" s="775">
        <f t="shared" si="1"/>
        <v>100</v>
      </c>
      <c r="V15" s="774" t="s">
        <v>17</v>
      </c>
      <c r="W15" s="775">
        <f t="shared" si="2"/>
        <v>100</v>
      </c>
      <c r="X15" s="1812"/>
      <c r="Y15" s="3267" t="s">
        <v>2541</v>
      </c>
      <c r="Z15" s="1813" t="str">
        <f t="shared" si="7"/>
        <v>办公集聚程度</v>
      </c>
      <c r="AA15" s="1810">
        <f t="shared" si="3"/>
        <v>1</v>
      </c>
      <c r="AB15" s="1810">
        <f t="shared" si="4"/>
        <v>1</v>
      </c>
      <c r="AC15" s="2672">
        <f t="shared" si="5"/>
        <v>1</v>
      </c>
    </row>
    <row r="16" spans="1:29" ht="16">
      <c r="A16" s="428"/>
      <c r="B16" s="630"/>
      <c r="C16" s="2609"/>
      <c r="D16" s="448"/>
      <c r="E16" s="447"/>
      <c r="F16" s="448"/>
      <c r="G16" s="2609"/>
      <c r="H16" s="450"/>
      <c r="I16" s="447"/>
      <c r="J16" s="448"/>
      <c r="K16" s="615"/>
      <c r="L16" s="1140"/>
      <c r="M16" s="1131"/>
      <c r="N16" s="1131"/>
      <c r="O16" s="1131"/>
      <c r="P16" s="3275"/>
      <c r="Q16" s="1809"/>
      <c r="R16" s="774"/>
      <c r="S16" s="775"/>
      <c r="T16" s="774"/>
      <c r="U16" s="775"/>
      <c r="V16" s="774"/>
      <c r="W16" s="775"/>
      <c r="X16" s="1812"/>
      <c r="Y16" s="3268"/>
      <c r="Z16" s="1813"/>
      <c r="AA16" s="1810">
        <v>1</v>
      </c>
      <c r="AB16" s="1810">
        <v>1</v>
      </c>
      <c r="AC16" s="2672">
        <v>1</v>
      </c>
    </row>
    <row r="17" spans="1:29" ht="16">
      <c r="A17" s="428"/>
      <c r="B17" s="631" t="s">
        <v>2082</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5"/>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2672">
        <f t="shared" si="5"/>
        <v>1</v>
      </c>
    </row>
    <row r="18" spans="1:29" ht="16">
      <c r="A18" s="428"/>
      <c r="B18" s="632"/>
      <c r="C18" s="2674"/>
      <c r="D18" s="450"/>
      <c r="E18" s="2607"/>
      <c r="F18" s="450"/>
      <c r="G18" s="2608"/>
      <c r="H18" s="448"/>
      <c r="I18" s="2608"/>
      <c r="J18" s="448"/>
      <c r="K18" s="615"/>
      <c r="L18" s="1140"/>
      <c r="M18" s="1131"/>
      <c r="N18" s="1131"/>
      <c r="O18" s="1131"/>
      <c r="P18" s="3275"/>
      <c r="Q18" s="1809"/>
      <c r="R18" s="774"/>
      <c r="S18" s="775"/>
      <c r="T18" s="774"/>
      <c r="U18" s="775"/>
      <c r="V18" s="774"/>
      <c r="W18" s="775"/>
      <c r="X18" s="1812"/>
      <c r="Y18" s="3268"/>
      <c r="Z18" s="1813"/>
      <c r="AA18" s="1810">
        <v>1</v>
      </c>
      <c r="AB18" s="1810">
        <v>1</v>
      </c>
      <c r="AC18" s="2672">
        <v>1</v>
      </c>
    </row>
    <row r="19" spans="1:29" ht="16">
      <c r="A19" s="428"/>
      <c r="B19" s="631" t="s">
        <v>2669</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5"/>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2672">
        <f t="shared" si="5"/>
        <v>1</v>
      </c>
    </row>
    <row r="20" spans="1:29" ht="16">
      <c r="A20" s="428"/>
      <c r="B20" s="632"/>
      <c r="C20" s="2609"/>
      <c r="D20" s="448"/>
      <c r="E20" s="2602"/>
      <c r="F20" s="448"/>
      <c r="G20" s="2603"/>
      <c r="H20" s="448"/>
      <c r="I20" s="2603"/>
      <c r="J20" s="448"/>
      <c r="K20" s="615"/>
      <c r="L20" s="1140"/>
      <c r="M20" s="1131"/>
      <c r="N20" s="1131"/>
      <c r="O20" s="1131"/>
      <c r="P20" s="3275"/>
      <c r="Q20" s="1809"/>
      <c r="R20" s="774"/>
      <c r="S20" s="775"/>
      <c r="T20" s="774"/>
      <c r="U20" s="775"/>
      <c r="V20" s="774"/>
      <c r="W20" s="775"/>
      <c r="X20" s="1812"/>
      <c r="Y20" s="3268"/>
      <c r="Z20" s="1813"/>
      <c r="AA20" s="1810">
        <v>1</v>
      </c>
      <c r="AB20" s="1810">
        <v>1</v>
      </c>
      <c r="AC20" s="2672">
        <v>1</v>
      </c>
    </row>
    <row r="21" spans="1:29" ht="16">
      <c r="A21" s="428"/>
      <c r="B21" s="633" t="s">
        <v>2670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2672">
        <f t="shared" ref="AC21" si="10">D21/J21</f>
        <v>1</v>
      </c>
    </row>
    <row r="22" spans="1:29" ht="16">
      <c r="A22" s="428"/>
      <c r="B22" s="633"/>
      <c r="C22" s="2674"/>
      <c r="D22" s="448"/>
      <c r="E22" s="447"/>
      <c r="F22" s="448"/>
      <c r="G22" s="2609"/>
      <c r="H22" s="448"/>
      <c r="I22" s="2609"/>
      <c r="J22" s="448"/>
      <c r="K22" s="1382"/>
      <c r="L22" s="1140"/>
      <c r="M22" s="1131"/>
      <c r="N22" s="1131"/>
      <c r="O22" s="1131"/>
      <c r="P22" s="3275"/>
      <c r="Q22" s="1809"/>
      <c r="R22" s="774"/>
      <c r="S22" s="775"/>
      <c r="T22" s="774"/>
      <c r="U22" s="775"/>
      <c r="V22" s="774"/>
      <c r="W22" s="775"/>
      <c r="X22" s="1812"/>
      <c r="Y22" s="3268"/>
      <c r="Z22" s="1813"/>
      <c r="AA22" s="1810">
        <v>1</v>
      </c>
      <c r="AB22" s="1810">
        <v>1</v>
      </c>
      <c r="AC22" s="2672">
        <v>1</v>
      </c>
    </row>
    <row r="23" spans="1:29" ht="16">
      <c r="A23" s="428"/>
      <c r="B23" s="631" t="s">
        <v>2671</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5"/>
      <c r="Q23" s="1809" t="str">
        <f>B23</f>
        <v>环境质量</v>
      </c>
      <c r="R23" s="774" t="s">
        <v>17</v>
      </c>
      <c r="S23" s="775">
        <f>F23</f>
        <v>100</v>
      </c>
      <c r="T23" s="774" t="s">
        <v>17</v>
      </c>
      <c r="U23" s="775">
        <f>H23</f>
        <v>100</v>
      </c>
      <c r="V23" s="774" t="s">
        <v>17</v>
      </c>
      <c r="W23" s="775">
        <f>J23</f>
        <v>100</v>
      </c>
      <c r="X23" s="1812"/>
      <c r="Y23" s="3268"/>
      <c r="Z23" s="1813" t="str">
        <f>Q23</f>
        <v>环境质量</v>
      </c>
      <c r="AA23" s="1810">
        <f t="shared" si="3"/>
        <v>1</v>
      </c>
      <c r="AB23" s="1810">
        <f t="shared" si="4"/>
        <v>1</v>
      </c>
      <c r="AC23" s="2672">
        <f t="shared" si="5"/>
        <v>1</v>
      </c>
    </row>
    <row r="24" spans="1:29" ht="16">
      <c r="A24" s="428"/>
      <c r="B24" s="633"/>
      <c r="C24" s="2609"/>
      <c r="D24" s="448"/>
      <c r="E24" s="2602"/>
      <c r="F24" s="448"/>
      <c r="G24" s="2603"/>
      <c r="H24" s="448"/>
      <c r="I24" s="2603"/>
      <c r="J24" s="448"/>
      <c r="K24" s="615"/>
      <c r="L24" s="1140"/>
      <c r="M24" s="1131"/>
      <c r="N24" s="1131"/>
      <c r="O24" s="1131"/>
      <c r="P24" s="3275"/>
      <c r="Q24" s="1809"/>
      <c r="R24" s="774"/>
      <c r="S24" s="775"/>
      <c r="T24" s="774"/>
      <c r="U24" s="775"/>
      <c r="V24" s="774"/>
      <c r="W24" s="775"/>
      <c r="X24" s="1812"/>
      <c r="Y24" s="3268"/>
      <c r="Z24" s="1813"/>
      <c r="AA24" s="1810">
        <v>1</v>
      </c>
      <c r="AB24" s="1810">
        <v>1</v>
      </c>
      <c r="AC24" s="2672">
        <v>1</v>
      </c>
    </row>
    <row r="25" spans="1:29" ht="30">
      <c r="A25" s="404"/>
      <c r="B25" s="631" t="s">
        <v>2672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75"/>
      <c r="Q25" s="1809" t="str">
        <f>B25</f>
        <v>毗邻道路的类型与等级</v>
      </c>
      <c r="R25" s="774" t="s">
        <v>17</v>
      </c>
      <c r="S25" s="775">
        <f>F25</f>
        <v>100</v>
      </c>
      <c r="T25" s="774" t="s">
        <v>17</v>
      </c>
      <c r="U25" s="775">
        <f>H25</f>
        <v>100</v>
      </c>
      <c r="V25" s="774" t="s">
        <v>17</v>
      </c>
      <c r="W25" s="775">
        <f>J25</f>
        <v>100</v>
      </c>
      <c r="X25" s="1812"/>
      <c r="Y25" s="3268"/>
      <c r="Z25" s="1813" t="str">
        <f>Q25</f>
        <v>毗邻道路的类型与等级</v>
      </c>
      <c r="AA25" s="1810">
        <f t="shared" si="3"/>
        <v>1</v>
      </c>
      <c r="AB25" s="1810">
        <f t="shared" si="4"/>
        <v>1</v>
      </c>
      <c r="AC25" s="2672">
        <f t="shared" si="5"/>
        <v>1</v>
      </c>
    </row>
    <row r="26" spans="1:29" ht="16">
      <c r="A26" s="404"/>
      <c r="B26" s="632"/>
      <c r="C26" s="634"/>
      <c r="D26" s="435"/>
      <c r="E26" s="616"/>
      <c r="F26" s="435"/>
      <c r="G26" s="634"/>
      <c r="H26" s="435"/>
      <c r="I26" s="616"/>
      <c r="J26" s="435"/>
      <c r="K26" s="615"/>
      <c r="L26" s="1140"/>
      <c r="M26" s="1131"/>
      <c r="N26" s="1131"/>
      <c r="O26" s="1131"/>
      <c r="P26" s="3275"/>
      <c r="Q26" s="1809"/>
      <c r="R26" s="774"/>
      <c r="S26" s="775"/>
      <c r="T26" s="774"/>
      <c r="U26" s="775"/>
      <c r="V26" s="774"/>
      <c r="W26" s="775"/>
      <c r="X26" s="1812"/>
      <c r="Y26" s="3268"/>
      <c r="Z26" s="1813"/>
      <c r="AA26" s="1810">
        <v>1</v>
      </c>
      <c r="AB26" s="1810">
        <v>1</v>
      </c>
      <c r="AC26" s="2672">
        <v>1</v>
      </c>
    </row>
    <row r="27" spans="1:29" ht="16">
      <c r="A27" s="428"/>
      <c r="B27" s="632" t="s">
        <v>2640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5"/>
      <c r="Q27" s="1809" t="str">
        <f t="shared" ref="Q27:Q47" si="11">B27</f>
        <v>楼层</v>
      </c>
      <c r="R27" s="774" t="s">
        <v>17</v>
      </c>
      <c r="S27" s="775">
        <f>F27</f>
        <v>100</v>
      </c>
      <c r="T27" s="774" t="s">
        <v>17</v>
      </c>
      <c r="U27" s="775">
        <f>H27</f>
        <v>100</v>
      </c>
      <c r="V27" s="774" t="s">
        <v>17</v>
      </c>
      <c r="W27" s="775">
        <f>J27</f>
        <v>100</v>
      </c>
      <c r="X27" s="1812"/>
      <c r="Y27" s="3268"/>
      <c r="Z27" s="1813" t="str">
        <f>Q27</f>
        <v>楼层</v>
      </c>
      <c r="AA27" s="1810">
        <f t="shared" si="3"/>
        <v>1</v>
      </c>
      <c r="AB27" s="1810">
        <f t="shared" si="4"/>
        <v>1</v>
      </c>
      <c r="AC27" s="2672">
        <f t="shared" si="5"/>
        <v>1</v>
      </c>
    </row>
    <row r="28" spans="1:29" s="117" customFormat="1" ht="16">
      <c r="A28" s="431"/>
      <c r="B28" s="631" t="s">
        <v>2673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75"/>
      <c r="Q28" s="1794" t="str">
        <f t="shared" si="11"/>
        <v>朝向</v>
      </c>
      <c r="R28" s="770" t="s">
        <v>17</v>
      </c>
      <c r="S28" s="771">
        <f>F28</f>
        <v>100</v>
      </c>
      <c r="T28" s="770" t="s">
        <v>17</v>
      </c>
      <c r="U28" s="771">
        <f>H28</f>
        <v>100</v>
      </c>
      <c r="V28" s="770" t="s">
        <v>17</v>
      </c>
      <c r="W28" s="771">
        <f>J28</f>
        <v>100</v>
      </c>
      <c r="X28" s="772"/>
      <c r="Y28" s="3268"/>
      <c r="Z28" s="55" t="str">
        <f>Q28</f>
        <v>朝向</v>
      </c>
      <c r="AA28" s="1810">
        <f>D28/F28</f>
        <v>1</v>
      </c>
      <c r="AB28" s="1810">
        <f>D28/H28</f>
        <v>1</v>
      </c>
      <c r="AC28" s="2672">
        <f>D28/J28</f>
        <v>1</v>
      </c>
    </row>
    <row r="29" spans="1:29" ht="16">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75"/>
      <c r="Q29" s="1809">
        <f t="shared" si="11"/>
        <v>111</v>
      </c>
      <c r="R29" s="774" t="s">
        <v>17</v>
      </c>
      <c r="S29" s="775">
        <f t="shared" ref="S29:S47" si="12">F29</f>
        <v>100</v>
      </c>
      <c r="T29" s="774" t="s">
        <v>17</v>
      </c>
      <c r="U29" s="775">
        <f t="shared" ref="U29:U47" si="13">H29</f>
        <v>100</v>
      </c>
      <c r="V29" s="774" t="s">
        <v>17</v>
      </c>
      <c r="W29" s="775">
        <f t="shared" ref="W29:W47" si="14">J29</f>
        <v>100</v>
      </c>
      <c r="X29" s="1812"/>
      <c r="Y29" s="3268"/>
      <c r="Z29" s="1813">
        <f t="shared" ref="Z29:Z47" si="15">Q29</f>
        <v>111</v>
      </c>
      <c r="AA29" s="1810">
        <f t="shared" si="3"/>
        <v>1</v>
      </c>
      <c r="AB29" s="1810">
        <f t="shared" si="4"/>
        <v>1</v>
      </c>
      <c r="AC29" s="2672">
        <f t="shared" si="5"/>
        <v>1</v>
      </c>
    </row>
    <row r="30" spans="1:29" ht="16">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75"/>
      <c r="Q30" s="1809">
        <f t="shared" si="11"/>
        <v>111</v>
      </c>
      <c r="R30" s="774" t="s">
        <v>17</v>
      </c>
      <c r="S30" s="775">
        <f t="shared" si="12"/>
        <v>100</v>
      </c>
      <c r="T30" s="774" t="s">
        <v>17</v>
      </c>
      <c r="U30" s="775">
        <f t="shared" si="13"/>
        <v>100</v>
      </c>
      <c r="V30" s="774" t="s">
        <v>17</v>
      </c>
      <c r="W30" s="775">
        <f t="shared" si="14"/>
        <v>100</v>
      </c>
      <c r="X30" s="1812"/>
      <c r="Y30" s="3268"/>
      <c r="Z30" s="1813">
        <f t="shared" si="15"/>
        <v>111</v>
      </c>
      <c r="AA30" s="1810">
        <f t="shared" si="3"/>
        <v>1</v>
      </c>
      <c r="AB30" s="1810">
        <f t="shared" si="4"/>
        <v>1</v>
      </c>
      <c r="AC30" s="2672">
        <f t="shared" si="5"/>
        <v>1</v>
      </c>
    </row>
    <row r="31" spans="1:29" ht="16">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75"/>
      <c r="Q31" s="1809">
        <f t="shared" si="11"/>
        <v>111</v>
      </c>
      <c r="R31" s="774" t="s">
        <v>17</v>
      </c>
      <c r="S31" s="775">
        <f t="shared" si="12"/>
        <v>100</v>
      </c>
      <c r="T31" s="774" t="s">
        <v>17</v>
      </c>
      <c r="U31" s="775">
        <f t="shared" si="13"/>
        <v>100</v>
      </c>
      <c r="V31" s="774" t="s">
        <v>17</v>
      </c>
      <c r="W31" s="775">
        <f t="shared" si="14"/>
        <v>100</v>
      </c>
      <c r="X31" s="1812"/>
      <c r="Y31" s="3268"/>
      <c r="Z31" s="1813">
        <f t="shared" si="15"/>
        <v>111</v>
      </c>
      <c r="AA31" s="1810">
        <f t="shared" si="3"/>
        <v>1</v>
      </c>
      <c r="AB31" s="1810">
        <f t="shared" si="4"/>
        <v>1</v>
      </c>
      <c r="AC31" s="2672">
        <f t="shared" si="5"/>
        <v>1</v>
      </c>
    </row>
    <row r="32" spans="1:29" ht="17"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75"/>
      <c r="Q32" s="1809">
        <f t="shared" si="11"/>
        <v>111</v>
      </c>
      <c r="R32" s="774" t="s">
        <v>17</v>
      </c>
      <c r="S32" s="775">
        <f t="shared" si="12"/>
        <v>100</v>
      </c>
      <c r="T32" s="774" t="s">
        <v>17</v>
      </c>
      <c r="U32" s="775">
        <f t="shared" si="13"/>
        <v>100</v>
      </c>
      <c r="V32" s="774" t="s">
        <v>17</v>
      </c>
      <c r="W32" s="775">
        <f t="shared" si="14"/>
        <v>100</v>
      </c>
      <c r="X32" s="1812"/>
      <c r="Y32" s="3268"/>
      <c r="Z32" s="1813">
        <f t="shared" si="15"/>
        <v>111</v>
      </c>
      <c r="AA32" s="1810">
        <f t="shared" si="3"/>
        <v>1</v>
      </c>
      <c r="AB32" s="1810">
        <f t="shared" si="4"/>
        <v>1</v>
      </c>
      <c r="AC32" s="2672">
        <f t="shared" si="5"/>
        <v>1</v>
      </c>
    </row>
    <row r="33" spans="1:29" ht="16">
      <c r="A33" s="440" t="s">
        <v>2544</v>
      </c>
      <c r="B33" s="71" t="s">
        <v>2674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69" t="s">
        <v>2546</v>
      </c>
      <c r="Q33" s="1809" t="str">
        <f t="shared" si="11"/>
        <v>建筑类型</v>
      </c>
      <c r="R33" s="774" t="s">
        <v>17</v>
      </c>
      <c r="S33" s="775">
        <f t="shared" si="12"/>
        <v>100</v>
      </c>
      <c r="T33" s="774" t="s">
        <v>17</v>
      </c>
      <c r="U33" s="775">
        <f t="shared" si="13"/>
        <v>100</v>
      </c>
      <c r="V33" s="774" t="s">
        <v>17</v>
      </c>
      <c r="W33" s="775">
        <f t="shared" si="14"/>
        <v>100</v>
      </c>
      <c r="X33" s="1812"/>
      <c r="Y33" s="3272" t="s">
        <v>2546</v>
      </c>
      <c r="Z33" s="1813" t="str">
        <f t="shared" si="15"/>
        <v>建筑类型</v>
      </c>
      <c r="AA33" s="1810">
        <f t="shared" si="3"/>
        <v>1</v>
      </c>
      <c r="AB33" s="1810">
        <f t="shared" si="4"/>
        <v>1</v>
      </c>
      <c r="AC33" s="2672">
        <f t="shared" si="5"/>
        <v>1</v>
      </c>
    </row>
    <row r="34" spans="1:29" s="471" customFormat="1" ht="16">
      <c r="A34" s="468"/>
      <c r="B34" s="422" t="s">
        <v>2547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0"/>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0" t="e">
        <f t="shared" si="3"/>
        <v>#N/A</v>
      </c>
      <c r="AB34" s="1810" t="e">
        <f t="shared" si="4"/>
        <v>#N/A</v>
      </c>
      <c r="AC34" s="2672" t="e">
        <f t="shared" si="5"/>
        <v>#N/A</v>
      </c>
    </row>
    <row r="35" spans="1:29" ht="16">
      <c r="A35" s="472"/>
      <c r="B35" s="422" t="s">
        <v>2548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0"/>
      <c r="Q35" s="1809" t="str">
        <f t="shared" si="11"/>
        <v>建筑结构</v>
      </c>
      <c r="R35" s="774" t="s">
        <v>17</v>
      </c>
      <c r="S35" s="775">
        <f t="shared" si="12"/>
        <v>100</v>
      </c>
      <c r="T35" s="774" t="s">
        <v>17</v>
      </c>
      <c r="U35" s="775">
        <f t="shared" si="13"/>
        <v>100</v>
      </c>
      <c r="V35" s="774" t="s">
        <v>17</v>
      </c>
      <c r="W35" s="775">
        <f t="shared" si="14"/>
        <v>100</v>
      </c>
      <c r="X35" s="1812"/>
      <c r="Y35" s="3272"/>
      <c r="Z35" s="1813" t="str">
        <f t="shared" si="15"/>
        <v>建筑结构</v>
      </c>
      <c r="AA35" s="1810">
        <f t="shared" si="3"/>
        <v>1</v>
      </c>
      <c r="AB35" s="1810">
        <f t="shared" si="4"/>
        <v>1</v>
      </c>
      <c r="AC35" s="2672">
        <f t="shared" si="5"/>
        <v>1</v>
      </c>
    </row>
    <row r="36" spans="1:29" ht="16">
      <c r="A36" s="472"/>
      <c r="B36" s="422" t="s">
        <v>2642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0"/>
      <c r="Q36" s="1809" t="str">
        <f t="shared" si="11"/>
        <v>公共部分装修</v>
      </c>
      <c r="R36" s="774" t="s">
        <v>17</v>
      </c>
      <c r="S36" s="775">
        <f t="shared" si="12"/>
        <v>100</v>
      </c>
      <c r="T36" s="774" t="s">
        <v>17</v>
      </c>
      <c r="U36" s="775">
        <f t="shared" si="13"/>
        <v>100</v>
      </c>
      <c r="V36" s="774" t="s">
        <v>17</v>
      </c>
      <c r="W36" s="775">
        <f t="shared" si="14"/>
        <v>100</v>
      </c>
      <c r="X36" s="1812"/>
      <c r="Y36" s="3272"/>
      <c r="Z36" s="1813" t="str">
        <f t="shared" si="15"/>
        <v>公共部分装修</v>
      </c>
      <c r="AA36" s="1810">
        <f t="shared" si="3"/>
        <v>1</v>
      </c>
      <c r="AB36" s="1810">
        <f t="shared" si="4"/>
        <v>1</v>
      </c>
      <c r="AC36" s="2672">
        <f t="shared" si="5"/>
        <v>1</v>
      </c>
    </row>
    <row r="37" spans="1:29" ht="16">
      <c r="A37" s="472"/>
      <c r="B37" s="422" t="s">
        <v>2643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0"/>
      <c r="Q37" s="1809" t="str">
        <f t="shared" si="11"/>
        <v>成新度</v>
      </c>
      <c r="R37" s="774" t="s">
        <v>17</v>
      </c>
      <c r="S37" s="775" t="e">
        <f t="shared" si="12"/>
        <v>#N/A</v>
      </c>
      <c r="T37" s="774" t="s">
        <v>17</v>
      </c>
      <c r="U37" s="775" t="e">
        <f t="shared" si="13"/>
        <v>#N/A</v>
      </c>
      <c r="V37" s="774" t="s">
        <v>17</v>
      </c>
      <c r="W37" s="775" t="e">
        <f t="shared" si="14"/>
        <v>#N/A</v>
      </c>
      <c r="X37" s="1812"/>
      <c r="Y37" s="3272"/>
      <c r="Z37" s="1813" t="str">
        <f t="shared" si="15"/>
        <v>成新度</v>
      </c>
      <c r="AA37" s="1810" t="e">
        <f t="shared" si="3"/>
        <v>#N/A</v>
      </c>
      <c r="AB37" s="1810" t="e">
        <f t="shared" si="4"/>
        <v>#N/A</v>
      </c>
      <c r="AC37" s="2672" t="e">
        <f t="shared" si="5"/>
        <v>#N/A</v>
      </c>
    </row>
    <row r="38" spans="1:29" s="117" customFormat="1" ht="16">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0"/>
      <c r="Q38" s="1794"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69">
        <f t="shared" si="5"/>
        <v>1</v>
      </c>
    </row>
    <row r="39" spans="1:29" ht="16">
      <c r="A39" s="472"/>
      <c r="B39" s="422" t="s">
        <v>2676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0" t="s">
        <v>2546</v>
      </c>
      <c r="Q39" s="1809" t="str">
        <f t="shared" si="11"/>
        <v>物业管理</v>
      </c>
      <c r="R39" s="774" t="s">
        <v>17</v>
      </c>
      <c r="S39" s="775">
        <f t="shared" si="12"/>
        <v>100</v>
      </c>
      <c r="T39" s="774" t="s">
        <v>17</v>
      </c>
      <c r="U39" s="775">
        <f t="shared" si="13"/>
        <v>100</v>
      </c>
      <c r="V39" s="774" t="s">
        <v>17</v>
      </c>
      <c r="W39" s="775">
        <f t="shared" si="14"/>
        <v>100</v>
      </c>
      <c r="X39" s="1812"/>
      <c r="Y39" s="3272" t="s">
        <v>2546</v>
      </c>
      <c r="Z39" s="1813" t="str">
        <f t="shared" si="15"/>
        <v>物业管理</v>
      </c>
      <c r="AA39" s="1810">
        <f t="shared" si="3"/>
        <v>1</v>
      </c>
      <c r="AB39" s="1810">
        <f t="shared" si="4"/>
        <v>1</v>
      </c>
      <c r="AC39" s="2672">
        <f t="shared" si="5"/>
        <v>1</v>
      </c>
    </row>
    <row r="40" spans="1:29" ht="16">
      <c r="A40" s="472"/>
      <c r="B40" s="422" t="s">
        <v>2644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0"/>
      <c r="Q40" s="1809" t="str">
        <f t="shared" si="11"/>
        <v>市政基础设施</v>
      </c>
      <c r="R40" s="774" t="s">
        <v>17</v>
      </c>
      <c r="S40" s="775">
        <f t="shared" si="12"/>
        <v>100</v>
      </c>
      <c r="T40" s="774" t="s">
        <v>17</v>
      </c>
      <c r="U40" s="775">
        <f t="shared" si="13"/>
        <v>100</v>
      </c>
      <c r="V40" s="774" t="s">
        <v>17</v>
      </c>
      <c r="W40" s="775">
        <f t="shared" si="14"/>
        <v>100</v>
      </c>
      <c r="X40" s="1812"/>
      <c r="Y40" s="3272"/>
      <c r="Z40" s="1813" t="str">
        <f t="shared" si="15"/>
        <v>市政基础设施</v>
      </c>
      <c r="AA40" s="1810">
        <f t="shared" si="3"/>
        <v>1</v>
      </c>
      <c r="AB40" s="1810">
        <f t="shared" si="4"/>
        <v>1</v>
      </c>
      <c r="AC40" s="2672">
        <f t="shared" si="5"/>
        <v>1</v>
      </c>
    </row>
    <row r="41" spans="1:29" ht="16">
      <c r="A41" s="472"/>
      <c r="B41" s="422" t="s">
        <v>2646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0"/>
      <c r="Q41" s="1809" t="str">
        <f t="shared" si="11"/>
        <v>层高</v>
      </c>
      <c r="R41" s="774" t="s">
        <v>17</v>
      </c>
      <c r="S41" s="775">
        <f t="shared" si="12"/>
        <v>100</v>
      </c>
      <c r="T41" s="774" t="s">
        <v>17</v>
      </c>
      <c r="U41" s="775">
        <f t="shared" si="13"/>
        <v>100</v>
      </c>
      <c r="V41" s="774" t="s">
        <v>17</v>
      </c>
      <c r="W41" s="775">
        <f t="shared" si="14"/>
        <v>100</v>
      </c>
      <c r="X41" s="1812"/>
      <c r="Y41" s="3272"/>
      <c r="Z41" s="1813" t="str">
        <f t="shared" si="15"/>
        <v>层高</v>
      </c>
      <c r="AA41" s="1810">
        <f t="shared" si="3"/>
        <v>1</v>
      </c>
      <c r="AB41" s="1810">
        <f t="shared" si="4"/>
        <v>1</v>
      </c>
      <c r="AC41" s="2672">
        <f t="shared" si="5"/>
        <v>1</v>
      </c>
    </row>
    <row r="42" spans="1:29" s="471" customFormat="1" ht="16">
      <c r="A42" s="468"/>
      <c r="B42" s="1811"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0">
        <f t="shared" si="3"/>
        <v>1</v>
      </c>
      <c r="AB42" s="1810">
        <f t="shared" si="4"/>
        <v>1</v>
      </c>
      <c r="AC42" s="2672">
        <f t="shared" si="5"/>
        <v>1</v>
      </c>
    </row>
    <row r="43" spans="1:29" ht="16">
      <c r="A43" s="472"/>
      <c r="B43" s="422" t="s">
        <v>2649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0"/>
      <c r="Q43" s="1809" t="str">
        <f t="shared" si="11"/>
        <v>内部装修</v>
      </c>
      <c r="R43" s="774" t="s">
        <v>17</v>
      </c>
      <c r="S43" s="775">
        <f t="shared" si="12"/>
        <v>100</v>
      </c>
      <c r="T43" s="774" t="s">
        <v>17</v>
      </c>
      <c r="U43" s="775">
        <f t="shared" si="13"/>
        <v>100</v>
      </c>
      <c r="V43" s="774" t="s">
        <v>17</v>
      </c>
      <c r="W43" s="775">
        <f t="shared" si="14"/>
        <v>100</v>
      </c>
      <c r="X43" s="1812"/>
      <c r="Y43" s="3272"/>
      <c r="Z43" s="1813" t="str">
        <f t="shared" si="15"/>
        <v>内部装修</v>
      </c>
      <c r="AA43" s="1810">
        <f t="shared" si="3"/>
        <v>1</v>
      </c>
      <c r="AB43" s="1810">
        <f t="shared" si="4"/>
        <v>1</v>
      </c>
      <c r="AC43" s="2672">
        <f t="shared" si="5"/>
        <v>1</v>
      </c>
    </row>
    <row r="44" spans="1:29" ht="16">
      <c r="A44" s="472"/>
      <c r="B44" s="422" t="s">
        <v>2557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70"/>
      <c r="Q44" s="1809" t="str">
        <f t="shared" si="11"/>
        <v>内部装修维护情况</v>
      </c>
      <c r="R44" s="774" t="s">
        <v>17</v>
      </c>
      <c r="S44" s="775">
        <f t="shared" si="12"/>
        <v>100</v>
      </c>
      <c r="T44" s="774" t="s">
        <v>17</v>
      </c>
      <c r="U44" s="775">
        <f t="shared" si="13"/>
        <v>100</v>
      </c>
      <c r="V44" s="774" t="s">
        <v>17</v>
      </c>
      <c r="W44" s="775">
        <f t="shared" si="14"/>
        <v>100</v>
      </c>
      <c r="X44" s="1812"/>
      <c r="Y44" s="3272"/>
      <c r="Z44" s="1813" t="str">
        <f t="shared" si="15"/>
        <v>内部装修维护情况</v>
      </c>
      <c r="AA44" s="1810">
        <f t="shared" si="3"/>
        <v>1</v>
      </c>
      <c r="AB44" s="1810">
        <f t="shared" si="4"/>
        <v>1</v>
      </c>
      <c r="AC44" s="2672">
        <f t="shared" si="5"/>
        <v>1</v>
      </c>
    </row>
    <row r="45" spans="1:29" s="117" customFormat="1" ht="16">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0"/>
      <c r="Q45" s="1794">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69">
        <f t="shared" si="5"/>
        <v>1</v>
      </c>
    </row>
    <row r="46" spans="1:29" ht="16">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0"/>
      <c r="Q46" s="1809">
        <f t="shared" si="11"/>
        <v>111</v>
      </c>
      <c r="R46" s="774" t="s">
        <v>17</v>
      </c>
      <c r="S46" s="775">
        <f t="shared" si="12"/>
        <v>100</v>
      </c>
      <c r="T46" s="774" t="s">
        <v>17</v>
      </c>
      <c r="U46" s="775">
        <f t="shared" si="13"/>
        <v>100</v>
      </c>
      <c r="V46" s="774" t="s">
        <v>17</v>
      </c>
      <c r="W46" s="775">
        <f t="shared" si="14"/>
        <v>100</v>
      </c>
      <c r="X46" s="1812"/>
      <c r="Y46" s="3272"/>
      <c r="Z46" s="1813">
        <f t="shared" si="15"/>
        <v>111</v>
      </c>
      <c r="AA46" s="1810">
        <f t="shared" si="3"/>
        <v>1</v>
      </c>
      <c r="AB46" s="1810">
        <f t="shared" si="4"/>
        <v>1</v>
      </c>
      <c r="AC46" s="2672">
        <f t="shared" si="5"/>
        <v>1</v>
      </c>
    </row>
    <row r="47" spans="1:29" ht="17"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1"/>
      <c r="Q47" s="1809">
        <f t="shared" si="11"/>
        <v>111</v>
      </c>
      <c r="R47" s="774" t="s">
        <v>17</v>
      </c>
      <c r="S47" s="775">
        <f t="shared" si="12"/>
        <v>100</v>
      </c>
      <c r="T47" s="774" t="s">
        <v>17</v>
      </c>
      <c r="U47" s="775">
        <f t="shared" si="13"/>
        <v>100</v>
      </c>
      <c r="V47" s="774" t="s">
        <v>17</v>
      </c>
      <c r="W47" s="775">
        <f t="shared" si="14"/>
        <v>100</v>
      </c>
      <c r="X47" s="1812"/>
      <c r="Y47" s="3273"/>
      <c r="Z47" s="1813">
        <f t="shared" si="15"/>
        <v>111</v>
      </c>
      <c r="AA47" s="1810">
        <f t="shared" si="3"/>
        <v>1</v>
      </c>
      <c r="AB47" s="1810">
        <f t="shared" si="4"/>
        <v>1</v>
      </c>
      <c r="AC47" s="2672">
        <f t="shared" si="5"/>
        <v>1</v>
      </c>
    </row>
    <row r="48" spans="1:29" ht="15">
      <c r="A48" s="479" t="s">
        <v>2558</v>
      </c>
      <c r="B48" s="480"/>
      <c r="C48" s="1406" t="s">
        <v>1</v>
      </c>
      <c r="D48" s="1407"/>
      <c r="E48" s="1408"/>
      <c r="F48" s="1409"/>
      <c r="G48" s="1410"/>
      <c r="H48" s="1411"/>
      <c r="I48" s="1408"/>
      <c r="J48" s="485"/>
      <c r="K48" s="783"/>
      <c r="L48" s="1143"/>
      <c r="M48" s="1131"/>
      <c r="N48" s="1131"/>
      <c r="O48" s="1131"/>
      <c r="P48" s="3247" t="str">
        <f>A48</f>
        <v>成交单价（元/平方米）</v>
      </c>
      <c r="Q48" s="3265"/>
      <c r="R48" s="3266">
        <f>E48</f>
        <v>0</v>
      </c>
      <c r="S48" s="3266"/>
      <c r="T48" s="3266">
        <f>G48</f>
        <v>0</v>
      </c>
      <c r="U48" s="3266"/>
      <c r="V48" s="3266">
        <f>I48</f>
        <v>0</v>
      </c>
      <c r="W48" s="3266"/>
      <c r="X48" s="446"/>
      <c r="Y48" s="781"/>
      <c r="Z48" s="446"/>
      <c r="AA48" s="446"/>
      <c r="AB48" s="446"/>
      <c r="AC48" s="630"/>
    </row>
    <row r="49" spans="1:29" ht="15" thickBot="1">
      <c r="A49" s="486" t="s">
        <v>2650</v>
      </c>
      <c r="B49" s="487"/>
      <c r="C49" s="1412" t="e">
        <f>R50</f>
        <v>#DIV/0!</v>
      </c>
      <c r="D49" s="1413"/>
      <c r="E49" s="1414" t="e">
        <f>R49</f>
        <v>#DIV/0!</v>
      </c>
      <c r="F49" s="1414"/>
      <c r="G49" s="1412" t="e">
        <f>T49</f>
        <v>#DIV/0!</v>
      </c>
      <c r="H49" s="1413"/>
      <c r="I49" s="1414" t="e">
        <f>V49</f>
        <v>#DIV/0!</v>
      </c>
      <c r="J49" s="489"/>
      <c r="K49" s="784"/>
      <c r="L49" s="1143"/>
      <c r="M49" s="1131"/>
      <c r="N49" s="1131"/>
      <c r="O49" s="1131"/>
      <c r="P49" s="3247"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6"/>
      <c r="Y49" s="446"/>
      <c r="Z49" s="446"/>
      <c r="AA49" s="446"/>
      <c r="AB49" s="446"/>
      <c r="AC49" s="630"/>
    </row>
    <row r="50" spans="1:29" ht="15" thickBot="1">
      <c r="A50" s="492" t="s">
        <v>2651</v>
      </c>
      <c r="B50" s="493"/>
      <c r="C50" s="1416" t="e">
        <f>R50</f>
        <v>#DIV/0!</v>
      </c>
      <c r="D50" s="1416"/>
      <c r="E50" s="1416"/>
      <c r="F50" s="1416"/>
      <c r="G50" s="1416"/>
      <c r="H50" s="1416"/>
      <c r="I50" s="1416"/>
      <c r="J50" s="494"/>
      <c r="K50" s="785"/>
      <c r="L50" s="1143"/>
      <c r="M50" s="1131"/>
      <c r="N50" s="1131"/>
      <c r="O50" s="1131"/>
      <c r="P50" s="3288" t="str">
        <f>A50</f>
        <v>估价对象XX用房的比较价值（楼面单价，元/平方米）</v>
      </c>
      <c r="Q50" s="3289"/>
      <c r="R50" s="3290" t="e">
        <f>IF(F1="售价",ROUND(AVERAGE(R49:V49),0),ROUND(AVERAGE(R49:V49),1))</f>
        <v>#DIV/0!</v>
      </c>
      <c r="S50" s="3290"/>
      <c r="T50" s="3290"/>
      <c r="U50" s="3290"/>
      <c r="V50" s="3290"/>
      <c r="W50" s="329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 thickBot="1">
      <c r="A58" s="763" t="s">
        <v>2655</v>
      </c>
      <c r="B58" s="759"/>
      <c r="C58" s="764"/>
      <c r="D58" s="764"/>
      <c r="E58" s="764"/>
      <c r="F58" s="765"/>
      <c r="G58" s="765"/>
      <c r="H58" s="764"/>
      <c r="I58" s="764"/>
      <c r="J58" s="764"/>
      <c r="K58" s="766"/>
      <c r="L58" s="1161"/>
      <c r="M58" s="1159"/>
      <c r="N58" s="1159"/>
      <c r="O58" s="1159"/>
      <c r="P58" s="2679"/>
      <c r="Q58" s="504"/>
    </row>
    <row r="59" spans="1:29" s="508" customFormat="1" ht="15">
      <c r="A59" s="505" t="s">
        <v>2529</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2566</v>
      </c>
      <c r="B61" s="516"/>
      <c r="C61" s="517"/>
      <c r="D61" s="518"/>
      <c r="E61" s="518"/>
      <c r="F61" s="518"/>
      <c r="G61" s="518"/>
      <c r="H61" s="518"/>
      <c r="I61" s="518"/>
      <c r="J61" s="518"/>
      <c r="K61" s="518"/>
      <c r="L61" s="518"/>
      <c r="M61" s="519"/>
      <c r="N61" s="518"/>
      <c r="O61" s="519"/>
      <c r="P61" s="2680"/>
      <c r="Q61" s="504"/>
    </row>
    <row r="62" spans="1:29" s="117" customFormat="1" ht="15">
      <c r="A62" s="521" t="s">
        <v>2531</v>
      </c>
      <c r="B62" s="510"/>
      <c r="C62" s="522" t="s">
        <v>2633</v>
      </c>
      <c r="D62" s="523"/>
      <c r="E62" s="523"/>
      <c r="F62" s="523"/>
      <c r="G62" s="523"/>
      <c r="H62" s="523"/>
      <c r="I62" s="523"/>
      <c r="J62" s="523"/>
      <c r="K62" s="523"/>
      <c r="L62" s="524"/>
      <c r="M62" s="525"/>
      <c r="N62" s="1151"/>
      <c r="O62" s="1151"/>
      <c r="P62" s="2681"/>
      <c r="Q62" s="504"/>
    </row>
    <row r="63" spans="1:29" s="117" customFormat="1" ht="15" thickBot="1">
      <c r="A63" s="521"/>
      <c r="B63" s="510"/>
      <c r="C63" s="511">
        <v>100</v>
      </c>
      <c r="D63" s="512"/>
      <c r="E63" s="512"/>
      <c r="F63" s="512"/>
      <c r="G63" s="512"/>
      <c r="H63" s="512"/>
      <c r="I63" s="512"/>
      <c r="J63" s="512"/>
      <c r="K63" s="512"/>
      <c r="L63" s="512"/>
      <c r="M63" s="514"/>
      <c r="N63" s="1151"/>
      <c r="O63" s="1151"/>
      <c r="P63" s="2680"/>
      <c r="Q63" s="504"/>
    </row>
    <row r="64" spans="1:29" ht="15">
      <c r="A64" s="527" t="s">
        <v>2569</v>
      </c>
      <c r="B64" s="528" t="s">
        <v>2535</v>
      </c>
      <c r="C64" s="529">
        <f>C9</f>
        <v>0</v>
      </c>
      <c r="D64" s="530"/>
      <c r="E64" s="530"/>
      <c r="F64" s="530"/>
      <c r="G64" s="530"/>
      <c r="H64" s="530"/>
      <c r="I64" s="530"/>
      <c r="J64" s="530"/>
      <c r="K64" s="531"/>
      <c r="L64" s="532"/>
      <c r="M64" s="533"/>
      <c r="N64" s="1152"/>
      <c r="O64" s="1152"/>
      <c r="P64" s="2682"/>
      <c r="Q64" s="504"/>
    </row>
    <row r="65" spans="1:17" ht="15" thickBot="1">
      <c r="A65" s="534"/>
      <c r="B65" s="535"/>
      <c r="C65" s="536">
        <v>100</v>
      </c>
      <c r="D65" s="536"/>
      <c r="E65" s="536"/>
      <c r="F65" s="536"/>
      <c r="G65" s="536"/>
      <c r="H65" s="536"/>
      <c r="I65" s="536"/>
      <c r="J65" s="536"/>
      <c r="K65" s="536"/>
      <c r="L65" s="536"/>
      <c r="M65" s="537"/>
      <c r="N65" s="1153"/>
      <c r="O65" s="1153"/>
      <c r="P65" s="2682"/>
      <c r="Q65" s="504"/>
    </row>
    <row r="66" spans="1:17" ht="31" thickTop="1">
      <c r="A66" s="534"/>
      <c r="B66" s="538" t="s">
        <v>2538</v>
      </c>
      <c r="C66" s="539" t="s">
        <v>2570</v>
      </c>
      <c r="D66" s="539" t="s">
        <v>2571</v>
      </c>
      <c r="E66" s="539" t="s">
        <v>2572</v>
      </c>
      <c r="F66" s="539" t="s">
        <v>2573</v>
      </c>
      <c r="G66" s="539" t="s">
        <v>2574</v>
      </c>
      <c r="H66" s="539" t="s">
        <v>2575</v>
      </c>
      <c r="I66" s="539" t="s">
        <v>2576</v>
      </c>
      <c r="J66" s="539"/>
      <c r="K66" s="540"/>
      <c r="L66" s="541"/>
      <c r="M66" s="542"/>
      <c r="N66" s="1152"/>
      <c r="O66" s="1152"/>
      <c r="P66" s="2682"/>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6" thickTop="1">
      <c r="A68" s="534"/>
      <c r="B68" s="546" t="s">
        <v>2539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 thickTop="1">
      <c r="A71" s="553"/>
      <c r="B71" s="538">
        <f>B12</f>
        <v>111</v>
      </c>
      <c r="C71" s="554"/>
      <c r="D71" s="554"/>
      <c r="E71" s="554"/>
      <c r="F71" s="554"/>
      <c r="G71" s="554"/>
      <c r="H71" s="555"/>
      <c r="I71" s="555"/>
      <c r="J71" s="555"/>
      <c r="K71" s="555"/>
      <c r="L71" s="556"/>
      <c r="M71" s="557"/>
      <c r="N71" s="1154"/>
      <c r="O71" s="1154"/>
      <c r="P71" s="2683"/>
      <c r="Q71" s="559"/>
    </row>
    <row r="72" spans="1:17" s="471" customFormat="1" ht="15" thickBot="1">
      <c r="A72" s="553"/>
      <c r="B72" s="543"/>
      <c r="C72" s="560"/>
      <c r="D72" s="536"/>
      <c r="E72" s="536"/>
      <c r="F72" s="536"/>
      <c r="G72" s="536"/>
      <c r="H72" s="536"/>
      <c r="I72" s="536"/>
      <c r="J72" s="536"/>
      <c r="K72" s="536"/>
      <c r="L72" s="536"/>
      <c r="M72" s="537"/>
      <c r="N72" s="1153"/>
      <c r="O72" s="1153"/>
      <c r="P72" s="2683"/>
      <c r="Q72" s="559"/>
    </row>
    <row r="73" spans="1:17" s="471" customFormat="1" ht="15" thickTop="1">
      <c r="A73" s="553"/>
      <c r="B73" s="538">
        <f>B13</f>
        <v>111</v>
      </c>
      <c r="C73" s="554"/>
      <c r="D73" s="554"/>
      <c r="E73" s="554"/>
      <c r="F73" s="554"/>
      <c r="G73" s="554"/>
      <c r="H73" s="555"/>
      <c r="I73" s="555"/>
      <c r="J73" s="555"/>
      <c r="K73" s="555"/>
      <c r="L73" s="556"/>
      <c r="M73" s="557"/>
      <c r="N73" s="1154"/>
      <c r="O73" s="1154"/>
      <c r="P73" s="2684"/>
      <c r="Q73" s="561"/>
    </row>
    <row r="74" spans="1:17" s="471" customFormat="1" ht="15" thickBot="1">
      <c r="A74" s="553"/>
      <c r="B74" s="543"/>
      <c r="C74" s="560"/>
      <c r="D74" s="560"/>
      <c r="E74" s="560"/>
      <c r="F74" s="560"/>
      <c r="G74" s="560"/>
      <c r="H74" s="562"/>
      <c r="I74" s="562"/>
      <c r="J74" s="562"/>
      <c r="K74" s="562"/>
      <c r="L74" s="562"/>
      <c r="M74" s="563"/>
      <c r="N74" s="1154"/>
      <c r="O74" s="1154"/>
      <c r="P74" s="2683"/>
      <c r="Q74" s="559"/>
    </row>
    <row r="75" spans="1:17" s="471" customFormat="1" ht="15" thickTop="1">
      <c r="A75" s="553"/>
      <c r="B75" s="546">
        <f>B14</f>
        <v>111</v>
      </c>
      <c r="C75" s="523"/>
      <c r="D75" s="523"/>
      <c r="E75" s="523"/>
      <c r="F75" s="523"/>
      <c r="G75" s="523"/>
      <c r="H75" s="564"/>
      <c r="I75" s="564"/>
      <c r="J75" s="564"/>
      <c r="K75" s="564"/>
      <c r="L75" s="565"/>
      <c r="M75" s="566"/>
      <c r="N75" s="1154"/>
      <c r="O75" s="1154"/>
      <c r="P75" s="2685"/>
      <c r="Q75" s="559"/>
    </row>
    <row r="76" spans="1:17" s="471" customFormat="1" ht="15" thickBot="1">
      <c r="A76" s="568"/>
      <c r="B76" s="569"/>
      <c r="C76" s="570"/>
      <c r="D76" s="570"/>
      <c r="E76" s="570"/>
      <c r="F76" s="570"/>
      <c r="G76" s="570"/>
      <c r="H76" s="571"/>
      <c r="I76" s="571"/>
      <c r="J76" s="571"/>
      <c r="K76" s="571"/>
      <c r="L76" s="571"/>
      <c r="M76" s="572"/>
      <c r="N76" s="1154"/>
      <c r="O76" s="1154"/>
      <c r="P76" s="2683"/>
      <c r="Q76" s="559"/>
    </row>
    <row r="77" spans="1:17" ht="15">
      <c r="A77" s="527" t="s">
        <v>2540</v>
      </c>
      <c r="B77" s="528" t="s">
        <v>2678</v>
      </c>
      <c r="C77" s="573" t="s">
        <v>2578</v>
      </c>
      <c r="D77" s="573" t="s">
        <v>2579</v>
      </c>
      <c r="E77" s="573" t="s">
        <v>2580</v>
      </c>
      <c r="F77" s="573" t="s">
        <v>2581</v>
      </c>
      <c r="G77" s="573" t="s">
        <v>2582</v>
      </c>
      <c r="H77" s="529"/>
      <c r="I77" s="529"/>
      <c r="J77" s="529"/>
      <c r="K77" s="574"/>
      <c r="L77" s="575"/>
      <c r="M77" s="576"/>
      <c r="N77" s="1152"/>
      <c r="O77" s="1152"/>
      <c r="P77" s="2686"/>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6" thickTop="1">
      <c r="A79" s="534"/>
      <c r="B79" s="538" t="s">
        <v>2583</v>
      </c>
      <c r="C79" s="578" t="s">
        <v>2578</v>
      </c>
      <c r="D79" s="578" t="s">
        <v>2579</v>
      </c>
      <c r="E79" s="578" t="s">
        <v>2580</v>
      </c>
      <c r="F79" s="578" t="s">
        <v>2581</v>
      </c>
      <c r="G79" s="578" t="s">
        <v>2582</v>
      </c>
      <c r="H79" s="539"/>
      <c r="I79" s="539"/>
      <c r="J79" s="539"/>
      <c r="K79" s="540"/>
      <c r="L79" s="541"/>
      <c r="M79" s="542"/>
      <c r="N79" s="1152"/>
      <c r="O79" s="1152"/>
      <c r="P79" s="2682"/>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6" thickTop="1">
      <c r="A81" s="534"/>
      <c r="B81" s="538" t="s">
        <v>2584</v>
      </c>
      <c r="C81" s="578" t="s">
        <v>2578</v>
      </c>
      <c r="D81" s="578" t="s">
        <v>2579</v>
      </c>
      <c r="E81" s="578" t="s">
        <v>2580</v>
      </c>
      <c r="F81" s="578" t="s">
        <v>2581</v>
      </c>
      <c r="G81" s="578" t="s">
        <v>2582</v>
      </c>
      <c r="H81" s="539"/>
      <c r="I81" s="539"/>
      <c r="J81" s="539"/>
      <c r="K81" s="540"/>
      <c r="L81" s="541"/>
      <c r="M81" s="542"/>
      <c r="N81" s="1152"/>
      <c r="O81" s="1152"/>
      <c r="P81" s="2682"/>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6" thickTop="1">
      <c r="A83" s="534"/>
      <c r="B83" s="546" t="s">
        <v>2670</v>
      </c>
      <c r="C83" s="660" t="s">
        <v>2656</v>
      </c>
      <c r="D83" s="660" t="s">
        <v>2657</v>
      </c>
      <c r="E83" s="660" t="s">
        <v>2658</v>
      </c>
      <c r="F83" s="660" t="s">
        <v>2659</v>
      </c>
      <c r="G83" s="660" t="s">
        <v>2660</v>
      </c>
      <c r="H83" s="539"/>
      <c r="I83" s="539"/>
      <c r="J83" s="539"/>
      <c r="K83" s="539"/>
      <c r="L83" s="539"/>
      <c r="M83" s="1381"/>
      <c r="N83" s="1153"/>
      <c r="O83" s="1153"/>
      <c r="P83" s="2682"/>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6" thickTop="1">
      <c r="A85" s="534"/>
      <c r="B85" s="538" t="s">
        <v>2679</v>
      </c>
      <c r="C85" s="578" t="s">
        <v>2578</v>
      </c>
      <c r="D85" s="578" t="s">
        <v>2579</v>
      </c>
      <c r="E85" s="578" t="s">
        <v>2580</v>
      </c>
      <c r="F85" s="578" t="s">
        <v>2581</v>
      </c>
      <c r="G85" s="578" t="s">
        <v>2582</v>
      </c>
      <c r="H85" s="539"/>
      <c r="I85" s="539"/>
      <c r="J85" s="539"/>
      <c r="K85" s="540"/>
      <c r="L85" s="541"/>
      <c r="M85" s="542"/>
      <c r="N85" s="1152"/>
      <c r="O85" s="1152"/>
      <c r="P85" s="2682"/>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31" thickTop="1">
      <c r="A87" s="579"/>
      <c r="B87" s="538" t="s">
        <v>2680</v>
      </c>
      <c r="C87" s="554"/>
      <c r="D87" s="554"/>
      <c r="E87" s="554"/>
      <c r="F87" s="554"/>
      <c r="G87" s="554"/>
      <c r="H87" s="554"/>
      <c r="I87" s="554"/>
      <c r="J87" s="554"/>
      <c r="K87" s="554"/>
      <c r="L87" s="580"/>
      <c r="M87" s="581"/>
      <c r="N87" s="1151"/>
      <c r="O87" s="1151"/>
      <c r="P87" s="2682"/>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6"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6"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 thickTop="1">
      <c r="A93" s="534"/>
      <c r="B93" s="538">
        <f>B29</f>
        <v>111</v>
      </c>
      <c r="C93" s="554"/>
      <c r="D93" s="554"/>
      <c r="E93" s="554"/>
      <c r="F93" s="554"/>
      <c r="G93" s="554"/>
      <c r="H93" s="554"/>
      <c r="I93" s="554"/>
      <c r="J93" s="554"/>
      <c r="K93" s="554"/>
      <c r="L93" s="580"/>
      <c r="M93" s="581"/>
      <c r="N93" s="1152"/>
      <c r="O93" s="1152"/>
      <c r="P93" s="2682"/>
      <c r="Q93" s="504"/>
    </row>
    <row r="94" spans="1:17" ht="15" thickBot="1">
      <c r="A94" s="534"/>
      <c r="B94" s="543"/>
      <c r="C94" s="560"/>
      <c r="D94" s="536"/>
      <c r="E94" s="536"/>
      <c r="F94" s="536"/>
      <c r="G94" s="536"/>
      <c r="H94" s="536"/>
      <c r="I94" s="536"/>
      <c r="J94" s="536"/>
      <c r="K94" s="536"/>
      <c r="L94" s="536"/>
      <c r="M94" s="537"/>
      <c r="N94" s="1153"/>
      <c r="O94" s="1153"/>
      <c r="P94" s="2682"/>
      <c r="Q94" s="504"/>
    </row>
    <row r="95" spans="1:17" ht="15" thickTop="1">
      <c r="A95" s="534"/>
      <c r="B95" s="538">
        <f>B30</f>
        <v>111</v>
      </c>
      <c r="C95" s="554"/>
      <c r="D95" s="554"/>
      <c r="E95" s="554"/>
      <c r="F95" s="554"/>
      <c r="G95" s="583"/>
      <c r="H95" s="583"/>
      <c r="I95" s="583"/>
      <c r="J95" s="583"/>
      <c r="K95" s="584"/>
      <c r="L95" s="585"/>
      <c r="M95" s="586"/>
      <c r="N95" s="1152"/>
      <c r="O95" s="1152"/>
      <c r="P95" s="2682"/>
      <c r="Q95" s="504"/>
    </row>
    <row r="96" spans="1:17" ht="15" thickBot="1">
      <c r="A96" s="534"/>
      <c r="B96" s="543"/>
      <c r="C96" s="560"/>
      <c r="D96" s="560"/>
      <c r="E96" s="560"/>
      <c r="F96" s="560"/>
      <c r="G96" s="536"/>
      <c r="H96" s="536"/>
      <c r="I96" s="536"/>
      <c r="J96" s="536"/>
      <c r="K96" s="536"/>
      <c r="L96" s="536"/>
      <c r="M96" s="537"/>
      <c r="N96" s="1153"/>
      <c r="O96" s="1153"/>
      <c r="P96" s="2682"/>
      <c r="Q96" s="504"/>
    </row>
    <row r="97" spans="1:17" ht="15" thickTop="1">
      <c r="A97" s="534"/>
      <c r="B97" s="538">
        <f>B31</f>
        <v>111</v>
      </c>
      <c r="C97" s="554"/>
      <c r="D97" s="554"/>
      <c r="E97" s="554"/>
      <c r="F97" s="554"/>
      <c r="G97" s="583"/>
      <c r="H97" s="583"/>
      <c r="I97" s="583"/>
      <c r="J97" s="583"/>
      <c r="K97" s="584"/>
      <c r="L97" s="585"/>
      <c r="M97" s="586"/>
      <c r="N97" s="1152"/>
      <c r="O97" s="1152"/>
      <c r="P97" s="2682"/>
      <c r="Q97" s="504"/>
    </row>
    <row r="98" spans="1:17" ht="15" thickBot="1">
      <c r="A98" s="534"/>
      <c r="B98" s="543"/>
      <c r="C98" s="560"/>
      <c r="D98" s="536"/>
      <c r="E98" s="536"/>
      <c r="F98" s="536"/>
      <c r="G98" s="536"/>
      <c r="H98" s="536"/>
      <c r="I98" s="536"/>
      <c r="J98" s="536"/>
      <c r="K98" s="536"/>
      <c r="L98" s="536"/>
      <c r="M98" s="537"/>
      <c r="N98" s="1153"/>
      <c r="O98" s="1153"/>
      <c r="P98" s="2682"/>
      <c r="Q98" s="504"/>
    </row>
    <row r="99" spans="1:17" ht="15" thickTop="1">
      <c r="A99" s="534"/>
      <c r="B99" s="546">
        <f>B32</f>
        <v>111</v>
      </c>
      <c r="C99" s="523"/>
      <c r="D99" s="523"/>
      <c r="E99" s="523"/>
      <c r="F99" s="523"/>
      <c r="G99" s="587"/>
      <c r="H99" s="587"/>
      <c r="I99" s="587"/>
      <c r="J99" s="587"/>
      <c r="K99" s="588"/>
      <c r="L99" s="589"/>
      <c r="M99" s="590"/>
      <c r="N99" s="1152"/>
      <c r="O99" s="1152"/>
      <c r="P99" s="2682"/>
      <c r="Q99" s="504"/>
    </row>
    <row r="100" spans="1:17" ht="15" thickBot="1">
      <c r="A100" s="2634"/>
      <c r="B100" s="569"/>
      <c r="C100" s="570"/>
      <c r="D100" s="570"/>
      <c r="E100" s="570"/>
      <c r="F100" s="570"/>
      <c r="G100" s="591"/>
      <c r="H100" s="591"/>
      <c r="I100" s="591"/>
      <c r="J100" s="591"/>
      <c r="K100" s="591"/>
      <c r="L100" s="591"/>
      <c r="M100" s="592"/>
      <c r="N100" s="1153"/>
      <c r="O100" s="1153"/>
      <c r="P100" s="2682"/>
      <c r="Q100" s="504"/>
    </row>
    <row r="101" spans="1:17" ht="15">
      <c r="A101" s="527" t="s">
        <v>2544</v>
      </c>
      <c r="B101" s="528" t="s">
        <v>2593</v>
      </c>
      <c r="C101" s="530"/>
      <c r="D101" s="530"/>
      <c r="E101" s="530"/>
      <c r="F101" s="530"/>
      <c r="G101" s="530"/>
      <c r="H101" s="530"/>
      <c r="I101" s="530"/>
      <c r="J101" s="530"/>
      <c r="K101" s="531"/>
      <c r="L101" s="532"/>
      <c r="M101" s="533"/>
      <c r="N101" s="1152"/>
      <c r="O101" s="1152"/>
      <c r="P101" s="2682"/>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6" thickTop="1">
      <c r="A103" s="534"/>
      <c r="B103" s="538" t="s">
        <v>2594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 thickBot="1">
      <c r="A105" s="553"/>
      <c r="B105" s="543"/>
      <c r="C105" s="560"/>
      <c r="D105" s="536"/>
      <c r="E105" s="536"/>
      <c r="F105" s="536"/>
      <c r="G105" s="536"/>
      <c r="H105" s="536"/>
      <c r="I105" s="536"/>
      <c r="J105" s="536"/>
      <c r="K105" s="536"/>
      <c r="L105" s="536"/>
      <c r="M105" s="537"/>
      <c r="N105" s="1153"/>
      <c r="O105" s="1153"/>
      <c r="P105" s="2683"/>
      <c r="Q105" s="559"/>
    </row>
    <row r="106" spans="1:17" ht="16" thickTop="1">
      <c r="A106" s="599"/>
      <c r="B106" s="538" t="s">
        <v>2595</v>
      </c>
      <c r="C106" s="554"/>
      <c r="D106" s="554"/>
      <c r="E106" s="583"/>
      <c r="F106" s="583"/>
      <c r="G106" s="583"/>
      <c r="H106" s="583"/>
      <c r="I106" s="583"/>
      <c r="J106" s="583"/>
      <c r="K106" s="584"/>
      <c r="L106" s="585"/>
      <c r="M106" s="586"/>
      <c r="N106" s="1152"/>
      <c r="O106" s="1152"/>
      <c r="P106" s="2682"/>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6" thickTop="1">
      <c r="A108" s="599"/>
      <c r="B108" s="538" t="s">
        <v>2597</v>
      </c>
      <c r="C108" s="554"/>
      <c r="D108" s="554"/>
      <c r="E108" s="554"/>
      <c r="F108" s="583"/>
      <c r="G108" s="583"/>
      <c r="H108" s="583"/>
      <c r="I108" s="583"/>
      <c r="J108" s="583"/>
      <c r="K108" s="584"/>
      <c r="L108" s="585"/>
      <c r="M108" s="586"/>
      <c r="N108" s="1152"/>
      <c r="O108" s="1152"/>
      <c r="P108" s="2682"/>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6"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6" thickTop="1">
      <c r="A113" s="593"/>
      <c r="B113" s="538" t="s">
        <v>2681</v>
      </c>
      <c r="C113" s="554"/>
      <c r="D113" s="554"/>
      <c r="E113" s="554"/>
      <c r="F113" s="554"/>
      <c r="G113" s="554"/>
      <c r="H113" s="583"/>
      <c r="I113" s="583"/>
      <c r="J113" s="583"/>
      <c r="K113" s="584"/>
      <c r="L113" s="585"/>
      <c r="M113" s="586"/>
      <c r="N113" s="1154"/>
      <c r="O113" s="1154"/>
      <c r="P113" s="2683"/>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6" thickTop="1">
      <c r="A115" s="599"/>
      <c r="B115" s="538" t="s">
        <v>2598</v>
      </c>
      <c r="C115" s="554"/>
      <c r="D115" s="554"/>
      <c r="E115" s="583"/>
      <c r="F115" s="583"/>
      <c r="G115" s="583"/>
      <c r="H115" s="583"/>
      <c r="I115" s="583"/>
      <c r="J115" s="583"/>
      <c r="K115" s="584"/>
      <c r="L115" s="585"/>
      <c r="M115" s="586"/>
      <c r="N115" s="1152"/>
      <c r="O115" s="1152"/>
      <c r="P115" s="2682"/>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6" thickTop="1">
      <c r="A117" s="599"/>
      <c r="B117" s="538" t="s">
        <v>2599</v>
      </c>
      <c r="C117" s="554"/>
      <c r="D117" s="554"/>
      <c r="E117" s="554"/>
      <c r="F117" s="554"/>
      <c r="G117" s="554"/>
      <c r="H117" s="583"/>
      <c r="I117" s="583"/>
      <c r="J117" s="583"/>
      <c r="K117" s="584"/>
      <c r="L117" s="585"/>
      <c r="M117" s="586"/>
      <c r="N117" s="1152"/>
      <c r="O117" s="1152"/>
      <c r="P117" s="2682"/>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6" thickTop="1">
      <c r="A119" s="599"/>
      <c r="B119" s="636" t="s">
        <v>2682</v>
      </c>
      <c r="C119" s="583"/>
      <c r="D119" s="583"/>
      <c r="E119" s="583"/>
      <c r="F119" s="583"/>
      <c r="G119" s="583"/>
      <c r="H119" s="583"/>
      <c r="I119" s="583"/>
      <c r="J119" s="583"/>
      <c r="K119" s="583"/>
      <c r="L119" s="2687"/>
      <c r="M119" s="2688"/>
      <c r="N119" s="1153"/>
      <c r="O119" s="1153"/>
      <c r="P119" s="2689"/>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6" thickTop="1">
      <c r="A121" s="593"/>
      <c r="B121" s="538" t="s">
        <v>2665</v>
      </c>
      <c r="C121" s="554"/>
      <c r="D121" s="554"/>
      <c r="E121" s="554"/>
      <c r="F121" s="583"/>
      <c r="G121" s="555"/>
      <c r="H121" s="555"/>
      <c r="I121" s="555"/>
      <c r="J121" s="555"/>
      <c r="K121" s="555"/>
      <c r="L121" s="556"/>
      <c r="M121" s="557"/>
      <c r="N121" s="1154"/>
      <c r="O121" s="1154"/>
      <c r="P121" s="2683"/>
      <c r="Q121" s="559"/>
    </row>
    <row r="122" spans="1:17" s="471" customFormat="1" ht="15" thickBot="1">
      <c r="A122" s="553"/>
      <c r="B122" s="535"/>
      <c r="C122" s="560"/>
      <c r="D122" s="560"/>
      <c r="E122" s="560"/>
      <c r="F122" s="560"/>
      <c r="G122" s="560"/>
      <c r="H122" s="560"/>
      <c r="I122" s="560"/>
      <c r="J122" s="560"/>
      <c r="K122" s="560"/>
      <c r="L122" s="560"/>
      <c r="M122" s="560"/>
      <c r="N122" s="1154"/>
      <c r="O122" s="1154"/>
      <c r="P122" s="2683"/>
      <c r="Q122" s="559"/>
    </row>
    <row r="123" spans="1:17" ht="16" thickTop="1">
      <c r="A123" s="599"/>
      <c r="B123" s="538" t="s">
        <v>2601</v>
      </c>
      <c r="C123" s="554"/>
      <c r="D123" s="554"/>
      <c r="E123" s="554"/>
      <c r="F123" s="583"/>
      <c r="G123" s="583"/>
      <c r="H123" s="583"/>
      <c r="I123" s="583"/>
      <c r="J123" s="583"/>
      <c r="K123" s="584"/>
      <c r="L123" s="585"/>
      <c r="M123" s="586"/>
      <c r="N123" s="1152"/>
      <c r="O123" s="1152"/>
      <c r="P123" s="2682"/>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6" thickTop="1">
      <c r="A125" s="599"/>
      <c r="B125" s="538" t="s">
        <v>2602</v>
      </c>
      <c r="C125" s="578" t="s">
        <v>2578</v>
      </c>
      <c r="D125" s="578" t="s">
        <v>2579</v>
      </c>
      <c r="E125" s="578" t="s">
        <v>2580</v>
      </c>
      <c r="F125" s="578" t="s">
        <v>2581</v>
      </c>
      <c r="G125" s="578" t="s">
        <v>2582</v>
      </c>
      <c r="H125" s="539"/>
      <c r="I125" s="539"/>
      <c r="J125" s="539"/>
      <c r="K125" s="540"/>
      <c r="L125" s="541"/>
      <c r="M125" s="542"/>
      <c r="N125" s="1152"/>
      <c r="O125" s="1152"/>
      <c r="P125" s="2683"/>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2683</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IF(C2="——",ROUND(C43*D3/10000,0),ROUND(C43*D3/10000,0)-D2)</f>
        <v>#DIV/0!</v>
      </c>
      <c r="C2" s="2584"/>
      <c r="D2" s="112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2625</v>
      </c>
      <c r="D3" s="399">
        <f>IF(D1="",'数据-汇总表'!E3,SUMIF('数据-汇总表'!$C19:$C33,D1,'数据-汇总表'!$E19:$E33))</f>
        <v>15182.239999999998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31" t="s">
        <v>2629</v>
      </c>
      <c r="AC4" s="3230" t="s">
        <v>2630</v>
      </c>
    </row>
    <row r="5" spans="1:29">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31"/>
      <c r="AC5" s="3231"/>
    </row>
    <row r="6" spans="1:29" ht="16" thickBot="1">
      <c r="A6" s="406"/>
      <c r="B6" s="407"/>
      <c r="C6" s="3243" t="s">
        <v>2527</v>
      </c>
      <c r="D6" s="3244"/>
      <c r="E6" s="3245" t="s">
        <v>2527</v>
      </c>
      <c r="F6" s="3246"/>
      <c r="G6" s="3243" t="s">
        <v>2527</v>
      </c>
      <c r="H6" s="3244"/>
      <c r="I6" s="3243" t="s">
        <v>2527</v>
      </c>
      <c r="J6" s="3244"/>
      <c r="K6" s="610" t="s">
        <v>2528</v>
      </c>
      <c r="L6" s="1130"/>
      <c r="M6" s="1131"/>
      <c r="N6" s="1131"/>
      <c r="O6" s="1131"/>
      <c r="P6" s="3256"/>
      <c r="Q6" s="3257"/>
      <c r="R6" s="3237"/>
      <c r="S6" s="3238"/>
      <c r="T6" s="3258"/>
      <c r="U6" s="3259"/>
      <c r="V6" s="3260"/>
      <c r="W6" s="3260"/>
      <c r="X6" s="1812"/>
      <c r="Y6" s="3258"/>
      <c r="Z6" s="3259"/>
      <c r="AA6" s="3232"/>
      <c r="AB6" s="3232"/>
      <c r="AC6" s="3232"/>
    </row>
    <row r="7" spans="1:29" s="117" customFormat="1" ht="16" thickBot="1">
      <c r="A7" s="408" t="s">
        <v>2529</v>
      </c>
      <c r="B7" s="409"/>
      <c r="C7" s="410">
        <f>'数据-取费表'!B2</f>
        <v>43906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3" t="s">
        <v>2530</v>
      </c>
      <c r="Q7" s="3261"/>
      <c r="R7" s="770" t="s">
        <v>17</v>
      </c>
      <c r="S7" s="771">
        <f t="shared" ref="S7:S15" si="0">F7</f>
        <v>0</v>
      </c>
      <c r="T7" s="770" t="s">
        <v>17</v>
      </c>
      <c r="U7" s="771">
        <f t="shared" ref="U7:U15" si="1">H7</f>
        <v>0</v>
      </c>
      <c r="V7" s="770" t="s">
        <v>17</v>
      </c>
      <c r="W7" s="771">
        <f t="shared" ref="W7:W15" si="2">J7</f>
        <v>0</v>
      </c>
      <c r="X7" s="772"/>
      <c r="Y7" s="3233" t="s">
        <v>2530</v>
      </c>
      <c r="Z7" s="3234"/>
      <c r="AA7" s="773" t="e">
        <f>D7/F7</f>
        <v>#DIV/0!</v>
      </c>
      <c r="AB7" s="773" t="e">
        <f>D7/H7</f>
        <v>#DIV/0!</v>
      </c>
      <c r="AC7" s="773" t="e">
        <f>D7/J7</f>
        <v>#DIV/0!</v>
      </c>
    </row>
    <row r="8" spans="1:29" s="117" customFormat="1" ht="16"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40" si="3">D8/F8</f>
        <v>#DIV/0!</v>
      </c>
      <c r="AB8" s="773" t="e">
        <f t="shared" ref="AB8:AB40" si="4">D8/H8</f>
        <v>#DIV/0!</v>
      </c>
      <c r="AC8" s="773" t="e">
        <f t="shared" ref="AC8:AC40" si="5">D8/J8</f>
        <v>#DIV/0!</v>
      </c>
    </row>
    <row r="9" spans="1:29" s="117" customFormat="1" ht="15">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5"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30">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5"/>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6">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6">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7"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6">
      <c r="A15" s="440" t="s">
        <v>2540</v>
      </c>
      <c r="B15" s="69" t="s">
        <v>2684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7" t="s">
        <v>2541</v>
      </c>
      <c r="Q15" s="1809" t="str">
        <f t="shared" si="6"/>
        <v>产业集聚程度</v>
      </c>
      <c r="R15" s="774" t="s">
        <v>17</v>
      </c>
      <c r="S15" s="775">
        <f t="shared" si="0"/>
        <v>100</v>
      </c>
      <c r="T15" s="774" t="s">
        <v>17</v>
      </c>
      <c r="U15" s="775">
        <f t="shared" si="1"/>
        <v>100</v>
      </c>
      <c r="V15" s="774" t="s">
        <v>17</v>
      </c>
      <c r="W15" s="775">
        <f t="shared" si="2"/>
        <v>100</v>
      </c>
      <c r="X15" s="1812"/>
      <c r="Y15" s="3267" t="s">
        <v>2541</v>
      </c>
      <c r="Z15" s="1813" t="str">
        <f t="shared" si="7"/>
        <v>产业集聚程度</v>
      </c>
      <c r="AA15" s="1810">
        <f t="shared" si="3"/>
        <v>1</v>
      </c>
      <c r="AB15" s="1810">
        <f t="shared" si="4"/>
        <v>1</v>
      </c>
      <c r="AC15" s="1810">
        <f t="shared" si="5"/>
        <v>1</v>
      </c>
    </row>
    <row r="16" spans="1:29" ht="16">
      <c r="A16" s="428"/>
      <c r="B16" s="446"/>
      <c r="C16" s="447"/>
      <c r="D16" s="448"/>
      <c r="E16" s="447"/>
      <c r="F16" s="449"/>
      <c r="G16" s="447"/>
      <c r="H16" s="450"/>
      <c r="I16" s="447"/>
      <c r="J16" s="448"/>
      <c r="K16" s="615"/>
      <c r="L16" s="1140"/>
      <c r="M16" s="1131"/>
      <c r="N16" s="1131"/>
      <c r="O16" s="1139"/>
      <c r="P16" s="3268"/>
      <c r="Q16" s="1809"/>
      <c r="R16" s="774"/>
      <c r="S16" s="775"/>
      <c r="T16" s="774"/>
      <c r="U16" s="775"/>
      <c r="V16" s="774"/>
      <c r="W16" s="775"/>
      <c r="X16" s="1812"/>
      <c r="Y16" s="3268"/>
      <c r="Z16" s="1813"/>
      <c r="AA16" s="1810">
        <v>1</v>
      </c>
      <c r="AB16" s="1810">
        <v>1</v>
      </c>
      <c r="AC16" s="1810">
        <v>1</v>
      </c>
    </row>
    <row r="17" spans="1:29" ht="16">
      <c r="A17" s="428"/>
      <c r="B17" s="451" t="s">
        <v>2082</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8"/>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6">
      <c r="A18" s="428"/>
      <c r="B18" s="456"/>
      <c r="C18" s="2606"/>
      <c r="D18" s="450"/>
      <c r="E18" s="2608"/>
      <c r="F18" s="453"/>
      <c r="G18" s="2607"/>
      <c r="H18" s="448"/>
      <c r="I18" s="2608"/>
      <c r="J18" s="448"/>
      <c r="K18" s="615"/>
      <c r="L18" s="1140"/>
      <c r="M18" s="1131"/>
      <c r="N18" s="1131"/>
      <c r="O18" s="1139"/>
      <c r="P18" s="3268"/>
      <c r="Q18" s="1809"/>
      <c r="R18" s="774"/>
      <c r="S18" s="775"/>
      <c r="T18" s="774"/>
      <c r="U18" s="775"/>
      <c r="V18" s="774"/>
      <c r="W18" s="775"/>
      <c r="X18" s="1812"/>
      <c r="Y18" s="3268"/>
      <c r="Z18" s="1813"/>
      <c r="AA18" s="1810">
        <v>1</v>
      </c>
      <c r="AB18" s="1810">
        <v>1</v>
      </c>
      <c r="AC18" s="1810">
        <v>1</v>
      </c>
    </row>
    <row r="19" spans="1:29" ht="16">
      <c r="A19" s="428"/>
      <c r="B19" s="451" t="s">
        <v>2669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8"/>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1810">
        <f t="shared" si="5"/>
        <v>1</v>
      </c>
    </row>
    <row r="20" spans="1:29" ht="16">
      <c r="A20" s="428"/>
      <c r="B20" s="456"/>
      <c r="C20" s="447"/>
      <c r="D20" s="448"/>
      <c r="E20" s="2603"/>
      <c r="F20" s="449"/>
      <c r="G20" s="2602"/>
      <c r="H20" s="448"/>
      <c r="I20" s="2603"/>
      <c r="J20" s="448"/>
      <c r="K20" s="615"/>
      <c r="L20" s="1140"/>
      <c r="M20" s="1131"/>
      <c r="N20" s="1131"/>
      <c r="O20" s="1139"/>
      <c r="P20" s="3268"/>
      <c r="Q20" s="1809"/>
      <c r="R20" s="774"/>
      <c r="S20" s="775"/>
      <c r="T20" s="774"/>
      <c r="U20" s="775"/>
      <c r="V20" s="774"/>
      <c r="W20" s="775"/>
      <c r="X20" s="1812"/>
      <c r="Y20" s="3268"/>
      <c r="Z20" s="1813"/>
      <c r="AA20" s="1810">
        <v>1</v>
      </c>
      <c r="AB20" s="1810">
        <v>1</v>
      </c>
      <c r="AC20" s="1810">
        <v>1</v>
      </c>
    </row>
    <row r="21" spans="1:29" ht="16">
      <c r="A21" s="428"/>
      <c r="B21" s="1383" t="s">
        <v>2670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8"/>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6">
      <c r="A22" s="428"/>
      <c r="B22" s="1383"/>
      <c r="C22" s="2606"/>
      <c r="D22" s="448"/>
      <c r="E22" s="447"/>
      <c r="F22" s="449"/>
      <c r="G22" s="447"/>
      <c r="H22" s="448"/>
      <c r="I22" s="447"/>
      <c r="J22" s="448"/>
      <c r="K22" s="1382"/>
      <c r="L22" s="1140"/>
      <c r="M22" s="1131"/>
      <c r="N22" s="1131"/>
      <c r="O22" s="1139"/>
      <c r="P22" s="3268"/>
      <c r="Q22" s="1809"/>
      <c r="R22" s="774"/>
      <c r="S22" s="775"/>
      <c r="T22" s="774"/>
      <c r="U22" s="775"/>
      <c r="V22" s="774"/>
      <c r="W22" s="775"/>
      <c r="X22" s="1812"/>
      <c r="Y22" s="3268"/>
      <c r="Z22" s="1813"/>
      <c r="AA22" s="1810">
        <v>1</v>
      </c>
      <c r="AB22" s="1810">
        <v>1</v>
      </c>
      <c r="AC22" s="1810">
        <v>1</v>
      </c>
    </row>
    <row r="23" spans="1:29" ht="16">
      <c r="A23" s="428"/>
      <c r="B23" s="451" t="s">
        <v>2671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8"/>
      <c r="Q23" s="1809" t="str">
        <f>B23</f>
        <v>环境质量</v>
      </c>
      <c r="R23" s="774" t="s">
        <v>17</v>
      </c>
      <c r="S23" s="775">
        <f>F23</f>
        <v>100</v>
      </c>
      <c r="T23" s="774" t="s">
        <v>17</v>
      </c>
      <c r="U23" s="775">
        <f>H23</f>
        <v>100</v>
      </c>
      <c r="V23" s="774" t="s">
        <v>17</v>
      </c>
      <c r="W23" s="775">
        <f>J23</f>
        <v>100</v>
      </c>
      <c r="X23" s="1812"/>
      <c r="Y23" s="3268"/>
      <c r="Z23" s="1813" t="str">
        <f>Q23</f>
        <v>环境质量</v>
      </c>
      <c r="AA23" s="1810">
        <f t="shared" si="3"/>
        <v>1</v>
      </c>
      <c r="AB23" s="1810">
        <f t="shared" si="4"/>
        <v>1</v>
      </c>
      <c r="AC23" s="1810">
        <f t="shared" si="5"/>
        <v>1</v>
      </c>
    </row>
    <row r="24" spans="1:29" ht="16">
      <c r="A24" s="428"/>
      <c r="B24" s="1383"/>
      <c r="C24" s="447"/>
      <c r="D24" s="448"/>
      <c r="E24" s="2603"/>
      <c r="F24" s="449"/>
      <c r="G24" s="2602"/>
      <c r="H24" s="448"/>
      <c r="I24" s="2603"/>
      <c r="J24" s="448"/>
      <c r="K24" s="615"/>
      <c r="L24" s="1140"/>
      <c r="M24" s="1131"/>
      <c r="N24" s="1131"/>
      <c r="O24" s="1139"/>
      <c r="P24" s="3268"/>
      <c r="Q24" s="1809"/>
      <c r="R24" s="774"/>
      <c r="S24" s="775"/>
      <c r="T24" s="774"/>
      <c r="U24" s="775"/>
      <c r="V24" s="774"/>
      <c r="W24" s="775"/>
      <c r="X24" s="1812"/>
      <c r="Y24" s="3268"/>
      <c r="Z24" s="1813"/>
      <c r="AA24" s="1810">
        <v>1</v>
      </c>
      <c r="AB24" s="1810">
        <v>1</v>
      </c>
      <c r="AC24" s="1810">
        <v>1</v>
      </c>
    </row>
    <row r="25" spans="1:29" ht="16">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8"/>
      <c r="Q25" s="1809">
        <f>B25</f>
        <v>111</v>
      </c>
      <c r="R25" s="774" t="s">
        <v>17</v>
      </c>
      <c r="S25" s="775">
        <f>F25</f>
        <v>100</v>
      </c>
      <c r="T25" s="774" t="s">
        <v>17</v>
      </c>
      <c r="U25" s="775">
        <f>H25</f>
        <v>100</v>
      </c>
      <c r="V25" s="774" t="s">
        <v>17</v>
      </c>
      <c r="W25" s="775">
        <f>J25</f>
        <v>100</v>
      </c>
      <c r="X25" s="1812"/>
      <c r="Y25" s="3268"/>
      <c r="Z25" s="1813">
        <f>Q25</f>
        <v>111</v>
      </c>
      <c r="AA25" s="1810">
        <f t="shared" si="3"/>
        <v>1</v>
      </c>
      <c r="AB25" s="1810">
        <f t="shared" si="4"/>
        <v>1</v>
      </c>
      <c r="AC25" s="1810">
        <f t="shared" si="5"/>
        <v>1</v>
      </c>
    </row>
    <row r="26" spans="1:29" ht="16">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8"/>
      <c r="Q26" s="1809">
        <f t="shared" ref="Q26:Q40" si="11">B26</f>
        <v>111</v>
      </c>
      <c r="R26" s="774" t="s">
        <v>17</v>
      </c>
      <c r="S26" s="775">
        <f>F26</f>
        <v>100</v>
      </c>
      <c r="T26" s="774" t="s">
        <v>17</v>
      </c>
      <c r="U26" s="775">
        <f>H26</f>
        <v>100</v>
      </c>
      <c r="V26" s="774" t="s">
        <v>17</v>
      </c>
      <c r="W26" s="775">
        <f>J26</f>
        <v>100</v>
      </c>
      <c r="X26" s="1812"/>
      <c r="Y26" s="3268"/>
      <c r="Z26" s="1813">
        <f>Q26</f>
        <v>111</v>
      </c>
      <c r="AA26" s="1810">
        <f t="shared" si="3"/>
        <v>1</v>
      </c>
      <c r="AB26" s="1810">
        <f t="shared" si="4"/>
        <v>1</v>
      </c>
      <c r="AC26" s="1810">
        <f t="shared" si="5"/>
        <v>1</v>
      </c>
    </row>
    <row r="27" spans="1:29" s="117" customFormat="1" ht="16">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8"/>
      <c r="Q27" s="1794">
        <f t="shared" si="11"/>
        <v>111</v>
      </c>
      <c r="R27" s="770" t="s">
        <v>17</v>
      </c>
      <c r="S27" s="771">
        <f>F27</f>
        <v>100</v>
      </c>
      <c r="T27" s="770" t="s">
        <v>17</v>
      </c>
      <c r="U27" s="771">
        <f>H27</f>
        <v>100</v>
      </c>
      <c r="V27" s="770" t="s">
        <v>17</v>
      </c>
      <c r="W27" s="771">
        <f>J27</f>
        <v>100</v>
      </c>
      <c r="X27" s="772"/>
      <c r="Y27" s="3268"/>
      <c r="Z27" s="55">
        <f>Q27</f>
        <v>111</v>
      </c>
      <c r="AA27" s="1810">
        <f>D27/F27</f>
        <v>1</v>
      </c>
      <c r="AB27" s="1810">
        <f>D27/H27</f>
        <v>1</v>
      </c>
      <c r="AC27" s="1810">
        <f>D27/J27</f>
        <v>1</v>
      </c>
    </row>
    <row r="28" spans="1:29" ht="17"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8"/>
      <c r="Q28" s="1809">
        <f t="shared" si="11"/>
        <v>111</v>
      </c>
      <c r="R28" s="774" t="s">
        <v>17</v>
      </c>
      <c r="S28" s="775">
        <f t="shared" ref="S28:S40" si="12">F28</f>
        <v>100</v>
      </c>
      <c r="T28" s="774" t="s">
        <v>17</v>
      </c>
      <c r="U28" s="775">
        <f t="shared" ref="U28:U40" si="13">H28</f>
        <v>100</v>
      </c>
      <c r="V28" s="774" t="s">
        <v>17</v>
      </c>
      <c r="W28" s="775">
        <f t="shared" ref="W28:W40" si="14">J28</f>
        <v>100</v>
      </c>
      <c r="X28" s="1812"/>
      <c r="Y28" s="3268"/>
      <c r="Z28" s="1813">
        <f t="shared" ref="Z28:Z40" si="15">Q28</f>
        <v>111</v>
      </c>
      <c r="AA28" s="1810">
        <f t="shared" si="3"/>
        <v>1</v>
      </c>
      <c r="AB28" s="1810">
        <f t="shared" si="4"/>
        <v>1</v>
      </c>
      <c r="AC28" s="1810">
        <f t="shared" si="5"/>
        <v>1</v>
      </c>
    </row>
    <row r="29" spans="1:29" ht="32">
      <c r="A29" s="466" t="s">
        <v>2544</v>
      </c>
      <c r="B29" s="71" t="s">
        <v>2674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91" t="s">
        <v>2546</v>
      </c>
      <c r="Q29" s="1809" t="str">
        <f t="shared" si="11"/>
        <v>建筑类型</v>
      </c>
      <c r="R29" s="774" t="s">
        <v>17</v>
      </c>
      <c r="S29" s="775">
        <f t="shared" si="12"/>
        <v>100</v>
      </c>
      <c r="T29" s="774" t="s">
        <v>17</v>
      </c>
      <c r="U29" s="775">
        <f t="shared" si="13"/>
        <v>100</v>
      </c>
      <c r="V29" s="774" t="s">
        <v>17</v>
      </c>
      <c r="W29" s="775">
        <f t="shared" si="14"/>
        <v>100</v>
      </c>
      <c r="X29" s="1812"/>
      <c r="Y29" s="3272" t="s">
        <v>2546</v>
      </c>
      <c r="Z29" s="1813" t="str">
        <f t="shared" si="15"/>
        <v>建筑类型</v>
      </c>
      <c r="AA29" s="1810">
        <f t="shared" si="3"/>
        <v>1</v>
      </c>
      <c r="AB29" s="1810">
        <f t="shared" si="4"/>
        <v>1</v>
      </c>
      <c r="AC29" s="1810">
        <f t="shared" si="5"/>
        <v>1</v>
      </c>
    </row>
    <row r="30" spans="1:29" s="471" customFormat="1" ht="16">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0" t="e">
        <f t="shared" si="3"/>
        <v>#N/A</v>
      </c>
      <c r="AB30" s="1810" t="e">
        <f t="shared" si="4"/>
        <v>#N/A</v>
      </c>
      <c r="AC30" s="1810" t="e">
        <f t="shared" si="5"/>
        <v>#N/A</v>
      </c>
    </row>
    <row r="31" spans="1:29" ht="16">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2"/>
      <c r="Q31" s="1809" t="str">
        <f t="shared" si="11"/>
        <v>建筑结构</v>
      </c>
      <c r="R31" s="774" t="s">
        <v>17</v>
      </c>
      <c r="S31" s="775">
        <f t="shared" si="12"/>
        <v>100</v>
      </c>
      <c r="T31" s="774" t="s">
        <v>17</v>
      </c>
      <c r="U31" s="775">
        <f t="shared" si="13"/>
        <v>100</v>
      </c>
      <c r="V31" s="774" t="s">
        <v>17</v>
      </c>
      <c r="W31" s="775">
        <f t="shared" si="14"/>
        <v>100</v>
      </c>
      <c r="X31" s="1812"/>
      <c r="Y31" s="3272"/>
      <c r="Z31" s="1813" t="str">
        <f t="shared" si="15"/>
        <v>建筑结构</v>
      </c>
      <c r="AA31" s="1810">
        <f t="shared" si="3"/>
        <v>1</v>
      </c>
      <c r="AB31" s="1810">
        <f t="shared" si="4"/>
        <v>1</v>
      </c>
      <c r="AC31" s="1810">
        <f t="shared" si="5"/>
        <v>1</v>
      </c>
    </row>
    <row r="32" spans="1:29" ht="16">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2"/>
      <c r="Q32" s="1809" t="str">
        <f t="shared" si="11"/>
        <v>公共部分装修</v>
      </c>
      <c r="R32" s="774" t="s">
        <v>17</v>
      </c>
      <c r="S32" s="775">
        <f t="shared" si="12"/>
        <v>100</v>
      </c>
      <c r="T32" s="774" t="s">
        <v>17</v>
      </c>
      <c r="U32" s="775">
        <f t="shared" si="13"/>
        <v>100</v>
      </c>
      <c r="V32" s="774" t="s">
        <v>17</v>
      </c>
      <c r="W32" s="775">
        <f t="shared" si="14"/>
        <v>100</v>
      </c>
      <c r="X32" s="1812"/>
      <c r="Y32" s="3272"/>
      <c r="Z32" s="1813" t="str">
        <f t="shared" si="15"/>
        <v>公共部分装修</v>
      </c>
      <c r="AA32" s="1810">
        <f t="shared" si="3"/>
        <v>1</v>
      </c>
      <c r="AB32" s="1810">
        <f t="shared" si="4"/>
        <v>1</v>
      </c>
      <c r="AC32" s="1810">
        <f t="shared" si="5"/>
        <v>1</v>
      </c>
    </row>
    <row r="33" spans="1:29" ht="16">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2"/>
      <c r="Q33" s="1809" t="str">
        <f t="shared" si="11"/>
        <v>成新度</v>
      </c>
      <c r="R33" s="774" t="s">
        <v>17</v>
      </c>
      <c r="S33" s="775" t="e">
        <f t="shared" si="12"/>
        <v>#N/A</v>
      </c>
      <c r="T33" s="774" t="s">
        <v>17</v>
      </c>
      <c r="U33" s="775" t="e">
        <f t="shared" si="13"/>
        <v>#N/A</v>
      </c>
      <c r="V33" s="774" t="s">
        <v>17</v>
      </c>
      <c r="W33" s="775" t="e">
        <f t="shared" si="14"/>
        <v>#N/A</v>
      </c>
      <c r="X33" s="1812"/>
      <c r="Y33" s="3272"/>
      <c r="Z33" s="1813" t="str">
        <f t="shared" si="15"/>
        <v>成新度</v>
      </c>
      <c r="AA33" s="1810" t="e">
        <f t="shared" si="3"/>
        <v>#N/A</v>
      </c>
      <c r="AB33" s="1810" t="e">
        <f t="shared" si="4"/>
        <v>#N/A</v>
      </c>
      <c r="AC33" s="1810" t="e">
        <f t="shared" si="5"/>
        <v>#N/A</v>
      </c>
    </row>
    <row r="34" spans="1:29" s="117" customFormat="1" ht="16">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2"/>
      <c r="Q34" s="1794"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6">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2" t="s">
        <v>2546</v>
      </c>
      <c r="Q35" s="1809" t="str">
        <f t="shared" si="11"/>
        <v>市政基础设施</v>
      </c>
      <c r="R35" s="774" t="s">
        <v>17</v>
      </c>
      <c r="S35" s="775">
        <f t="shared" si="12"/>
        <v>100</v>
      </c>
      <c r="T35" s="774" t="s">
        <v>17</v>
      </c>
      <c r="U35" s="775">
        <f t="shared" si="13"/>
        <v>100</v>
      </c>
      <c r="V35" s="774" t="s">
        <v>17</v>
      </c>
      <c r="W35" s="775">
        <f t="shared" si="14"/>
        <v>100</v>
      </c>
      <c r="X35" s="1812"/>
      <c r="Y35" s="3272" t="s">
        <v>2546</v>
      </c>
      <c r="Z35" s="1813" t="str">
        <f t="shared" si="15"/>
        <v>市政基础设施</v>
      </c>
      <c r="AA35" s="1810">
        <f t="shared" si="3"/>
        <v>1</v>
      </c>
      <c r="AB35" s="1810">
        <f t="shared" si="4"/>
        <v>1</v>
      </c>
      <c r="AC35" s="1810">
        <f t="shared" si="5"/>
        <v>1</v>
      </c>
    </row>
    <row r="36" spans="1:29" ht="16">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2"/>
      <c r="Q36" s="1809" t="str">
        <f t="shared" si="11"/>
        <v>内部装修</v>
      </c>
      <c r="R36" s="774" t="s">
        <v>17</v>
      </c>
      <c r="S36" s="775">
        <f t="shared" si="12"/>
        <v>100</v>
      </c>
      <c r="T36" s="774" t="s">
        <v>17</v>
      </c>
      <c r="U36" s="775">
        <f t="shared" si="13"/>
        <v>100</v>
      </c>
      <c r="V36" s="774" t="s">
        <v>17</v>
      </c>
      <c r="W36" s="775">
        <f t="shared" si="14"/>
        <v>100</v>
      </c>
      <c r="X36" s="1812"/>
      <c r="Y36" s="3272"/>
      <c r="Z36" s="1813" t="str">
        <f t="shared" si="15"/>
        <v>内部装修</v>
      </c>
      <c r="AA36" s="1810">
        <f t="shared" si="3"/>
        <v>1</v>
      </c>
      <c r="AB36" s="1810">
        <f t="shared" si="4"/>
        <v>1</v>
      </c>
      <c r="AC36" s="1810">
        <f t="shared" si="5"/>
        <v>1</v>
      </c>
    </row>
    <row r="37" spans="1:29" ht="16">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2"/>
      <c r="Q37" s="1809" t="str">
        <f t="shared" si="11"/>
        <v>内部装修状况</v>
      </c>
      <c r="R37" s="774" t="s">
        <v>17</v>
      </c>
      <c r="S37" s="775">
        <f t="shared" si="12"/>
        <v>100</v>
      </c>
      <c r="T37" s="774" t="s">
        <v>17</v>
      </c>
      <c r="U37" s="775">
        <f t="shared" si="13"/>
        <v>100</v>
      </c>
      <c r="V37" s="774" t="s">
        <v>17</v>
      </c>
      <c r="W37" s="775">
        <f t="shared" si="14"/>
        <v>100</v>
      </c>
      <c r="X37" s="1812"/>
      <c r="Y37" s="3272"/>
      <c r="Z37" s="1813" t="str">
        <f t="shared" si="15"/>
        <v>内部装修状况</v>
      </c>
      <c r="AA37" s="1810">
        <f t="shared" si="3"/>
        <v>1</v>
      </c>
      <c r="AB37" s="1810">
        <f t="shared" si="4"/>
        <v>1</v>
      </c>
      <c r="AC37" s="1810">
        <f t="shared" si="5"/>
        <v>1</v>
      </c>
    </row>
    <row r="38" spans="1:29" s="471" customFormat="1" ht="16">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0">
        <f t="shared" si="3"/>
        <v>1</v>
      </c>
      <c r="AB38" s="1810">
        <f t="shared" si="4"/>
        <v>1</v>
      </c>
      <c r="AC38" s="1810">
        <f t="shared" si="5"/>
        <v>1</v>
      </c>
    </row>
    <row r="39" spans="1:29" ht="16">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2"/>
      <c r="Q39" s="1809">
        <f t="shared" si="11"/>
        <v>111</v>
      </c>
      <c r="R39" s="774" t="s">
        <v>17</v>
      </c>
      <c r="S39" s="775">
        <f t="shared" si="12"/>
        <v>100</v>
      </c>
      <c r="T39" s="774" t="s">
        <v>17</v>
      </c>
      <c r="U39" s="775">
        <f t="shared" si="13"/>
        <v>100</v>
      </c>
      <c r="V39" s="774" t="s">
        <v>17</v>
      </c>
      <c r="W39" s="775">
        <f t="shared" si="14"/>
        <v>100</v>
      </c>
      <c r="X39" s="1812"/>
      <c r="Y39" s="3272"/>
      <c r="Z39" s="1813">
        <f t="shared" si="15"/>
        <v>111</v>
      </c>
      <c r="AA39" s="1810">
        <f t="shared" si="3"/>
        <v>1</v>
      </c>
      <c r="AB39" s="1810">
        <f t="shared" si="4"/>
        <v>1</v>
      </c>
      <c r="AC39" s="1810">
        <f t="shared" si="5"/>
        <v>1</v>
      </c>
    </row>
    <row r="40" spans="1:29" ht="17"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3"/>
      <c r="Q40" s="1809">
        <f t="shared" si="11"/>
        <v>111</v>
      </c>
      <c r="R40" s="774" t="s">
        <v>17</v>
      </c>
      <c r="S40" s="775">
        <f t="shared" si="12"/>
        <v>100</v>
      </c>
      <c r="T40" s="774" t="s">
        <v>17</v>
      </c>
      <c r="U40" s="775">
        <f t="shared" si="13"/>
        <v>100</v>
      </c>
      <c r="V40" s="774" t="s">
        <v>17</v>
      </c>
      <c r="W40" s="775">
        <f t="shared" si="14"/>
        <v>100</v>
      </c>
      <c r="X40" s="1812"/>
      <c r="Y40" s="3273"/>
      <c r="Z40" s="1813">
        <f t="shared" si="15"/>
        <v>111</v>
      </c>
      <c r="AA40" s="1810">
        <f t="shared" si="3"/>
        <v>1</v>
      </c>
      <c r="AB40" s="1810">
        <f t="shared" si="4"/>
        <v>1</v>
      </c>
      <c r="AC40" s="1810">
        <f t="shared" si="5"/>
        <v>1</v>
      </c>
    </row>
    <row r="41" spans="1:29" ht="15">
      <c r="A41" s="479" t="s">
        <v>2558</v>
      </c>
      <c r="B41" s="480"/>
      <c r="C41" s="1406" t="s">
        <v>1</v>
      </c>
      <c r="D41" s="1407"/>
      <c r="E41" s="1408"/>
      <c r="F41" s="1409"/>
      <c r="G41" s="1410"/>
      <c r="H41" s="1411"/>
      <c r="I41" s="1408"/>
      <c r="J41" s="1411"/>
      <c r="K41" s="783"/>
      <c r="L41" s="1143"/>
      <c r="M41" s="1144"/>
      <c r="N41" s="1131"/>
      <c r="O41" s="1144"/>
      <c r="P41" s="3265" t="str">
        <f>A41</f>
        <v>成交单价（元/平方米）</v>
      </c>
      <c r="Q41" s="3265"/>
      <c r="R41" s="3266">
        <f>E41</f>
        <v>0</v>
      </c>
      <c r="S41" s="3266"/>
      <c r="T41" s="3266">
        <f>G41</f>
        <v>0</v>
      </c>
      <c r="U41" s="3266"/>
      <c r="V41" s="3266">
        <f>I41</f>
        <v>0</v>
      </c>
      <c r="W41" s="3266"/>
      <c r="X41" s="759"/>
      <c r="Y41" s="781"/>
      <c r="Z41" s="759"/>
      <c r="AA41" s="759"/>
      <c r="AB41" s="759"/>
      <c r="AC41" s="759"/>
    </row>
    <row r="42" spans="1:29" ht="15" thickBot="1">
      <c r="A42" s="486" t="s">
        <v>2650</v>
      </c>
      <c r="B42" s="487"/>
      <c r="C42" s="1412" t="e">
        <f>R43</f>
        <v>#DIV/0!</v>
      </c>
      <c r="D42" s="1413"/>
      <c r="E42" s="1414" t="e">
        <f>R42</f>
        <v>#DIV/0!</v>
      </c>
      <c r="F42" s="1414"/>
      <c r="G42" s="1412" t="e">
        <f>T42</f>
        <v>#DIV/0!</v>
      </c>
      <c r="H42" s="1413"/>
      <c r="I42" s="1414" t="e">
        <f>V42</f>
        <v>#DIV/0!</v>
      </c>
      <c r="J42" s="1413"/>
      <c r="K42" s="784"/>
      <c r="L42" s="1143"/>
      <c r="M42" s="1144"/>
      <c r="N42" s="1131"/>
      <c r="O42" s="1144"/>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9"/>
      <c r="Y42" s="759"/>
      <c r="Z42" s="759"/>
      <c r="AA42" s="759"/>
      <c r="AB42" s="759"/>
      <c r="AC42" s="759"/>
    </row>
    <row r="43" spans="1:29" ht="15" thickBot="1">
      <c r="A43" s="492" t="s">
        <v>2651</v>
      </c>
      <c r="B43" s="493"/>
      <c r="C43" s="1416" t="e">
        <f>R43</f>
        <v>#DIV/0!</v>
      </c>
      <c r="D43" s="1416"/>
      <c r="E43" s="1416"/>
      <c r="F43" s="1416"/>
      <c r="G43" s="1416"/>
      <c r="H43" s="1416"/>
      <c r="I43" s="1416"/>
      <c r="J43" s="1416"/>
      <c r="K43" s="785"/>
      <c r="L43" s="1143"/>
      <c r="M43" s="1144"/>
      <c r="N43" s="1144"/>
      <c r="O43" s="1144"/>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 thickBot="1">
      <c r="A51" s="763" t="s">
        <v>2655</v>
      </c>
      <c r="B51" s="759"/>
      <c r="C51" s="764"/>
      <c r="D51" s="764"/>
      <c r="E51" s="764"/>
      <c r="F51" s="765"/>
      <c r="G51" s="765"/>
      <c r="H51" s="764"/>
      <c r="I51" s="764"/>
      <c r="J51" s="764"/>
      <c r="K51" s="1160"/>
      <c r="L51" s="1161"/>
      <c r="M51" s="1159"/>
      <c r="N51" s="1159"/>
      <c r="O51" s="1159"/>
      <c r="P51" s="503"/>
      <c r="Q51" s="504"/>
    </row>
    <row r="52" spans="1:17" s="508" customFormat="1" ht="15">
      <c r="A52" s="505" t="s">
        <v>2529</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1"/>
      <c r="O55" s="1151"/>
      <c r="P55" s="526"/>
      <c r="Q55" s="504"/>
    </row>
    <row r="56" spans="1:17" s="117" customFormat="1" ht="15" thickBot="1">
      <c r="A56" s="521"/>
      <c r="B56" s="510"/>
      <c r="C56" s="639">
        <v>100</v>
      </c>
      <c r="D56" s="512"/>
      <c r="E56" s="512"/>
      <c r="F56" s="512"/>
      <c r="G56" s="512"/>
      <c r="H56" s="512"/>
      <c r="I56" s="512"/>
      <c r="J56" s="512"/>
      <c r="K56" s="512"/>
      <c r="L56" s="512"/>
      <c r="M56" s="514"/>
      <c r="N56" s="1151"/>
      <c r="O56" s="1151"/>
      <c r="P56" s="504"/>
      <c r="Q56" s="504"/>
    </row>
    <row r="57" spans="1:17" ht="15">
      <c r="A57" s="527" t="s">
        <v>2569</v>
      </c>
      <c r="B57" s="528" t="s">
        <v>2535</v>
      </c>
      <c r="C57" s="529">
        <f>C9</f>
        <v>0</v>
      </c>
      <c r="D57" s="530"/>
      <c r="E57" s="530"/>
      <c r="F57" s="530"/>
      <c r="G57" s="530"/>
      <c r="H57" s="530"/>
      <c r="I57" s="530"/>
      <c r="J57" s="530"/>
      <c r="K57" s="531"/>
      <c r="L57" s="532"/>
      <c r="M57" s="533"/>
      <c r="N57" s="1152"/>
      <c r="O57" s="1152"/>
      <c r="P57" s="45"/>
      <c r="Q57" s="504"/>
    </row>
    <row r="58" spans="1:17" ht="15" thickBot="1">
      <c r="A58" s="534"/>
      <c r="B58" s="535"/>
      <c r="C58" s="536">
        <v>100</v>
      </c>
      <c r="D58" s="536"/>
      <c r="E58" s="536"/>
      <c r="F58" s="536"/>
      <c r="G58" s="536"/>
      <c r="H58" s="536"/>
      <c r="I58" s="536"/>
      <c r="J58" s="536"/>
      <c r="K58" s="536"/>
      <c r="L58" s="536"/>
      <c r="M58" s="537"/>
      <c r="N58" s="1153"/>
      <c r="O58" s="1153"/>
      <c r="P58" s="45"/>
      <c r="Q58" s="504"/>
    </row>
    <row r="59" spans="1:17" ht="31" thickTop="1">
      <c r="A59" s="534"/>
      <c r="B59" s="538" t="s">
        <v>2538</v>
      </c>
      <c r="C59" s="539" t="s">
        <v>2570</v>
      </c>
      <c r="D59" s="539" t="s">
        <v>2571</v>
      </c>
      <c r="E59" s="539" t="s">
        <v>2572</v>
      </c>
      <c r="F59" s="539" t="s">
        <v>2573</v>
      </c>
      <c r="G59" s="539" t="s">
        <v>2574</v>
      </c>
      <c r="H59" s="539" t="s">
        <v>2575</v>
      </c>
      <c r="I59" s="539" t="s">
        <v>2576</v>
      </c>
      <c r="J59" s="539"/>
      <c r="K59" s="540"/>
      <c r="L59" s="541"/>
      <c r="M59" s="542"/>
      <c r="N59" s="1152"/>
      <c r="O59" s="1152"/>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6"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 thickTop="1">
      <c r="A64" s="553"/>
      <c r="B64" s="538">
        <f>B12</f>
        <v>111</v>
      </c>
      <c r="C64" s="554"/>
      <c r="D64" s="554"/>
      <c r="E64" s="554"/>
      <c r="F64" s="554"/>
      <c r="G64" s="554"/>
      <c r="H64" s="555"/>
      <c r="I64" s="555"/>
      <c r="J64" s="555"/>
      <c r="K64" s="555"/>
      <c r="L64" s="556"/>
      <c r="M64" s="557"/>
      <c r="N64" s="1154"/>
      <c r="O64" s="1154"/>
      <c r="P64" s="558"/>
      <c r="Q64" s="559"/>
    </row>
    <row r="65" spans="1:17" s="471" customFormat="1" ht="15" thickBot="1">
      <c r="A65" s="553"/>
      <c r="B65" s="543"/>
      <c r="C65" s="560"/>
      <c r="D65" s="536"/>
      <c r="E65" s="536"/>
      <c r="F65" s="536"/>
      <c r="G65" s="536"/>
      <c r="H65" s="536"/>
      <c r="I65" s="536"/>
      <c r="J65" s="536"/>
      <c r="K65" s="536"/>
      <c r="L65" s="536"/>
      <c r="M65" s="537"/>
      <c r="N65" s="1153"/>
      <c r="O65" s="1153"/>
      <c r="P65" s="558"/>
      <c r="Q65" s="559"/>
    </row>
    <row r="66" spans="1:17" s="471" customFormat="1" ht="15" thickTop="1">
      <c r="A66" s="553"/>
      <c r="B66" s="538">
        <f>B13</f>
        <v>111</v>
      </c>
      <c r="C66" s="554"/>
      <c r="D66" s="554"/>
      <c r="E66" s="554"/>
      <c r="F66" s="554"/>
      <c r="G66" s="554"/>
      <c r="H66" s="555"/>
      <c r="I66" s="555"/>
      <c r="J66" s="555"/>
      <c r="K66" s="555"/>
      <c r="L66" s="556"/>
      <c r="M66" s="557"/>
      <c r="N66" s="1154"/>
      <c r="O66" s="1154"/>
      <c r="P66" s="470"/>
      <c r="Q66" s="561"/>
    </row>
    <row r="67" spans="1:17" s="471" customFormat="1" ht="15" thickBot="1">
      <c r="A67" s="553"/>
      <c r="B67" s="543"/>
      <c r="C67" s="560"/>
      <c r="D67" s="536"/>
      <c r="E67" s="536"/>
      <c r="F67" s="536"/>
      <c r="G67" s="560"/>
      <c r="H67" s="562"/>
      <c r="I67" s="562"/>
      <c r="J67" s="562"/>
      <c r="K67" s="562"/>
      <c r="L67" s="562"/>
      <c r="M67" s="563"/>
      <c r="N67" s="1154"/>
      <c r="O67" s="1154"/>
      <c r="P67" s="558"/>
      <c r="Q67" s="559"/>
    </row>
    <row r="68" spans="1:17" s="471" customFormat="1" ht="15" thickTop="1">
      <c r="A68" s="553"/>
      <c r="B68" s="546">
        <f>B14</f>
        <v>111</v>
      </c>
      <c r="C68" s="523"/>
      <c r="D68" s="523"/>
      <c r="E68" s="523"/>
      <c r="F68" s="523"/>
      <c r="G68" s="523"/>
      <c r="H68" s="564"/>
      <c r="I68" s="564"/>
      <c r="J68" s="564"/>
      <c r="K68" s="564"/>
      <c r="L68" s="565"/>
      <c r="M68" s="566"/>
      <c r="N68" s="1154"/>
      <c r="O68" s="1154"/>
      <c r="P68" s="567"/>
      <c r="Q68" s="559"/>
    </row>
    <row r="69" spans="1:17" s="471" customFormat="1" ht="15" thickBot="1">
      <c r="A69" s="568"/>
      <c r="B69" s="569"/>
      <c r="C69" s="570"/>
      <c r="D69" s="570"/>
      <c r="E69" s="570"/>
      <c r="F69" s="570"/>
      <c r="G69" s="570"/>
      <c r="H69" s="571"/>
      <c r="I69" s="571"/>
      <c r="J69" s="571"/>
      <c r="K69" s="571"/>
      <c r="L69" s="571"/>
      <c r="M69" s="572"/>
      <c r="N69" s="1154"/>
      <c r="O69" s="1154"/>
      <c r="P69" s="558"/>
      <c r="Q69" s="559"/>
    </row>
    <row r="70" spans="1:17" ht="15">
      <c r="A70" s="527" t="s">
        <v>2540</v>
      </c>
      <c r="B70" s="528" t="s">
        <v>2686</v>
      </c>
      <c r="C70" s="573" t="s">
        <v>2578</v>
      </c>
      <c r="D70" s="573" t="s">
        <v>2579</v>
      </c>
      <c r="E70" s="573" t="s">
        <v>2580</v>
      </c>
      <c r="F70" s="573" t="s">
        <v>2581</v>
      </c>
      <c r="G70" s="573" t="s">
        <v>2582</v>
      </c>
      <c r="H70" s="529"/>
      <c r="I70" s="529"/>
      <c r="J70" s="529"/>
      <c r="K70" s="574"/>
      <c r="L70" s="575"/>
      <c r="M70" s="576"/>
      <c r="N70" s="1152"/>
      <c r="O70" s="1152"/>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6" thickTop="1">
      <c r="A72" s="534"/>
      <c r="B72" s="538" t="s">
        <v>2583</v>
      </c>
      <c r="C72" s="578" t="s">
        <v>2578</v>
      </c>
      <c r="D72" s="578" t="s">
        <v>2579</v>
      </c>
      <c r="E72" s="578" t="s">
        <v>2580</v>
      </c>
      <c r="F72" s="578" t="s">
        <v>2581</v>
      </c>
      <c r="G72" s="578" t="s">
        <v>2582</v>
      </c>
      <c r="H72" s="539"/>
      <c r="I72" s="539"/>
      <c r="J72" s="539"/>
      <c r="K72" s="540"/>
      <c r="L72" s="541"/>
      <c r="M72" s="542"/>
      <c r="N72" s="1152"/>
      <c r="O72" s="1152"/>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6" thickTop="1">
      <c r="A74" s="534"/>
      <c r="B74" s="538" t="s">
        <v>2584</v>
      </c>
      <c r="C74" s="578" t="s">
        <v>2578</v>
      </c>
      <c r="D74" s="578" t="s">
        <v>2579</v>
      </c>
      <c r="E74" s="578" t="s">
        <v>2580</v>
      </c>
      <c r="F74" s="578" t="s">
        <v>2581</v>
      </c>
      <c r="G74" s="578" t="s">
        <v>2582</v>
      </c>
      <c r="H74" s="539"/>
      <c r="I74" s="539"/>
      <c r="J74" s="539"/>
      <c r="K74" s="540"/>
      <c r="L74" s="541"/>
      <c r="M74" s="542"/>
      <c r="N74" s="1152"/>
      <c r="O74" s="1152"/>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6" thickTop="1">
      <c r="A76" s="534"/>
      <c r="B76" s="546" t="s">
        <v>2670</v>
      </c>
      <c r="C76" s="660" t="s">
        <v>2656</v>
      </c>
      <c r="D76" s="660" t="s">
        <v>2657</v>
      </c>
      <c r="E76" s="660" t="s">
        <v>2658</v>
      </c>
      <c r="F76" s="660" t="s">
        <v>2659</v>
      </c>
      <c r="G76" s="660" t="s">
        <v>2660</v>
      </c>
      <c r="H76" s="539"/>
      <c r="I76" s="539"/>
      <c r="J76" s="539"/>
      <c r="K76" s="539"/>
      <c r="L76" s="539"/>
      <c r="M76" s="1381"/>
      <c r="N76" s="1153"/>
      <c r="O76" s="1153"/>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6" thickTop="1">
      <c r="A78" s="534"/>
      <c r="B78" s="538" t="s">
        <v>2679</v>
      </c>
      <c r="C78" s="578" t="s">
        <v>2578</v>
      </c>
      <c r="D78" s="578" t="s">
        <v>2579</v>
      </c>
      <c r="E78" s="578" t="s">
        <v>2580</v>
      </c>
      <c r="F78" s="578" t="s">
        <v>2581</v>
      </c>
      <c r="G78" s="578" t="s">
        <v>2582</v>
      </c>
      <c r="H78" s="539"/>
      <c r="I78" s="539"/>
      <c r="J78" s="539"/>
      <c r="K78" s="540"/>
      <c r="L78" s="541"/>
      <c r="M78" s="542"/>
      <c r="N78" s="1152"/>
      <c r="O78" s="1152"/>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 thickTop="1">
      <c r="A80" s="579"/>
      <c r="B80" s="538">
        <f>B25</f>
        <v>111</v>
      </c>
      <c r="C80" s="554"/>
      <c r="D80" s="554"/>
      <c r="E80" s="554"/>
      <c r="F80" s="554"/>
      <c r="G80" s="554"/>
      <c r="H80" s="554"/>
      <c r="I80" s="554"/>
      <c r="J80" s="554"/>
      <c r="K80" s="554"/>
      <c r="L80" s="580"/>
      <c r="M80" s="581"/>
      <c r="N80" s="1151"/>
      <c r="O80" s="1151"/>
      <c r="P80" s="45"/>
      <c r="Q80" s="504"/>
    </row>
    <row r="81" spans="1:17" s="117" customFormat="1" ht="15" thickBot="1">
      <c r="A81" s="579"/>
      <c r="B81" s="543"/>
      <c r="C81" s="560"/>
      <c r="D81" s="536"/>
      <c r="E81" s="536"/>
      <c r="F81" s="536"/>
      <c r="G81" s="536"/>
      <c r="H81" s="536"/>
      <c r="I81" s="536"/>
      <c r="J81" s="536"/>
      <c r="K81" s="536"/>
      <c r="L81" s="536"/>
      <c r="M81" s="537"/>
      <c r="N81" s="1153"/>
      <c r="O81" s="1153"/>
      <c r="P81" s="45"/>
      <c r="Q81" s="504"/>
    </row>
    <row r="82" spans="1:17" s="117" customFormat="1" ht="15" thickTop="1">
      <c r="A82" s="579"/>
      <c r="B82" s="538">
        <f>B26</f>
        <v>111</v>
      </c>
      <c r="C82" s="554"/>
      <c r="D82" s="554"/>
      <c r="E82" s="554"/>
      <c r="F82" s="554"/>
      <c r="G82" s="554"/>
      <c r="H82" s="554"/>
      <c r="I82" s="554"/>
      <c r="J82" s="554"/>
      <c r="K82" s="554"/>
      <c r="L82" s="580"/>
      <c r="M82" s="581"/>
      <c r="N82" s="1151"/>
      <c r="O82" s="1151"/>
      <c r="P82" s="45"/>
      <c r="Q82" s="504"/>
    </row>
    <row r="83" spans="1:17" s="117" customFormat="1" ht="15" thickBot="1">
      <c r="A83" s="579"/>
      <c r="B83" s="543"/>
      <c r="C83" s="560"/>
      <c r="D83" s="536"/>
      <c r="E83" s="536"/>
      <c r="F83" s="536"/>
      <c r="G83" s="536"/>
      <c r="H83" s="536"/>
      <c r="I83" s="536"/>
      <c r="J83" s="536"/>
      <c r="K83" s="536"/>
      <c r="L83" s="536"/>
      <c r="M83" s="537"/>
      <c r="N83" s="1153"/>
      <c r="O83" s="1153"/>
      <c r="P83" s="45"/>
      <c r="Q83" s="504"/>
    </row>
    <row r="84" spans="1:17" s="471" customFormat="1" ht="15" thickTop="1">
      <c r="A84" s="553"/>
      <c r="B84" s="538">
        <f>B27</f>
        <v>111</v>
      </c>
      <c r="C84" s="554"/>
      <c r="D84" s="554"/>
      <c r="E84" s="554"/>
      <c r="F84" s="554"/>
      <c r="G84" s="554"/>
      <c r="H84" s="554"/>
      <c r="I84" s="554"/>
      <c r="J84" s="554"/>
      <c r="K84" s="554"/>
      <c r="L84" s="580"/>
      <c r="M84" s="581"/>
      <c r="N84" s="1154"/>
      <c r="O84" s="1154"/>
      <c r="P84" s="558"/>
      <c r="Q84" s="559"/>
    </row>
    <row r="85" spans="1:17" s="471" customFormat="1" ht="15" thickBot="1">
      <c r="A85" s="553"/>
      <c r="B85" s="543"/>
      <c r="C85" s="560"/>
      <c r="D85" s="536"/>
      <c r="E85" s="536"/>
      <c r="F85" s="536"/>
      <c r="G85" s="536"/>
      <c r="H85" s="536"/>
      <c r="I85" s="536"/>
      <c r="J85" s="536"/>
      <c r="K85" s="536"/>
      <c r="L85" s="536"/>
      <c r="M85" s="537"/>
      <c r="N85" s="1154"/>
      <c r="O85" s="1154"/>
      <c r="P85" s="558"/>
      <c r="Q85" s="559"/>
    </row>
    <row r="86" spans="1:17" ht="15" thickTop="1">
      <c r="A86" s="534"/>
      <c r="B86" s="546">
        <f>B28</f>
        <v>111</v>
      </c>
      <c r="C86" s="523"/>
      <c r="D86" s="523"/>
      <c r="E86" s="523"/>
      <c r="F86" s="523"/>
      <c r="G86" s="587"/>
      <c r="H86" s="587"/>
      <c r="I86" s="587"/>
      <c r="J86" s="587"/>
      <c r="K86" s="588"/>
      <c r="L86" s="589"/>
      <c r="M86" s="590"/>
      <c r="N86" s="1152"/>
      <c r="O86" s="1152"/>
      <c r="P86" s="45"/>
      <c r="Q86" s="504"/>
    </row>
    <row r="87" spans="1:17" ht="15" thickBot="1">
      <c r="A87" s="2634"/>
      <c r="B87" s="569"/>
      <c r="C87" s="570"/>
      <c r="D87" s="570"/>
      <c r="E87" s="570"/>
      <c r="F87" s="570"/>
      <c r="G87" s="591"/>
      <c r="H87" s="591"/>
      <c r="I87" s="591"/>
      <c r="J87" s="591"/>
      <c r="K87" s="591"/>
      <c r="L87" s="591"/>
      <c r="M87" s="592"/>
      <c r="N87" s="1153"/>
      <c r="O87" s="1153"/>
      <c r="P87" s="45"/>
      <c r="Q87" s="504"/>
    </row>
    <row r="88" spans="1:17" ht="15">
      <c r="A88" s="527" t="s">
        <v>2544</v>
      </c>
      <c r="B88" s="528" t="s">
        <v>2593</v>
      </c>
      <c r="C88" s="530"/>
      <c r="D88" s="530"/>
      <c r="E88" s="530"/>
      <c r="F88" s="530"/>
      <c r="G88" s="530"/>
      <c r="H88" s="530"/>
      <c r="I88" s="530"/>
      <c r="J88" s="530"/>
      <c r="K88" s="531"/>
      <c r="L88" s="532"/>
      <c r="M88" s="533"/>
      <c r="N88" s="1152"/>
      <c r="O88" s="1152"/>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6"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 thickBot="1">
      <c r="A92" s="553"/>
      <c r="B92" s="543"/>
      <c r="C92" s="560"/>
      <c r="D92" s="536"/>
      <c r="E92" s="536"/>
      <c r="F92" s="536"/>
      <c r="G92" s="536"/>
      <c r="H92" s="536"/>
      <c r="I92" s="536"/>
      <c r="J92" s="536"/>
      <c r="K92" s="536"/>
      <c r="L92" s="536"/>
      <c r="M92" s="537"/>
      <c r="N92" s="1153"/>
      <c r="O92" s="1153"/>
      <c r="P92" s="558"/>
      <c r="Q92" s="559"/>
    </row>
    <row r="93" spans="1:17" ht="16" thickTop="1">
      <c r="A93" s="599"/>
      <c r="B93" s="538" t="s">
        <v>2595</v>
      </c>
      <c r="C93" s="554"/>
      <c r="D93" s="554"/>
      <c r="E93" s="583"/>
      <c r="F93" s="583"/>
      <c r="G93" s="583"/>
      <c r="H93" s="583"/>
      <c r="I93" s="583"/>
      <c r="J93" s="583"/>
      <c r="K93" s="584"/>
      <c r="L93" s="585"/>
      <c r="M93" s="586"/>
      <c r="N93" s="1152"/>
      <c r="O93" s="1152"/>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6" thickTop="1">
      <c r="A95" s="599"/>
      <c r="B95" s="538" t="s">
        <v>2597</v>
      </c>
      <c r="C95" s="554"/>
      <c r="D95" s="554"/>
      <c r="E95" s="554"/>
      <c r="F95" s="583"/>
      <c r="G95" s="583"/>
      <c r="H95" s="583"/>
      <c r="I95" s="583"/>
      <c r="J95" s="583"/>
      <c r="K95" s="584"/>
      <c r="L95" s="585"/>
      <c r="M95" s="586"/>
      <c r="N95" s="1152"/>
      <c r="O95" s="1152"/>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6"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6" thickTop="1">
      <c r="A100" s="593"/>
      <c r="B100" s="538" t="s">
        <v>2598</v>
      </c>
      <c r="C100" s="554"/>
      <c r="D100" s="554"/>
      <c r="E100" s="554"/>
      <c r="F100" s="554"/>
      <c r="G100" s="554"/>
      <c r="H100" s="583"/>
      <c r="I100" s="583"/>
      <c r="J100" s="583"/>
      <c r="K100" s="584"/>
      <c r="L100" s="585"/>
      <c r="M100" s="586"/>
      <c r="N100" s="1154"/>
      <c r="O100" s="1154"/>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6" thickTop="1">
      <c r="A102" s="599"/>
      <c r="B102" s="538" t="s">
        <v>2599</v>
      </c>
      <c r="C102" s="554"/>
      <c r="D102" s="554"/>
      <c r="E102" s="554"/>
      <c r="F102" s="554"/>
      <c r="G102" s="554"/>
      <c r="H102" s="583"/>
      <c r="I102" s="583"/>
      <c r="J102" s="583"/>
      <c r="K102" s="584"/>
      <c r="L102" s="585"/>
      <c r="M102" s="586"/>
      <c r="N102" s="1152"/>
      <c r="O102" s="1152"/>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6" thickTop="1">
      <c r="A104" s="599"/>
      <c r="B104" s="538" t="s">
        <v>2601</v>
      </c>
      <c r="C104" s="554"/>
      <c r="D104" s="554"/>
      <c r="E104" s="554"/>
      <c r="F104" s="554"/>
      <c r="G104" s="554"/>
      <c r="H104" s="583"/>
      <c r="I104" s="583"/>
      <c r="J104" s="583"/>
      <c r="K104" s="584"/>
      <c r="L104" s="585"/>
      <c r="M104" s="586"/>
      <c r="N104" s="1152"/>
      <c r="O104" s="1152"/>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6" thickTop="1">
      <c r="A106" s="599"/>
      <c r="B106" s="636" t="s">
        <v>2687</v>
      </c>
      <c r="C106" s="578" t="s">
        <v>2578</v>
      </c>
      <c r="D106" s="578" t="s">
        <v>2579</v>
      </c>
      <c r="E106" s="578" t="s">
        <v>2580</v>
      </c>
      <c r="F106" s="578" t="s">
        <v>2581</v>
      </c>
      <c r="G106" s="578" t="s">
        <v>2582</v>
      </c>
      <c r="H106" s="539"/>
      <c r="I106" s="539"/>
      <c r="J106" s="539"/>
      <c r="K106" s="540"/>
      <c r="L106" s="541"/>
      <c r="M106" s="542"/>
      <c r="N106" s="1153"/>
      <c r="O106" s="1153"/>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1"/>
      <c r="F1" s="2582"/>
      <c r="G1" s="1622" t="s">
        <v>2624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2311</v>
      </c>
      <c r="B2" s="1417" t="e">
        <f ca="1">IF(C2="——",IF(B37="元/平方米",ROUND(C39*D3/10000,0),ROUND(F3*C39/10000,0)),IF(B37="元/平方米",ROUND(C39*D3/10000,0),ROUND(F3*C39/10000,0))-D2)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2625</v>
      </c>
      <c r="D3" s="399">
        <f>SUMIF('数据-汇总表'!$C19:$C33,D1,'数据-汇总表'!$E19:$E33)</f>
        <v>0</v>
      </c>
      <c r="E3" s="400" t="s">
        <v>2689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31" t="s">
        <v>2629</v>
      </c>
      <c r="AC4" s="3230" t="s">
        <v>2630</v>
      </c>
    </row>
    <row r="5" spans="1:29">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31"/>
      <c r="AC5" s="3231"/>
    </row>
    <row r="6" spans="1:29" ht="16" thickBot="1">
      <c r="A6" s="406"/>
      <c r="B6" s="407"/>
      <c r="C6" s="3243" t="s">
        <v>2527</v>
      </c>
      <c r="D6" s="3244"/>
      <c r="E6" s="3245" t="s">
        <v>2527</v>
      </c>
      <c r="F6" s="3246"/>
      <c r="G6" s="3243" t="s">
        <v>2527</v>
      </c>
      <c r="H6" s="3244"/>
      <c r="I6" s="3243" t="s">
        <v>2527</v>
      </c>
      <c r="J6" s="3244"/>
      <c r="K6" s="610" t="s">
        <v>2528</v>
      </c>
      <c r="L6" s="1130"/>
      <c r="M6" s="1131"/>
      <c r="N6" s="1131"/>
      <c r="O6" s="1131"/>
      <c r="P6" s="3256"/>
      <c r="Q6" s="3257"/>
      <c r="R6" s="3237"/>
      <c r="S6" s="3238"/>
      <c r="T6" s="3258"/>
      <c r="U6" s="3259"/>
      <c r="V6" s="3260"/>
      <c r="W6" s="3260"/>
      <c r="X6" s="1812"/>
      <c r="Y6" s="3258"/>
      <c r="Z6" s="3259"/>
      <c r="AA6" s="3232"/>
      <c r="AB6" s="3232"/>
      <c r="AC6" s="3232"/>
    </row>
    <row r="7" spans="1:29" s="117" customFormat="1" ht="16" thickBot="1">
      <c r="A7" s="408" t="s">
        <v>2529</v>
      </c>
      <c r="B7" s="409"/>
      <c r="C7" s="410">
        <f>'数据-取费表'!B2</f>
        <v>43906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3" t="s">
        <v>2530</v>
      </c>
      <c r="Q7" s="3261"/>
      <c r="R7" s="770" t="s">
        <v>17</v>
      </c>
      <c r="S7" s="771">
        <f t="shared" ref="S7:S14" si="0">F7</f>
        <v>0</v>
      </c>
      <c r="T7" s="770" t="s">
        <v>17</v>
      </c>
      <c r="U7" s="771">
        <f t="shared" ref="U7:U14" si="1">H7</f>
        <v>0</v>
      </c>
      <c r="V7" s="770" t="s">
        <v>17</v>
      </c>
      <c r="W7" s="771">
        <f t="shared" ref="W7:W14" si="2">J7</f>
        <v>0</v>
      </c>
      <c r="X7" s="772"/>
      <c r="Y7" s="3233" t="s">
        <v>2530</v>
      </c>
      <c r="Z7" s="3234"/>
      <c r="AA7" s="773" t="e">
        <f>D7/F7</f>
        <v>#DIV/0!</v>
      </c>
      <c r="AB7" s="773" t="e">
        <f>D7/H7</f>
        <v>#DIV/0!</v>
      </c>
      <c r="AC7" s="773" t="e">
        <f>D7/J7</f>
        <v>#DIV/0!</v>
      </c>
    </row>
    <row r="8" spans="1:29" s="117" customFormat="1" ht="16"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36" si="3">D8/F8</f>
        <v>#DIV/0!</v>
      </c>
      <c r="AB8" s="773" t="e">
        <f t="shared" ref="AB8:AB36" si="4">D8/H8</f>
        <v>#DIV/0!</v>
      </c>
      <c r="AC8" s="773" t="e">
        <f t="shared" ref="AC8:AC36" si="5">D8/J8</f>
        <v>#DIV/0!</v>
      </c>
    </row>
    <row r="9" spans="1:29" s="117" customFormat="1" ht="15">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5" t="s">
        <v>2536</v>
      </c>
      <c r="Q9" s="1794" t="str">
        <f t="shared" ref="Q9:Q14" si="6">B9</f>
        <v>用途</v>
      </c>
      <c r="R9" s="770" t="s">
        <v>17</v>
      </c>
      <c r="S9" s="771">
        <f t="shared" si="0"/>
        <v>100</v>
      </c>
      <c r="T9" s="770" t="s">
        <v>17</v>
      </c>
      <c r="U9" s="771">
        <f t="shared" si="1"/>
        <v>100</v>
      </c>
      <c r="V9" s="770" t="s">
        <v>17</v>
      </c>
      <c r="W9" s="771">
        <f t="shared" si="2"/>
        <v>100</v>
      </c>
      <c r="X9" s="772"/>
      <c r="Y9" s="3072" t="s">
        <v>2537</v>
      </c>
      <c r="Z9" s="55" t="str">
        <f t="shared" ref="Z9:Z14" si="7">Q9</f>
        <v>用途</v>
      </c>
      <c r="AA9" s="773">
        <f t="shared" si="3"/>
        <v>1</v>
      </c>
      <c r="AB9" s="773">
        <f t="shared" si="4"/>
        <v>1</v>
      </c>
      <c r="AC9" s="773">
        <f t="shared" si="5"/>
        <v>1</v>
      </c>
    </row>
    <row r="10" spans="1:29" s="427" customFormat="1" ht="30">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5"/>
      <c r="Q11" s="1794">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6">
      <c r="A14" s="401" t="s">
        <v>2540</v>
      </c>
      <c r="B14" s="629" t="s">
        <v>2690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7" t="s">
        <v>2541</v>
      </c>
      <c r="Q14" s="1809" t="str">
        <f t="shared" si="6"/>
        <v>交通便捷度</v>
      </c>
      <c r="R14" s="774" t="s">
        <v>17</v>
      </c>
      <c r="S14" s="775">
        <f t="shared" si="0"/>
        <v>100</v>
      </c>
      <c r="T14" s="774" t="s">
        <v>17</v>
      </c>
      <c r="U14" s="775">
        <f t="shared" si="1"/>
        <v>100</v>
      </c>
      <c r="V14" s="774" t="s">
        <v>17</v>
      </c>
      <c r="W14" s="775">
        <f t="shared" si="2"/>
        <v>100</v>
      </c>
      <c r="X14" s="1812"/>
      <c r="Y14" s="3267" t="s">
        <v>2541</v>
      </c>
      <c r="Z14" s="1813" t="str">
        <f t="shared" si="7"/>
        <v>交通便捷度</v>
      </c>
      <c r="AA14" s="1810">
        <f t="shared" si="3"/>
        <v>1</v>
      </c>
      <c r="AB14" s="1810">
        <f t="shared" si="4"/>
        <v>1</v>
      </c>
      <c r="AC14" s="1810">
        <f t="shared" si="5"/>
        <v>1</v>
      </c>
    </row>
    <row r="15" spans="1:29" ht="16">
      <c r="A15" s="404"/>
      <c r="B15" s="647"/>
      <c r="C15" s="447"/>
      <c r="D15" s="448"/>
      <c r="E15" s="447"/>
      <c r="F15" s="449"/>
      <c r="G15" s="447"/>
      <c r="H15" s="450"/>
      <c r="I15" s="447"/>
      <c r="J15" s="448"/>
      <c r="K15" s="615"/>
      <c r="L15" s="1140"/>
      <c r="M15" s="1131"/>
      <c r="N15" s="1131"/>
      <c r="O15" s="1131"/>
      <c r="P15" s="3268"/>
      <c r="Q15" s="1809"/>
      <c r="R15" s="774"/>
      <c r="S15" s="775"/>
      <c r="T15" s="774"/>
      <c r="U15" s="775"/>
      <c r="V15" s="774"/>
      <c r="W15" s="775"/>
      <c r="X15" s="1812"/>
      <c r="Y15" s="3268"/>
      <c r="Z15" s="1813"/>
      <c r="AA15" s="1810">
        <v>1</v>
      </c>
      <c r="AB15" s="1810">
        <v>1</v>
      </c>
      <c r="AC15" s="1810">
        <v>1</v>
      </c>
    </row>
    <row r="16" spans="1:29" ht="16">
      <c r="A16" s="404"/>
      <c r="B16" s="631" t="s">
        <v>2669</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8"/>
      <c r="Q16" s="1809" t="str">
        <f>B16</f>
        <v>公共配套设施</v>
      </c>
      <c r="R16" s="774" t="s">
        <v>17</v>
      </c>
      <c r="S16" s="775">
        <f>F16</f>
        <v>100</v>
      </c>
      <c r="T16" s="774" t="s">
        <v>17</v>
      </c>
      <c r="U16" s="775">
        <f>H16</f>
        <v>100</v>
      </c>
      <c r="V16" s="774" t="s">
        <v>17</v>
      </c>
      <c r="W16" s="775">
        <f>J16</f>
        <v>100</v>
      </c>
      <c r="X16" s="1812"/>
      <c r="Y16" s="3268"/>
      <c r="Z16" s="1813" t="str">
        <f>Q16</f>
        <v>公共配套设施</v>
      </c>
      <c r="AA16" s="1810">
        <f t="shared" si="3"/>
        <v>1</v>
      </c>
      <c r="AB16" s="1810">
        <f t="shared" si="4"/>
        <v>1</v>
      </c>
      <c r="AC16" s="1810">
        <f t="shared" si="5"/>
        <v>1</v>
      </c>
    </row>
    <row r="17" spans="1:29" ht="16">
      <c r="A17" s="404"/>
      <c r="B17" s="632"/>
      <c r="C17" s="2606"/>
      <c r="D17" s="448"/>
      <c r="E17" s="447"/>
      <c r="F17" s="449"/>
      <c r="G17" s="447"/>
      <c r="H17" s="448"/>
      <c r="I17" s="447"/>
      <c r="J17" s="448"/>
      <c r="K17" s="615"/>
      <c r="L17" s="1140"/>
      <c r="M17" s="1131"/>
      <c r="N17" s="1131"/>
      <c r="O17" s="1131"/>
      <c r="P17" s="3268"/>
      <c r="Q17" s="1809"/>
      <c r="R17" s="774"/>
      <c r="S17" s="775"/>
      <c r="T17" s="774"/>
      <c r="U17" s="775"/>
      <c r="V17" s="774"/>
      <c r="W17" s="775"/>
      <c r="X17" s="1812"/>
      <c r="Y17" s="3268"/>
      <c r="Z17" s="1813"/>
      <c r="AA17" s="1810">
        <v>1</v>
      </c>
      <c r="AB17" s="1810">
        <v>1</v>
      </c>
      <c r="AC17" s="1810">
        <v>1</v>
      </c>
    </row>
    <row r="18" spans="1:29" ht="16">
      <c r="A18" s="404"/>
      <c r="B18" s="633" t="s">
        <v>2670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8"/>
      <c r="Q18" s="1809" t="str">
        <f>B18</f>
        <v>基础设施水平</v>
      </c>
      <c r="R18" s="774" t="s">
        <v>17</v>
      </c>
      <c r="S18" s="775">
        <f>F18</f>
        <v>100</v>
      </c>
      <c r="T18" s="774" t="s">
        <v>17</v>
      </c>
      <c r="U18" s="775">
        <f>H18</f>
        <v>100</v>
      </c>
      <c r="V18" s="774" t="s">
        <v>17</v>
      </c>
      <c r="W18" s="775">
        <f>J18</f>
        <v>100</v>
      </c>
      <c r="X18" s="1812"/>
      <c r="Y18" s="3268"/>
      <c r="Z18" s="1813" t="str">
        <f>Q18</f>
        <v>基础设施水平</v>
      </c>
      <c r="AA18" s="1810">
        <f t="shared" ref="AA18" si="8">D18/F18</f>
        <v>1</v>
      </c>
      <c r="AB18" s="1810">
        <f t="shared" ref="AB18" si="9">D18/H18</f>
        <v>1</v>
      </c>
      <c r="AC18" s="1810">
        <f t="shared" ref="AC18" si="10">D18/J18</f>
        <v>1</v>
      </c>
    </row>
    <row r="19" spans="1:29" ht="16">
      <c r="A19" s="404"/>
      <c r="B19" s="633"/>
      <c r="C19" s="2606"/>
      <c r="D19" s="450"/>
      <c r="E19" s="2606"/>
      <c r="F19" s="453"/>
      <c r="G19" s="2606"/>
      <c r="H19" s="448"/>
      <c r="I19" s="447"/>
      <c r="J19" s="448"/>
      <c r="K19" s="1382"/>
      <c r="L19" s="1140"/>
      <c r="M19" s="1131"/>
      <c r="N19" s="1131"/>
      <c r="O19" s="1131"/>
      <c r="P19" s="3268"/>
      <c r="Q19" s="1809"/>
      <c r="R19" s="774"/>
      <c r="S19" s="775"/>
      <c r="T19" s="774"/>
      <c r="U19" s="775"/>
      <c r="V19" s="774"/>
      <c r="W19" s="775"/>
      <c r="X19" s="1812"/>
      <c r="Y19" s="3268"/>
      <c r="Z19" s="1813"/>
      <c r="AA19" s="1810">
        <v>1</v>
      </c>
      <c r="AB19" s="1810">
        <v>1</v>
      </c>
      <c r="AC19" s="1810">
        <v>1</v>
      </c>
    </row>
    <row r="20" spans="1:29" ht="16">
      <c r="A20" s="404"/>
      <c r="B20" s="631" t="s">
        <v>2691</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8"/>
      <c r="Q20" s="1809" t="str">
        <f>B20</f>
        <v>自然及人文环境</v>
      </c>
      <c r="R20" s="774" t="s">
        <v>17</v>
      </c>
      <c r="S20" s="775">
        <f>F20</f>
        <v>100</v>
      </c>
      <c r="T20" s="774" t="s">
        <v>17</v>
      </c>
      <c r="U20" s="775">
        <f>H20</f>
        <v>100</v>
      </c>
      <c r="V20" s="774" t="s">
        <v>17</v>
      </c>
      <c r="W20" s="775">
        <f>J20</f>
        <v>100</v>
      </c>
      <c r="X20" s="1812"/>
      <c r="Y20" s="3268"/>
      <c r="Z20" s="1813" t="str">
        <f>Q20</f>
        <v>自然及人文环境</v>
      </c>
      <c r="AA20" s="1810">
        <f t="shared" si="3"/>
        <v>1</v>
      </c>
      <c r="AB20" s="1810">
        <f t="shared" si="4"/>
        <v>1</v>
      </c>
      <c r="AC20" s="1810">
        <f t="shared" si="5"/>
        <v>1</v>
      </c>
    </row>
    <row r="21" spans="1:29" ht="16">
      <c r="A21" s="404"/>
      <c r="B21" s="632"/>
      <c r="C21" s="447"/>
      <c r="D21" s="448"/>
      <c r="E21" s="447"/>
      <c r="F21" s="449"/>
      <c r="G21" s="447"/>
      <c r="H21" s="448"/>
      <c r="I21" s="447"/>
      <c r="J21" s="448"/>
      <c r="K21" s="615"/>
      <c r="L21" s="1140"/>
      <c r="M21" s="1131"/>
      <c r="N21" s="1131"/>
      <c r="O21" s="1131"/>
      <c r="P21" s="3268"/>
      <c r="Q21" s="1809"/>
      <c r="R21" s="774"/>
      <c r="S21" s="775"/>
      <c r="T21" s="774"/>
      <c r="U21" s="775"/>
      <c r="V21" s="774"/>
      <c r="W21" s="775"/>
      <c r="X21" s="1812"/>
      <c r="Y21" s="3268"/>
      <c r="Z21" s="1813"/>
      <c r="AA21" s="1810">
        <v>1</v>
      </c>
      <c r="AB21" s="1810">
        <v>1</v>
      </c>
      <c r="AC21" s="1810">
        <v>1</v>
      </c>
    </row>
    <row r="22" spans="1:29" ht="16">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8"/>
      <c r="Q22" s="1809" t="str">
        <f>B22</f>
        <v>楼层</v>
      </c>
      <c r="R22" s="774" t="s">
        <v>17</v>
      </c>
      <c r="S22" s="775">
        <f>F22</f>
        <v>100</v>
      </c>
      <c r="T22" s="774" t="s">
        <v>17</v>
      </c>
      <c r="U22" s="775">
        <f>H22</f>
        <v>100</v>
      </c>
      <c r="V22" s="774" t="s">
        <v>17</v>
      </c>
      <c r="W22" s="775">
        <f>J22</f>
        <v>100</v>
      </c>
      <c r="X22" s="1812"/>
      <c r="Y22" s="3268"/>
      <c r="Z22" s="1813" t="str">
        <f>Q22</f>
        <v>楼层</v>
      </c>
      <c r="AA22" s="1810">
        <f t="shared" si="3"/>
        <v>1</v>
      </c>
      <c r="AB22" s="1810">
        <f t="shared" si="4"/>
        <v>1</v>
      </c>
      <c r="AC22" s="1810">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8"/>
      <c r="Q23" s="1809">
        <f>B23</f>
        <v>111</v>
      </c>
      <c r="R23" s="774" t="s">
        <v>17</v>
      </c>
      <c r="S23" s="775">
        <f>F23</f>
        <v>100</v>
      </c>
      <c r="T23" s="774" t="s">
        <v>17</v>
      </c>
      <c r="U23" s="775">
        <f>H23</f>
        <v>100</v>
      </c>
      <c r="V23" s="774" t="s">
        <v>17</v>
      </c>
      <c r="W23" s="775">
        <f>J23</f>
        <v>100</v>
      </c>
      <c r="X23" s="1812"/>
      <c r="Y23" s="3268"/>
      <c r="Z23" s="1813">
        <f>Q23</f>
        <v>111</v>
      </c>
      <c r="AA23" s="1810">
        <f t="shared" si="3"/>
        <v>1</v>
      </c>
      <c r="AB23" s="1810">
        <f t="shared" si="4"/>
        <v>1</v>
      </c>
      <c r="AC23" s="1810">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8"/>
      <c r="Q24" s="1809">
        <f t="shared" ref="Q24:Q36" si="11">B24</f>
        <v>111</v>
      </c>
      <c r="R24" s="774" t="s">
        <v>17</v>
      </c>
      <c r="S24" s="775">
        <f>F24</f>
        <v>100</v>
      </c>
      <c r="T24" s="774" t="s">
        <v>17</v>
      </c>
      <c r="U24" s="775">
        <f>H24</f>
        <v>100</v>
      </c>
      <c r="V24" s="774" t="s">
        <v>17</v>
      </c>
      <c r="W24" s="775">
        <f>J24</f>
        <v>100</v>
      </c>
      <c r="X24" s="1812"/>
      <c r="Y24" s="3268"/>
      <c r="Z24" s="1813">
        <f>Q24</f>
        <v>111</v>
      </c>
      <c r="AA24" s="1810">
        <f t="shared" si="3"/>
        <v>1</v>
      </c>
      <c r="AB24" s="1810">
        <f t="shared" si="4"/>
        <v>1</v>
      </c>
      <c r="AC24" s="1810">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8"/>
      <c r="Q25" s="1794">
        <f t="shared" si="11"/>
        <v>111</v>
      </c>
      <c r="R25" s="770" t="s">
        <v>17</v>
      </c>
      <c r="S25" s="771">
        <f>F25</f>
        <v>100</v>
      </c>
      <c r="T25" s="770" t="s">
        <v>17</v>
      </c>
      <c r="U25" s="771">
        <f>H25</f>
        <v>100</v>
      </c>
      <c r="V25" s="770" t="s">
        <v>17</v>
      </c>
      <c r="W25" s="771">
        <f>J25</f>
        <v>100</v>
      </c>
      <c r="X25" s="772"/>
      <c r="Y25" s="3268"/>
      <c r="Z25" s="55">
        <f>Q25</f>
        <v>111</v>
      </c>
      <c r="AA25" s="1810">
        <f>D25/F25</f>
        <v>1</v>
      </c>
      <c r="AB25" s="1810">
        <f>D25/H25</f>
        <v>1</v>
      </c>
      <c r="AC25" s="1810">
        <f>D25/J25</f>
        <v>1</v>
      </c>
    </row>
    <row r="26" spans="1:29" ht="32">
      <c r="A26" s="652" t="s">
        <v>2544</v>
      </c>
      <c r="B26" s="70" t="s">
        <v>2693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1" t="s">
        <v>2546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2" t="s">
        <v>2546</v>
      </c>
      <c r="Z26" s="1813" t="str">
        <f t="shared" ref="Z26:Z36" si="15">Q26</f>
        <v>配套类型</v>
      </c>
      <c r="AA26" s="1810">
        <f t="shared" si="3"/>
        <v>1</v>
      </c>
      <c r="AB26" s="1810">
        <f t="shared" si="4"/>
        <v>1</v>
      </c>
      <c r="AC26" s="1810">
        <f t="shared" si="5"/>
        <v>1</v>
      </c>
    </row>
    <row r="27" spans="1:29" s="471" customFormat="1" ht="16">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0">
        <f t="shared" si="3"/>
        <v>1</v>
      </c>
      <c r="AB27" s="1810">
        <f t="shared" si="4"/>
        <v>1</v>
      </c>
      <c r="AC27" s="1810">
        <f t="shared" si="5"/>
        <v>1</v>
      </c>
    </row>
    <row r="28" spans="1:29" ht="16">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2"/>
      <c r="Q28" s="1809" t="str">
        <f t="shared" si="11"/>
        <v>公共部分装修</v>
      </c>
      <c r="R28" s="774" t="s">
        <v>17</v>
      </c>
      <c r="S28" s="775">
        <f t="shared" si="12"/>
        <v>100</v>
      </c>
      <c r="T28" s="774" t="s">
        <v>17</v>
      </c>
      <c r="U28" s="775">
        <f t="shared" si="13"/>
        <v>100</v>
      </c>
      <c r="V28" s="774" t="s">
        <v>17</v>
      </c>
      <c r="W28" s="775">
        <f t="shared" si="14"/>
        <v>100</v>
      </c>
      <c r="X28" s="1812"/>
      <c r="Y28" s="3272"/>
      <c r="Z28" s="1813" t="str">
        <f t="shared" si="15"/>
        <v>公共部分装修</v>
      </c>
      <c r="AA28" s="1810">
        <f t="shared" si="3"/>
        <v>1</v>
      </c>
      <c r="AB28" s="1810">
        <f t="shared" si="4"/>
        <v>1</v>
      </c>
      <c r="AC28" s="1810">
        <f t="shared" si="5"/>
        <v>1</v>
      </c>
    </row>
    <row r="29" spans="1:29" ht="16">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2"/>
      <c r="Q29" s="1809" t="str">
        <f t="shared" si="11"/>
        <v>成新率</v>
      </c>
      <c r="R29" s="774" t="s">
        <v>17</v>
      </c>
      <c r="S29" s="775" t="e">
        <f t="shared" si="12"/>
        <v>#N/A</v>
      </c>
      <c r="T29" s="774" t="s">
        <v>17</v>
      </c>
      <c r="U29" s="775" t="e">
        <f t="shared" si="13"/>
        <v>#N/A</v>
      </c>
      <c r="V29" s="774" t="s">
        <v>17</v>
      </c>
      <c r="W29" s="775" t="e">
        <f t="shared" si="14"/>
        <v>#N/A</v>
      </c>
      <c r="X29" s="1812"/>
      <c r="Y29" s="3272"/>
      <c r="Z29" s="1813" t="str">
        <f t="shared" si="15"/>
        <v>成新率</v>
      </c>
      <c r="AA29" s="1810" t="e">
        <f t="shared" si="3"/>
        <v>#N/A</v>
      </c>
      <c r="AB29" s="1810" t="e">
        <f t="shared" si="4"/>
        <v>#N/A</v>
      </c>
      <c r="AC29" s="1810" t="e">
        <f t="shared" si="5"/>
        <v>#N/A</v>
      </c>
    </row>
    <row r="30" spans="1:29" ht="16">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2"/>
      <c r="Q30" s="1809" t="str">
        <f t="shared" si="11"/>
        <v>物业等级</v>
      </c>
      <c r="R30" s="774" t="s">
        <v>17</v>
      </c>
      <c r="S30" s="775">
        <f t="shared" si="12"/>
        <v>100</v>
      </c>
      <c r="T30" s="774" t="s">
        <v>17</v>
      </c>
      <c r="U30" s="775">
        <f t="shared" si="13"/>
        <v>100</v>
      </c>
      <c r="V30" s="774" t="s">
        <v>17</v>
      </c>
      <c r="W30" s="775">
        <f t="shared" si="14"/>
        <v>100</v>
      </c>
      <c r="X30" s="1812"/>
      <c r="Y30" s="3272"/>
      <c r="Z30" s="1813" t="str">
        <f t="shared" si="15"/>
        <v>物业等级</v>
      </c>
      <c r="AA30" s="1810">
        <f t="shared" si="3"/>
        <v>1</v>
      </c>
      <c r="AB30" s="1810">
        <f t="shared" si="4"/>
        <v>1</v>
      </c>
      <c r="AC30" s="1810">
        <f t="shared" si="5"/>
        <v>1</v>
      </c>
    </row>
    <row r="31" spans="1:29" s="117" customFormat="1" ht="16">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2"/>
      <c r="Q31" s="1794"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6">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2" t="s">
        <v>2546</v>
      </c>
      <c r="Q32" s="1809" t="str">
        <f t="shared" si="11"/>
        <v>车位类型</v>
      </c>
      <c r="R32" s="774" t="s">
        <v>17</v>
      </c>
      <c r="S32" s="775">
        <f t="shared" si="12"/>
        <v>100</v>
      </c>
      <c r="T32" s="774" t="s">
        <v>17</v>
      </c>
      <c r="U32" s="775">
        <f t="shared" si="13"/>
        <v>100</v>
      </c>
      <c r="V32" s="774" t="s">
        <v>17</v>
      </c>
      <c r="W32" s="775">
        <f t="shared" si="14"/>
        <v>100</v>
      </c>
      <c r="X32" s="1812"/>
      <c r="Y32" s="3272" t="s">
        <v>2546</v>
      </c>
      <c r="Z32" s="1813" t="str">
        <f t="shared" si="15"/>
        <v>车位类型</v>
      </c>
      <c r="AA32" s="1810">
        <f t="shared" si="3"/>
        <v>1</v>
      </c>
      <c r="AB32" s="1810">
        <f t="shared" si="4"/>
        <v>1</v>
      </c>
      <c r="AC32" s="1810">
        <f t="shared" si="5"/>
        <v>1</v>
      </c>
    </row>
    <row r="33" spans="1:29" ht="16">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2"/>
      <c r="Q33" s="1809" t="str">
        <f t="shared" si="11"/>
        <v>是否直接入户</v>
      </c>
      <c r="R33" s="774" t="s">
        <v>17</v>
      </c>
      <c r="S33" s="775">
        <f t="shared" si="12"/>
        <v>100</v>
      </c>
      <c r="T33" s="774" t="s">
        <v>17</v>
      </c>
      <c r="U33" s="775">
        <f t="shared" si="13"/>
        <v>100</v>
      </c>
      <c r="V33" s="774" t="s">
        <v>17</v>
      </c>
      <c r="W33" s="775">
        <f t="shared" si="14"/>
        <v>100</v>
      </c>
      <c r="X33" s="1812"/>
      <c r="Y33" s="3272"/>
      <c r="Z33" s="1813" t="str">
        <f t="shared" si="15"/>
        <v>是否直接入户</v>
      </c>
      <c r="AA33" s="1810">
        <f t="shared" si="3"/>
        <v>1</v>
      </c>
      <c r="AB33" s="1810">
        <f t="shared" si="4"/>
        <v>1</v>
      </c>
      <c r="AC33" s="1810">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2"/>
      <c r="Q34" s="1809">
        <f t="shared" si="11"/>
        <v>111</v>
      </c>
      <c r="R34" s="774" t="s">
        <v>17</v>
      </c>
      <c r="S34" s="775">
        <f t="shared" si="12"/>
        <v>100</v>
      </c>
      <c r="T34" s="774" t="s">
        <v>17</v>
      </c>
      <c r="U34" s="775">
        <f t="shared" si="13"/>
        <v>100</v>
      </c>
      <c r="V34" s="774" t="s">
        <v>17</v>
      </c>
      <c r="W34" s="775">
        <f t="shared" si="14"/>
        <v>100</v>
      </c>
      <c r="X34" s="1812"/>
      <c r="Y34" s="3272"/>
      <c r="Z34" s="1813">
        <f t="shared" si="15"/>
        <v>111</v>
      </c>
      <c r="AA34" s="1810">
        <f t="shared" si="3"/>
        <v>1</v>
      </c>
      <c r="AB34" s="1810">
        <f t="shared" si="4"/>
        <v>1</v>
      </c>
      <c r="AC34" s="1810">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0">
        <f t="shared" si="3"/>
        <v>1</v>
      </c>
      <c r="AB35" s="1810">
        <f t="shared" si="4"/>
        <v>1</v>
      </c>
      <c r="AC35" s="1810">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2"/>
      <c r="Q36" s="1809">
        <f t="shared" si="11"/>
        <v>111</v>
      </c>
      <c r="R36" s="774" t="s">
        <v>17</v>
      </c>
      <c r="S36" s="775">
        <f t="shared" si="12"/>
        <v>100</v>
      </c>
      <c r="T36" s="774" t="s">
        <v>17</v>
      </c>
      <c r="U36" s="775">
        <f t="shared" si="13"/>
        <v>100</v>
      </c>
      <c r="V36" s="774" t="s">
        <v>17</v>
      </c>
      <c r="W36" s="775">
        <f t="shared" si="14"/>
        <v>100</v>
      </c>
      <c r="X36" s="1812"/>
      <c r="Y36" s="3272"/>
      <c r="Z36" s="1813">
        <f t="shared" si="15"/>
        <v>111</v>
      </c>
      <c r="AA36" s="1810">
        <f t="shared" si="3"/>
        <v>1</v>
      </c>
      <c r="AB36" s="1810">
        <f t="shared" si="4"/>
        <v>1</v>
      </c>
      <c r="AC36" s="1810">
        <f t="shared" si="5"/>
        <v>1</v>
      </c>
    </row>
    <row r="37" spans="1:29" ht="15">
      <c r="A37" s="479" t="s">
        <v>2701</v>
      </c>
      <c r="B37" s="2693" t="s">
        <v>2702</v>
      </c>
      <c r="C37" s="1406" t="s">
        <v>1</v>
      </c>
      <c r="D37" s="1407"/>
      <c r="E37" s="1408"/>
      <c r="F37" s="1409"/>
      <c r="G37" s="1410"/>
      <c r="H37" s="1411"/>
      <c r="I37" s="1408"/>
      <c r="J37" s="1411"/>
      <c r="K37" s="619"/>
      <c r="L37" s="1143"/>
      <c r="M37" s="1144"/>
      <c r="N37" s="1131"/>
      <c r="O37" s="1144"/>
      <c r="P37" s="3265" t="str">
        <f>A37</f>
        <v>成交单价</v>
      </c>
      <c r="Q37" s="3265"/>
      <c r="R37" s="3266">
        <f>E37</f>
        <v>0</v>
      </c>
      <c r="S37" s="3266"/>
      <c r="T37" s="3266">
        <f>G37</f>
        <v>0</v>
      </c>
      <c r="U37" s="3266"/>
      <c r="V37" s="3266">
        <f>I37</f>
        <v>0</v>
      </c>
      <c r="W37" s="3266"/>
      <c r="X37" s="759"/>
      <c r="Y37" s="781"/>
      <c r="Z37" s="759"/>
      <c r="AA37" s="759"/>
      <c r="AB37" s="759"/>
      <c r="AC37" s="759"/>
    </row>
    <row r="38" spans="1:29" ht="15" thickBot="1">
      <c r="A38" s="486" t="s">
        <v>2703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9"/>
      <c r="Y38" s="759"/>
      <c r="Z38" s="759"/>
      <c r="AA38" s="759"/>
      <c r="AB38" s="759"/>
      <c r="AC38" s="759"/>
    </row>
    <row r="39" spans="1:29" ht="15" thickBot="1">
      <c r="A39" s="492" t="s">
        <v>2704</v>
      </c>
      <c r="B39" s="493"/>
      <c r="C39" s="1416" t="e">
        <f>R39</f>
        <v>#DIV/0!</v>
      </c>
      <c r="D39" s="1416"/>
      <c r="E39" s="1416"/>
      <c r="F39" s="1416"/>
      <c r="G39" s="1416"/>
      <c r="H39" s="1416"/>
      <c r="I39" s="1416"/>
      <c r="J39" s="1416"/>
      <c r="K39" s="621"/>
      <c r="L39" s="1143"/>
      <c r="M39" s="1144"/>
      <c r="N39" s="1144"/>
      <c r="O39" s="1144"/>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 thickBot="1">
      <c r="A47" s="1423" t="s">
        <v>2708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2709</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2566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2531</v>
      </c>
      <c r="B51" s="510"/>
      <c r="C51" s="522" t="s">
        <v>2633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5">
      <c r="A53" s="527" t="s">
        <v>2569</v>
      </c>
      <c r="B53" s="528" t="s">
        <v>2535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31" thickTop="1">
      <c r="A55" s="534"/>
      <c r="B55" s="538" t="s">
        <v>2538</v>
      </c>
      <c r="C55" s="539" t="s">
        <v>2570</v>
      </c>
      <c r="D55" s="539" t="s">
        <v>2571</v>
      </c>
      <c r="E55" s="539" t="s">
        <v>2572</v>
      </c>
      <c r="F55" s="539" t="s">
        <v>2573</v>
      </c>
      <c r="G55" s="539" t="s">
        <v>2574</v>
      </c>
      <c r="H55" s="539" t="s">
        <v>2575</v>
      </c>
      <c r="I55" s="539" t="s">
        <v>2576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6" thickTop="1">
      <c r="A63" s="527" t="s">
        <v>2540</v>
      </c>
      <c r="B63" s="528" t="s">
        <v>2583</v>
      </c>
      <c r="C63" s="573" t="s">
        <v>2578</v>
      </c>
      <c r="D63" s="573" t="s">
        <v>2579</v>
      </c>
      <c r="E63" s="573" t="s">
        <v>2580</v>
      </c>
      <c r="F63" s="573" t="s">
        <v>2581</v>
      </c>
      <c r="G63" s="573" t="s">
        <v>2582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6" thickTop="1">
      <c r="A65" s="534"/>
      <c r="B65" s="538" t="s">
        <v>2584</v>
      </c>
      <c r="C65" s="578" t="s">
        <v>2578</v>
      </c>
      <c r="D65" s="578" t="s">
        <v>2579</v>
      </c>
      <c r="E65" s="578" t="s">
        <v>2580</v>
      </c>
      <c r="F65" s="578" t="s">
        <v>2581</v>
      </c>
      <c r="G65" s="578" t="s">
        <v>2582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6" thickTop="1">
      <c r="A67" s="534"/>
      <c r="B67" s="546" t="s">
        <v>2670</v>
      </c>
      <c r="C67" s="660" t="s">
        <v>2656</v>
      </c>
      <c r="D67" s="660" t="s">
        <v>2657</v>
      </c>
      <c r="E67" s="660" t="s">
        <v>2658</v>
      </c>
      <c r="F67" s="660" t="s">
        <v>2659</v>
      </c>
      <c r="G67" s="660" t="s">
        <v>2660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6" thickTop="1">
      <c r="A69" s="534"/>
      <c r="B69" s="538" t="s">
        <v>2590</v>
      </c>
      <c r="C69" s="578" t="s">
        <v>2578</v>
      </c>
      <c r="D69" s="578" t="s">
        <v>2579</v>
      </c>
      <c r="E69" s="578" t="s">
        <v>2580</v>
      </c>
      <c r="F69" s="578" t="s">
        <v>2581</v>
      </c>
      <c r="G69" s="578" t="s">
        <v>2582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6" thickTop="1">
      <c r="A71" s="534"/>
      <c r="B71" s="538" t="s">
        <v>2710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31" thickTop="1">
      <c r="A79" s="527" t="s">
        <v>2544</v>
      </c>
      <c r="B79" s="528" t="s">
        <v>2711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6" thickTop="1">
      <c r="A81" s="534"/>
      <c r="B81" s="538" t="s">
        <v>2712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6" thickTop="1">
      <c r="A83" s="599"/>
      <c r="B83" s="538" t="s">
        <v>2597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6"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6" thickTop="1">
      <c r="A88" s="599"/>
      <c r="B88" s="546" t="s">
        <v>2714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6"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6" thickTop="1">
      <c r="A93" s="599"/>
      <c r="B93" s="538" t="s">
        <v>2716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6" thickTop="1">
      <c r="A95" s="599"/>
      <c r="B95" s="538" t="s">
        <v>2717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IF(C2="——",ROUND(C37*D3/10000,0),ROUND(C37*D3/10000,0)-D2)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31" t="s">
        <v>2629</v>
      </c>
      <c r="AC4" s="3230" t="s">
        <v>2630</v>
      </c>
    </row>
    <row r="5" spans="1:29">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31"/>
      <c r="AC5" s="3231"/>
    </row>
    <row r="6" spans="1:29" ht="16" thickBot="1">
      <c r="A6" s="406"/>
      <c r="B6" s="407"/>
      <c r="C6" s="3243" t="s">
        <v>2527</v>
      </c>
      <c r="D6" s="3244"/>
      <c r="E6" s="3245" t="s">
        <v>2527</v>
      </c>
      <c r="F6" s="3246"/>
      <c r="G6" s="3243" t="s">
        <v>2527</v>
      </c>
      <c r="H6" s="3244"/>
      <c r="I6" s="3243" t="s">
        <v>2527</v>
      </c>
      <c r="J6" s="3244"/>
      <c r="K6" s="610" t="s">
        <v>2528</v>
      </c>
      <c r="L6" s="1130"/>
      <c r="M6" s="1131"/>
      <c r="N6" s="1131"/>
      <c r="O6" s="1131"/>
      <c r="P6" s="3256"/>
      <c r="Q6" s="3257"/>
      <c r="R6" s="3237"/>
      <c r="S6" s="3238"/>
      <c r="T6" s="3258"/>
      <c r="U6" s="3259"/>
      <c r="V6" s="3260"/>
      <c r="W6" s="3260"/>
      <c r="X6" s="1812"/>
      <c r="Y6" s="3258"/>
      <c r="Z6" s="3259"/>
      <c r="AA6" s="3232"/>
      <c r="AB6" s="3232"/>
      <c r="AC6" s="3232"/>
    </row>
    <row r="7" spans="1:29" s="117" customFormat="1" ht="16" thickBot="1">
      <c r="A7" s="408" t="s">
        <v>2529</v>
      </c>
      <c r="B7" s="409"/>
      <c r="C7" s="410">
        <f>'数据-取费表'!B2</f>
        <v>43906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3" t="s">
        <v>2530</v>
      </c>
      <c r="Q7" s="3261"/>
      <c r="R7" s="770" t="s">
        <v>17</v>
      </c>
      <c r="S7" s="771">
        <f t="shared" ref="S7:S14" si="0">F7</f>
        <v>0</v>
      </c>
      <c r="T7" s="770" t="s">
        <v>17</v>
      </c>
      <c r="U7" s="771">
        <f t="shared" ref="U7:U14" si="1">H7</f>
        <v>0</v>
      </c>
      <c r="V7" s="770" t="s">
        <v>17</v>
      </c>
      <c r="W7" s="771">
        <f t="shared" ref="W7:W14" si="2">J7</f>
        <v>0</v>
      </c>
      <c r="X7" s="772"/>
      <c r="Y7" s="3233" t="s">
        <v>2530</v>
      </c>
      <c r="Z7" s="3234"/>
      <c r="AA7" s="773" t="e">
        <f>D7/F7</f>
        <v>#DIV/0!</v>
      </c>
      <c r="AB7" s="773" t="e">
        <f>D7/H7</f>
        <v>#DIV/0!</v>
      </c>
      <c r="AC7" s="773" t="e">
        <f>D7/J7</f>
        <v>#DIV/0!</v>
      </c>
    </row>
    <row r="8" spans="1:29" s="117" customFormat="1" ht="16"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34" si="3">D8/F8</f>
        <v>#DIV/0!</v>
      </c>
      <c r="AB8" s="773" t="e">
        <f t="shared" ref="AB8:AB34" si="4">D8/H8</f>
        <v>#DIV/0!</v>
      </c>
      <c r="AC8" s="773" t="e">
        <f t="shared" ref="AC8:AC34" si="5">D8/J8</f>
        <v>#DIV/0!</v>
      </c>
    </row>
    <row r="9" spans="1:29" s="117" customFormat="1" ht="15">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5" t="s">
        <v>2536</v>
      </c>
      <c r="Q9" s="1794" t="str">
        <f t="shared" ref="Q9:Q14" si="6">B9</f>
        <v>用途</v>
      </c>
      <c r="R9" s="770" t="s">
        <v>17</v>
      </c>
      <c r="S9" s="771">
        <f t="shared" si="0"/>
        <v>100</v>
      </c>
      <c r="T9" s="770" t="s">
        <v>17</v>
      </c>
      <c r="U9" s="771">
        <f t="shared" si="1"/>
        <v>100</v>
      </c>
      <c r="V9" s="770" t="s">
        <v>17</v>
      </c>
      <c r="W9" s="771">
        <f t="shared" si="2"/>
        <v>100</v>
      </c>
      <c r="X9" s="772"/>
      <c r="Y9" s="3072" t="s">
        <v>2537</v>
      </c>
      <c r="Z9" s="55" t="str">
        <f t="shared" ref="Z9:Z14" si="7">Q9</f>
        <v>用途</v>
      </c>
      <c r="AA9" s="773">
        <f t="shared" si="3"/>
        <v>1</v>
      </c>
      <c r="AB9" s="773">
        <f t="shared" si="4"/>
        <v>1</v>
      </c>
      <c r="AC9" s="773">
        <f t="shared" si="5"/>
        <v>1</v>
      </c>
    </row>
    <row r="10" spans="1:29" s="427" customFormat="1" ht="30">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5"/>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6">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5"/>
      <c r="Q11" s="1794">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6">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7"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6">
      <c r="A14" s="440" t="s">
        <v>2540</v>
      </c>
      <c r="B14" s="69" t="s">
        <v>2690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7" t="s">
        <v>2541</v>
      </c>
      <c r="Q14" s="1809" t="str">
        <f t="shared" si="6"/>
        <v>交通便捷度</v>
      </c>
      <c r="R14" s="774" t="s">
        <v>17</v>
      </c>
      <c r="S14" s="775">
        <f t="shared" si="0"/>
        <v>100</v>
      </c>
      <c r="T14" s="774" t="s">
        <v>17</v>
      </c>
      <c r="U14" s="775">
        <f t="shared" si="1"/>
        <v>100</v>
      </c>
      <c r="V14" s="774" t="s">
        <v>17</v>
      </c>
      <c r="W14" s="775">
        <f t="shared" si="2"/>
        <v>100</v>
      </c>
      <c r="X14" s="1812"/>
      <c r="Y14" s="3267" t="s">
        <v>2541</v>
      </c>
      <c r="Z14" s="1813" t="str">
        <f t="shared" si="7"/>
        <v>交通便捷度</v>
      </c>
      <c r="AA14" s="1810">
        <f t="shared" si="3"/>
        <v>1</v>
      </c>
      <c r="AB14" s="1810">
        <f t="shared" si="4"/>
        <v>1</v>
      </c>
      <c r="AC14" s="1810">
        <f t="shared" si="5"/>
        <v>1</v>
      </c>
    </row>
    <row r="15" spans="1:29" ht="16">
      <c r="A15" s="428"/>
      <c r="B15" s="446"/>
      <c r="C15" s="447"/>
      <c r="D15" s="448"/>
      <c r="E15" s="447"/>
      <c r="F15" s="449"/>
      <c r="G15" s="447"/>
      <c r="H15" s="450"/>
      <c r="I15" s="447"/>
      <c r="J15" s="448"/>
      <c r="K15" s="615"/>
      <c r="L15" s="1140"/>
      <c r="M15" s="1131"/>
      <c r="N15" s="1131"/>
      <c r="O15" s="1139"/>
      <c r="P15" s="3268"/>
      <c r="Q15" s="1809"/>
      <c r="R15" s="774"/>
      <c r="S15" s="775"/>
      <c r="T15" s="774"/>
      <c r="U15" s="775"/>
      <c r="V15" s="774"/>
      <c r="W15" s="775"/>
      <c r="X15" s="1812"/>
      <c r="Y15" s="3268"/>
      <c r="Z15" s="1813"/>
      <c r="AA15" s="1810">
        <v>1</v>
      </c>
      <c r="AB15" s="1810">
        <v>1</v>
      </c>
      <c r="AC15" s="1810">
        <v>1</v>
      </c>
    </row>
    <row r="16" spans="1:29" ht="16">
      <c r="A16" s="428"/>
      <c r="B16" s="451" t="s">
        <v>2669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8"/>
      <c r="Q16" s="1809" t="str">
        <f>B16</f>
        <v>公共配套设施</v>
      </c>
      <c r="R16" s="774" t="s">
        <v>17</v>
      </c>
      <c r="S16" s="775">
        <f>F16</f>
        <v>100</v>
      </c>
      <c r="T16" s="774" t="s">
        <v>17</v>
      </c>
      <c r="U16" s="775">
        <f>H16</f>
        <v>100</v>
      </c>
      <c r="V16" s="774" t="s">
        <v>17</v>
      </c>
      <c r="W16" s="775">
        <f>J16</f>
        <v>100</v>
      </c>
      <c r="X16" s="1812"/>
      <c r="Y16" s="3268"/>
      <c r="Z16" s="1813" t="str">
        <f>Q16</f>
        <v>公共配套设施</v>
      </c>
      <c r="AA16" s="1810">
        <f t="shared" si="3"/>
        <v>1</v>
      </c>
      <c r="AB16" s="1810">
        <f t="shared" si="4"/>
        <v>1</v>
      </c>
      <c r="AC16" s="1810">
        <f t="shared" si="5"/>
        <v>1</v>
      </c>
    </row>
    <row r="17" spans="1:29" ht="16">
      <c r="A17" s="428"/>
      <c r="B17" s="456"/>
      <c r="C17" s="2606"/>
      <c r="D17" s="448"/>
      <c r="E17" s="447"/>
      <c r="F17" s="449"/>
      <c r="G17" s="447"/>
      <c r="H17" s="448"/>
      <c r="I17" s="447"/>
      <c r="J17" s="448"/>
      <c r="K17" s="615"/>
      <c r="L17" s="1140"/>
      <c r="M17" s="1131"/>
      <c r="N17" s="1131"/>
      <c r="O17" s="1139"/>
      <c r="P17" s="3268"/>
      <c r="Q17" s="1809"/>
      <c r="R17" s="774"/>
      <c r="S17" s="775"/>
      <c r="T17" s="774"/>
      <c r="U17" s="775"/>
      <c r="V17" s="774"/>
      <c r="W17" s="775"/>
      <c r="X17" s="1812"/>
      <c r="Y17" s="3268"/>
      <c r="Z17" s="1813"/>
      <c r="AA17" s="1810">
        <v>1</v>
      </c>
      <c r="AB17" s="1810">
        <v>1</v>
      </c>
      <c r="AC17" s="1810">
        <v>1</v>
      </c>
    </row>
    <row r="18" spans="1:29" ht="16">
      <c r="A18" s="428"/>
      <c r="B18" s="1383" t="s">
        <v>2670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8"/>
      <c r="Q18" s="1809" t="str">
        <f>B18</f>
        <v>基础设施水平</v>
      </c>
      <c r="R18" s="774" t="s">
        <v>17</v>
      </c>
      <c r="S18" s="775">
        <f>F18</f>
        <v>100</v>
      </c>
      <c r="T18" s="774" t="s">
        <v>17</v>
      </c>
      <c r="U18" s="775">
        <f>H18</f>
        <v>100</v>
      </c>
      <c r="V18" s="774" t="s">
        <v>17</v>
      </c>
      <c r="W18" s="775">
        <f>J18</f>
        <v>100</v>
      </c>
      <c r="X18" s="1812"/>
      <c r="Y18" s="3268"/>
      <c r="Z18" s="1813" t="str">
        <f>Q18</f>
        <v>基础设施水平</v>
      </c>
      <c r="AA18" s="1810">
        <f t="shared" ref="AA18" si="8">D18/F18</f>
        <v>1</v>
      </c>
      <c r="AB18" s="1810">
        <f t="shared" ref="AB18" si="9">D18/H18</f>
        <v>1</v>
      </c>
      <c r="AC18" s="1810">
        <f t="shared" ref="AC18" si="10">D18/J18</f>
        <v>1</v>
      </c>
    </row>
    <row r="19" spans="1:29" ht="16">
      <c r="A19" s="428"/>
      <c r="B19" s="1383"/>
      <c r="C19" s="2606"/>
      <c r="D19" s="450"/>
      <c r="E19" s="2606"/>
      <c r="F19" s="453"/>
      <c r="G19" s="2606"/>
      <c r="H19" s="448"/>
      <c r="I19" s="447"/>
      <c r="J19" s="448"/>
      <c r="K19" s="1382"/>
      <c r="L19" s="1140"/>
      <c r="M19" s="1131"/>
      <c r="N19" s="1131"/>
      <c r="O19" s="1139"/>
      <c r="P19" s="3268"/>
      <c r="Q19" s="1809"/>
      <c r="R19" s="774"/>
      <c r="S19" s="775"/>
      <c r="T19" s="774"/>
      <c r="U19" s="775"/>
      <c r="V19" s="774"/>
      <c r="W19" s="775"/>
      <c r="X19" s="1812"/>
      <c r="Y19" s="3268"/>
      <c r="Z19" s="1813"/>
      <c r="AA19" s="1810">
        <v>1</v>
      </c>
      <c r="AB19" s="1810">
        <v>1</v>
      </c>
      <c r="AC19" s="1810">
        <v>1</v>
      </c>
    </row>
    <row r="20" spans="1:29" ht="16">
      <c r="A20" s="428"/>
      <c r="B20" s="451" t="s">
        <v>2691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8"/>
      <c r="Q20" s="1809" t="str">
        <f>B20</f>
        <v>自然及人文环境</v>
      </c>
      <c r="R20" s="774" t="s">
        <v>17</v>
      </c>
      <c r="S20" s="775">
        <f>F20</f>
        <v>100</v>
      </c>
      <c r="T20" s="774" t="s">
        <v>17</v>
      </c>
      <c r="U20" s="775">
        <f>H20</f>
        <v>100</v>
      </c>
      <c r="V20" s="774" t="s">
        <v>17</v>
      </c>
      <c r="W20" s="775">
        <f>J20</f>
        <v>100</v>
      </c>
      <c r="X20" s="1812"/>
      <c r="Y20" s="3268"/>
      <c r="Z20" s="1813" t="str">
        <f>Q20</f>
        <v>自然及人文环境</v>
      </c>
      <c r="AA20" s="1810">
        <f t="shared" si="3"/>
        <v>1</v>
      </c>
      <c r="AB20" s="1810">
        <f t="shared" si="4"/>
        <v>1</v>
      </c>
      <c r="AC20" s="1810">
        <f t="shared" si="5"/>
        <v>1</v>
      </c>
    </row>
    <row r="21" spans="1:29" ht="16">
      <c r="A21" s="428"/>
      <c r="B21" s="456"/>
      <c r="C21" s="447"/>
      <c r="D21" s="448"/>
      <c r="E21" s="447"/>
      <c r="F21" s="449"/>
      <c r="G21" s="447"/>
      <c r="H21" s="448"/>
      <c r="I21" s="447"/>
      <c r="J21" s="448"/>
      <c r="K21" s="615"/>
      <c r="L21" s="1140"/>
      <c r="M21" s="1131"/>
      <c r="N21" s="1131"/>
      <c r="O21" s="1139"/>
      <c r="P21" s="3268"/>
      <c r="Q21" s="1809"/>
      <c r="R21" s="774"/>
      <c r="S21" s="775"/>
      <c r="T21" s="774"/>
      <c r="U21" s="775"/>
      <c r="V21" s="774"/>
      <c r="W21" s="775"/>
      <c r="X21" s="1812"/>
      <c r="Y21" s="3268"/>
      <c r="Z21" s="1813"/>
      <c r="AA21" s="1810">
        <v>1</v>
      </c>
      <c r="AB21" s="1810">
        <v>1</v>
      </c>
      <c r="AC21" s="1810">
        <v>1</v>
      </c>
    </row>
    <row r="22" spans="1:29" ht="16">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8"/>
      <c r="Q22" s="1809" t="str">
        <f>B22</f>
        <v>楼层</v>
      </c>
      <c r="R22" s="774" t="s">
        <v>17</v>
      </c>
      <c r="S22" s="775">
        <f>F22</f>
        <v>100</v>
      </c>
      <c r="T22" s="774" t="s">
        <v>17</v>
      </c>
      <c r="U22" s="775">
        <f>H22</f>
        <v>100</v>
      </c>
      <c r="V22" s="774" t="s">
        <v>17</v>
      </c>
      <c r="W22" s="775">
        <f>J22</f>
        <v>100</v>
      </c>
      <c r="X22" s="1812"/>
      <c r="Y22" s="3268"/>
      <c r="Z22" s="1813" t="str">
        <f>Q22</f>
        <v>楼层</v>
      </c>
      <c r="AA22" s="1810">
        <f t="shared" si="3"/>
        <v>1</v>
      </c>
      <c r="AB22" s="1810">
        <f t="shared" si="4"/>
        <v>1</v>
      </c>
      <c r="AC22" s="1810">
        <f t="shared" si="5"/>
        <v>1</v>
      </c>
    </row>
    <row r="23" spans="1:29" ht="16">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8"/>
      <c r="Q23" s="1809">
        <f>B23</f>
        <v>111</v>
      </c>
      <c r="R23" s="774" t="s">
        <v>17</v>
      </c>
      <c r="S23" s="775">
        <f>F23</f>
        <v>100</v>
      </c>
      <c r="T23" s="774" t="s">
        <v>17</v>
      </c>
      <c r="U23" s="775">
        <f>H23</f>
        <v>100</v>
      </c>
      <c r="V23" s="774" t="s">
        <v>17</v>
      </c>
      <c r="W23" s="775">
        <f>J23</f>
        <v>100</v>
      </c>
      <c r="X23" s="1812"/>
      <c r="Y23" s="3268"/>
      <c r="Z23" s="1813">
        <f>Q23</f>
        <v>111</v>
      </c>
      <c r="AA23" s="1810">
        <f t="shared" si="3"/>
        <v>1</v>
      </c>
      <c r="AB23" s="1810">
        <f t="shared" si="4"/>
        <v>1</v>
      </c>
      <c r="AC23" s="1810">
        <f t="shared" si="5"/>
        <v>1</v>
      </c>
    </row>
    <row r="24" spans="1:29" ht="16">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8"/>
      <c r="Q24" s="1809">
        <f t="shared" ref="Q24:Q34" si="11">B24</f>
        <v>111</v>
      </c>
      <c r="R24" s="774" t="s">
        <v>17</v>
      </c>
      <c r="S24" s="775">
        <f>F24</f>
        <v>100</v>
      </c>
      <c r="T24" s="774" t="s">
        <v>17</v>
      </c>
      <c r="U24" s="775">
        <f>H24</f>
        <v>100</v>
      </c>
      <c r="V24" s="774" t="s">
        <v>17</v>
      </c>
      <c r="W24" s="775">
        <f>J24</f>
        <v>100</v>
      </c>
      <c r="X24" s="1812"/>
      <c r="Y24" s="3268"/>
      <c r="Z24" s="1813">
        <f>Q24</f>
        <v>111</v>
      </c>
      <c r="AA24" s="1810">
        <f t="shared" si="3"/>
        <v>1</v>
      </c>
      <c r="AB24" s="1810">
        <f t="shared" si="4"/>
        <v>1</v>
      </c>
      <c r="AC24" s="1810">
        <f t="shared" si="5"/>
        <v>1</v>
      </c>
    </row>
    <row r="25" spans="1:29" s="117" customFormat="1" ht="17"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68"/>
      <c r="Q25" s="1794">
        <f t="shared" si="11"/>
        <v>111</v>
      </c>
      <c r="R25" s="770" t="s">
        <v>17</v>
      </c>
      <c r="S25" s="771">
        <f>F25</f>
        <v>100</v>
      </c>
      <c r="T25" s="770" t="s">
        <v>17</v>
      </c>
      <c r="U25" s="771">
        <f>H25</f>
        <v>100</v>
      </c>
      <c r="V25" s="770" t="s">
        <v>17</v>
      </c>
      <c r="W25" s="771">
        <f>J25</f>
        <v>100</v>
      </c>
      <c r="X25" s="772"/>
      <c r="Y25" s="3268"/>
      <c r="Z25" s="55">
        <f>Q25</f>
        <v>111</v>
      </c>
      <c r="AA25" s="1810">
        <f>D25/F25</f>
        <v>1</v>
      </c>
      <c r="AB25" s="1810">
        <f>D25/H25</f>
        <v>1</v>
      </c>
      <c r="AC25" s="1810">
        <f>D25/J25</f>
        <v>1</v>
      </c>
    </row>
    <row r="26" spans="1:29" ht="32">
      <c r="A26" s="466" t="s">
        <v>2544</v>
      </c>
      <c r="B26" s="71" t="s">
        <v>2695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91" t="s">
        <v>2546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2" t="s">
        <v>2546</v>
      </c>
      <c r="Z26" s="1813" t="str">
        <f t="shared" ref="Z26:Z34" si="15">Q26</f>
        <v>公共部分装修</v>
      </c>
      <c r="AA26" s="1810">
        <f t="shared" si="3"/>
        <v>1</v>
      </c>
      <c r="AB26" s="1810">
        <f t="shared" si="4"/>
        <v>1</v>
      </c>
      <c r="AC26" s="1810">
        <f t="shared" si="5"/>
        <v>1</v>
      </c>
    </row>
    <row r="27" spans="1:29" s="471" customFormat="1" ht="16">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0" t="e">
        <f t="shared" si="3"/>
        <v>#N/A</v>
      </c>
      <c r="AB27" s="1810" t="e">
        <f t="shared" si="4"/>
        <v>#N/A</v>
      </c>
      <c r="AC27" s="1810" t="e">
        <f t="shared" si="5"/>
        <v>#N/A</v>
      </c>
    </row>
    <row r="28" spans="1:29" ht="16">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2"/>
      <c r="Q28" s="1809" t="str">
        <f t="shared" si="11"/>
        <v>物业等级</v>
      </c>
      <c r="R28" s="774" t="s">
        <v>17</v>
      </c>
      <c r="S28" s="775">
        <f t="shared" si="12"/>
        <v>100</v>
      </c>
      <c r="T28" s="774" t="s">
        <v>17</v>
      </c>
      <c r="U28" s="775">
        <f t="shared" si="13"/>
        <v>100</v>
      </c>
      <c r="V28" s="774" t="s">
        <v>17</v>
      </c>
      <c r="W28" s="775">
        <f t="shared" si="14"/>
        <v>100</v>
      </c>
      <c r="X28" s="1812"/>
      <c r="Y28" s="3272"/>
      <c r="Z28" s="1813" t="str">
        <f t="shared" si="15"/>
        <v>物业等级</v>
      </c>
      <c r="AA28" s="1810">
        <f t="shared" si="3"/>
        <v>1</v>
      </c>
      <c r="AB28" s="1810">
        <f t="shared" si="4"/>
        <v>1</v>
      </c>
      <c r="AC28" s="1810">
        <f t="shared" si="5"/>
        <v>1</v>
      </c>
    </row>
    <row r="29" spans="1:29" ht="16">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2"/>
      <c r="Q29" s="1809" t="str">
        <f t="shared" si="11"/>
        <v>有无电梯</v>
      </c>
      <c r="R29" s="774" t="s">
        <v>17</v>
      </c>
      <c r="S29" s="775">
        <f t="shared" si="12"/>
        <v>100</v>
      </c>
      <c r="T29" s="774" t="s">
        <v>17</v>
      </c>
      <c r="U29" s="775">
        <f t="shared" si="13"/>
        <v>100</v>
      </c>
      <c r="V29" s="774" t="s">
        <v>17</v>
      </c>
      <c r="W29" s="775">
        <f t="shared" si="14"/>
        <v>100</v>
      </c>
      <c r="X29" s="1812"/>
      <c r="Y29" s="3272"/>
      <c r="Z29" s="1813" t="str">
        <f t="shared" si="15"/>
        <v>有无电梯</v>
      </c>
      <c r="AA29" s="1810">
        <f t="shared" si="3"/>
        <v>1</v>
      </c>
      <c r="AB29" s="1810">
        <f t="shared" si="4"/>
        <v>1</v>
      </c>
      <c r="AC29" s="1810">
        <f t="shared" si="5"/>
        <v>1</v>
      </c>
    </row>
    <row r="30" spans="1:29" ht="16">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2"/>
      <c r="Q30" s="1809" t="str">
        <f t="shared" si="11"/>
        <v>建筑面积</v>
      </c>
      <c r="R30" s="774" t="s">
        <v>17</v>
      </c>
      <c r="S30" s="775" t="e">
        <f t="shared" si="12"/>
        <v>#N/A</v>
      </c>
      <c r="T30" s="774" t="s">
        <v>17</v>
      </c>
      <c r="U30" s="775" t="e">
        <f t="shared" si="13"/>
        <v>#N/A</v>
      </c>
      <c r="V30" s="774" t="s">
        <v>17</v>
      </c>
      <c r="W30" s="775" t="e">
        <f t="shared" si="14"/>
        <v>#N/A</v>
      </c>
      <c r="X30" s="1812"/>
      <c r="Y30" s="3272"/>
      <c r="Z30" s="1813" t="str">
        <f t="shared" si="15"/>
        <v>建筑面积</v>
      </c>
      <c r="AA30" s="1810" t="e">
        <f t="shared" si="3"/>
        <v>#N/A</v>
      </c>
      <c r="AB30" s="1810" t="e">
        <f t="shared" si="4"/>
        <v>#N/A</v>
      </c>
      <c r="AC30" s="1810" t="e">
        <f t="shared" si="5"/>
        <v>#N/A</v>
      </c>
    </row>
    <row r="31" spans="1:29" s="117" customFormat="1" ht="16">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2"/>
      <c r="Q31" s="1794"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6">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2" t="s">
        <v>2546</v>
      </c>
      <c r="Q32" s="1809">
        <f t="shared" si="11"/>
        <v>111</v>
      </c>
      <c r="R32" s="774" t="s">
        <v>17</v>
      </c>
      <c r="S32" s="775">
        <f t="shared" si="12"/>
        <v>100</v>
      </c>
      <c r="T32" s="774" t="s">
        <v>17</v>
      </c>
      <c r="U32" s="775">
        <f t="shared" si="13"/>
        <v>100</v>
      </c>
      <c r="V32" s="774" t="s">
        <v>17</v>
      </c>
      <c r="W32" s="775">
        <f t="shared" si="14"/>
        <v>100</v>
      </c>
      <c r="X32" s="1812"/>
      <c r="Y32" s="3272" t="s">
        <v>2546</v>
      </c>
      <c r="Z32" s="1813">
        <f t="shared" si="15"/>
        <v>111</v>
      </c>
      <c r="AA32" s="1810">
        <f t="shared" si="3"/>
        <v>1</v>
      </c>
      <c r="AB32" s="1810">
        <f t="shared" si="4"/>
        <v>1</v>
      </c>
      <c r="AC32" s="1810">
        <f t="shared" si="5"/>
        <v>1</v>
      </c>
    </row>
    <row r="33" spans="1:29" ht="16">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2"/>
      <c r="Q33" s="1809">
        <f t="shared" si="11"/>
        <v>111</v>
      </c>
      <c r="R33" s="774" t="s">
        <v>17</v>
      </c>
      <c r="S33" s="775">
        <f t="shared" si="12"/>
        <v>100</v>
      </c>
      <c r="T33" s="774" t="s">
        <v>17</v>
      </c>
      <c r="U33" s="775">
        <f t="shared" si="13"/>
        <v>100</v>
      </c>
      <c r="V33" s="774" t="s">
        <v>17</v>
      </c>
      <c r="W33" s="775">
        <f t="shared" si="14"/>
        <v>100</v>
      </c>
      <c r="X33" s="1812"/>
      <c r="Y33" s="3272"/>
      <c r="Z33" s="1813">
        <f t="shared" si="15"/>
        <v>111</v>
      </c>
      <c r="AA33" s="1810">
        <f t="shared" si="3"/>
        <v>1</v>
      </c>
      <c r="AB33" s="1810">
        <f t="shared" si="4"/>
        <v>1</v>
      </c>
      <c r="AC33" s="1810">
        <f t="shared" si="5"/>
        <v>1</v>
      </c>
    </row>
    <row r="34" spans="1:29" ht="17"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72"/>
      <c r="Q34" s="1809">
        <f t="shared" si="11"/>
        <v>111</v>
      </c>
      <c r="R34" s="774" t="s">
        <v>17</v>
      </c>
      <c r="S34" s="775">
        <f t="shared" si="12"/>
        <v>100</v>
      </c>
      <c r="T34" s="774" t="s">
        <v>17</v>
      </c>
      <c r="U34" s="775">
        <f t="shared" si="13"/>
        <v>100</v>
      </c>
      <c r="V34" s="774" t="s">
        <v>17</v>
      </c>
      <c r="W34" s="775">
        <f t="shared" si="14"/>
        <v>100</v>
      </c>
      <c r="X34" s="1812"/>
      <c r="Y34" s="3272"/>
      <c r="Z34" s="1813">
        <f t="shared" si="15"/>
        <v>111</v>
      </c>
      <c r="AA34" s="1810">
        <f t="shared" si="3"/>
        <v>1</v>
      </c>
      <c r="AB34" s="1810">
        <f t="shared" si="4"/>
        <v>1</v>
      </c>
      <c r="AC34" s="1810">
        <f t="shared" si="5"/>
        <v>1</v>
      </c>
    </row>
    <row r="35" spans="1:29" ht="15">
      <c r="A35" s="479" t="s">
        <v>2558</v>
      </c>
      <c r="B35" s="480"/>
      <c r="C35" s="1406" t="s">
        <v>1</v>
      </c>
      <c r="D35" s="1407"/>
      <c r="E35" s="1408"/>
      <c r="F35" s="1409"/>
      <c r="G35" s="1410"/>
      <c r="H35" s="1411"/>
      <c r="I35" s="1408"/>
      <c r="J35" s="1411"/>
      <c r="K35" s="783"/>
      <c r="L35" s="1143"/>
      <c r="M35" s="1144"/>
      <c r="N35" s="1131"/>
      <c r="O35" s="1144"/>
      <c r="P35" s="3265" t="str">
        <f>A35</f>
        <v>成交单价（元/平方米）</v>
      </c>
      <c r="Q35" s="3265"/>
      <c r="R35" s="3266">
        <f>E35</f>
        <v>0</v>
      </c>
      <c r="S35" s="3266"/>
      <c r="T35" s="3266">
        <f>G35</f>
        <v>0</v>
      </c>
      <c r="U35" s="3266"/>
      <c r="V35" s="3266">
        <f>I35</f>
        <v>0</v>
      </c>
      <c r="W35" s="3266"/>
      <c r="X35" s="759"/>
      <c r="Y35" s="781"/>
      <c r="Z35" s="759"/>
      <c r="AA35" s="759"/>
      <c r="AB35" s="759"/>
      <c r="AC35" s="759"/>
    </row>
    <row r="36" spans="1:29" ht="15" thickBot="1">
      <c r="A36" s="486" t="s">
        <v>2650</v>
      </c>
      <c r="B36" s="487"/>
      <c r="C36" s="1412" t="e">
        <f>R37</f>
        <v>#DIV/0!</v>
      </c>
      <c r="D36" s="1413"/>
      <c r="E36" s="1414" t="e">
        <f>R36</f>
        <v>#DIV/0!</v>
      </c>
      <c r="F36" s="1414"/>
      <c r="G36" s="1412" t="e">
        <f>T36</f>
        <v>#DIV/0!</v>
      </c>
      <c r="H36" s="1413"/>
      <c r="I36" s="1414" t="e">
        <f>V36</f>
        <v>#DIV/0!</v>
      </c>
      <c r="J36" s="1413"/>
      <c r="K36" s="784"/>
      <c r="L36" s="1143"/>
      <c r="M36" s="1144"/>
      <c r="N36" s="1131"/>
      <c r="O36" s="1144"/>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9"/>
      <c r="Y36" s="759"/>
      <c r="Z36" s="759"/>
      <c r="AA36" s="759"/>
      <c r="AB36" s="759"/>
      <c r="AC36" s="759"/>
    </row>
    <row r="37" spans="1:29" ht="15" thickBot="1">
      <c r="A37" s="492" t="s">
        <v>2651</v>
      </c>
      <c r="B37" s="493"/>
      <c r="C37" s="1416" t="e">
        <f>R37</f>
        <v>#DIV/0!</v>
      </c>
      <c r="D37" s="1416"/>
      <c r="E37" s="1416"/>
      <c r="F37" s="1416"/>
      <c r="G37" s="1416"/>
      <c r="H37" s="1416"/>
      <c r="I37" s="1416"/>
      <c r="J37" s="1416"/>
      <c r="K37" s="785"/>
      <c r="L37" s="1143"/>
      <c r="M37" s="1144"/>
      <c r="N37" s="1144"/>
      <c r="O37" s="1144"/>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 thickBot="1">
      <c r="A45" s="763" t="s">
        <v>2655</v>
      </c>
      <c r="B45" s="759"/>
      <c r="C45" s="764"/>
      <c r="D45" s="764"/>
      <c r="E45" s="764"/>
      <c r="F45" s="765"/>
      <c r="G45" s="765"/>
      <c r="H45" s="764"/>
      <c r="I45" s="764"/>
      <c r="J45" s="764"/>
      <c r="K45" s="766"/>
      <c r="L45" s="767"/>
      <c r="M45" s="764"/>
      <c r="N45" s="764"/>
      <c r="O45" s="764"/>
      <c r="P45" s="503"/>
      <c r="Q45" s="504"/>
    </row>
    <row r="46" spans="1:29" s="508" customFormat="1" ht="15">
      <c r="A46" s="505" t="s">
        <v>2529</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1"/>
      <c r="O49" s="1151"/>
      <c r="P49" s="526"/>
      <c r="Q49" s="504"/>
    </row>
    <row r="50" spans="1:17" s="117" customFormat="1" ht="15" thickBot="1">
      <c r="A50" s="521"/>
      <c r="B50" s="510"/>
      <c r="C50" s="639">
        <v>100</v>
      </c>
      <c r="D50" s="512"/>
      <c r="E50" s="512"/>
      <c r="F50" s="512"/>
      <c r="G50" s="512"/>
      <c r="H50" s="512"/>
      <c r="I50" s="512"/>
      <c r="J50" s="512"/>
      <c r="K50" s="512"/>
      <c r="L50" s="512"/>
      <c r="M50" s="514"/>
      <c r="N50" s="1151"/>
      <c r="O50" s="1151"/>
      <c r="P50" s="504"/>
      <c r="Q50" s="504"/>
    </row>
    <row r="51" spans="1:17" ht="15">
      <c r="A51" s="527" t="s">
        <v>2569</v>
      </c>
      <c r="B51" s="528" t="s">
        <v>2535</v>
      </c>
      <c r="C51" s="529">
        <f>C9</f>
        <v>0</v>
      </c>
      <c r="D51" s="530"/>
      <c r="E51" s="530"/>
      <c r="F51" s="530"/>
      <c r="G51" s="530"/>
      <c r="H51" s="530"/>
      <c r="I51" s="530"/>
      <c r="J51" s="530"/>
      <c r="K51" s="531"/>
      <c r="L51" s="532"/>
      <c r="M51" s="533"/>
      <c r="N51" s="1152"/>
      <c r="O51" s="1152"/>
      <c r="P51" s="45"/>
      <c r="Q51" s="504"/>
    </row>
    <row r="52" spans="1:17" ht="15" thickBot="1">
      <c r="A52" s="534"/>
      <c r="B52" s="535"/>
      <c r="C52" s="536">
        <v>100</v>
      </c>
      <c r="D52" s="536"/>
      <c r="E52" s="536"/>
      <c r="F52" s="536"/>
      <c r="G52" s="536"/>
      <c r="H52" s="536"/>
      <c r="I52" s="536"/>
      <c r="J52" s="536"/>
      <c r="K52" s="536"/>
      <c r="L52" s="536"/>
      <c r="M52" s="537"/>
      <c r="N52" s="1153"/>
      <c r="O52" s="1153"/>
      <c r="P52" s="45"/>
      <c r="Q52" s="504"/>
    </row>
    <row r="53" spans="1:17" ht="31" thickTop="1">
      <c r="A53" s="534"/>
      <c r="B53" s="538" t="s">
        <v>2538</v>
      </c>
      <c r="C53" s="539" t="s">
        <v>2570</v>
      </c>
      <c r="D53" s="539" t="s">
        <v>2571</v>
      </c>
      <c r="E53" s="539" t="s">
        <v>2572</v>
      </c>
      <c r="F53" s="539" t="s">
        <v>2573</v>
      </c>
      <c r="G53" s="539" t="s">
        <v>2574</v>
      </c>
      <c r="H53" s="539" t="s">
        <v>2575</v>
      </c>
      <c r="I53" s="539" t="s">
        <v>2576</v>
      </c>
      <c r="J53" s="539"/>
      <c r="K53" s="540"/>
      <c r="L53" s="541"/>
      <c r="M53" s="542"/>
      <c r="N53" s="1152"/>
      <c r="O53" s="1152"/>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 thickTop="1">
      <c r="A55" s="534"/>
      <c r="B55" s="660">
        <f>B11</f>
        <v>111</v>
      </c>
      <c r="C55" s="549"/>
      <c r="D55" s="549"/>
      <c r="E55" s="549"/>
      <c r="F55" s="549"/>
      <c r="G55" s="549"/>
      <c r="H55" s="549"/>
      <c r="I55" s="549"/>
      <c r="J55" s="549"/>
      <c r="K55" s="550"/>
      <c r="L55" s="551"/>
      <c r="M55" s="552"/>
      <c r="N55" s="1152"/>
      <c r="O55" s="1152"/>
      <c r="P55" s="45"/>
      <c r="Q55" s="504"/>
    </row>
    <row r="56" spans="1:17" ht="15" thickBot="1">
      <c r="A56" s="534"/>
      <c r="B56" s="535"/>
      <c r="C56" s="560"/>
      <c r="D56" s="536"/>
      <c r="E56" s="536"/>
      <c r="F56" s="536"/>
      <c r="G56" s="536"/>
      <c r="H56" s="536"/>
      <c r="I56" s="536"/>
      <c r="J56" s="536"/>
      <c r="K56" s="536"/>
      <c r="L56" s="536"/>
      <c r="M56" s="537"/>
      <c r="N56" s="1153"/>
      <c r="O56" s="1153"/>
      <c r="P56" s="45"/>
      <c r="Q56" s="504"/>
    </row>
    <row r="57" spans="1:17" s="471" customFormat="1" ht="15" thickTop="1">
      <c r="A57" s="553"/>
      <c r="B57" s="538">
        <f>B12</f>
        <v>111</v>
      </c>
      <c r="C57" s="549"/>
      <c r="D57" s="549"/>
      <c r="E57" s="549"/>
      <c r="F57" s="549"/>
      <c r="G57" s="554"/>
      <c r="H57" s="555"/>
      <c r="I57" s="555"/>
      <c r="J57" s="555"/>
      <c r="K57" s="555"/>
      <c r="L57" s="556"/>
      <c r="M57" s="557"/>
      <c r="N57" s="1154"/>
      <c r="O57" s="1154"/>
      <c r="P57" s="558"/>
      <c r="Q57" s="559"/>
    </row>
    <row r="58" spans="1:17" s="471" customFormat="1" ht="15" thickBot="1">
      <c r="A58" s="553"/>
      <c r="B58" s="543"/>
      <c r="C58" s="560"/>
      <c r="D58" s="536"/>
      <c r="E58" s="536"/>
      <c r="F58" s="536"/>
      <c r="G58" s="536"/>
      <c r="H58" s="536"/>
      <c r="I58" s="536"/>
      <c r="J58" s="536"/>
      <c r="K58" s="536"/>
      <c r="L58" s="536"/>
      <c r="M58" s="537"/>
      <c r="N58" s="1153"/>
      <c r="O58" s="1153"/>
      <c r="P58" s="558"/>
      <c r="Q58" s="559"/>
    </row>
    <row r="59" spans="1:17" s="471" customFormat="1" ht="15" thickTop="1">
      <c r="A59" s="553"/>
      <c r="B59" s="538">
        <f>B13</f>
        <v>111</v>
      </c>
      <c r="C59" s="549"/>
      <c r="D59" s="549"/>
      <c r="E59" s="549"/>
      <c r="F59" s="549"/>
      <c r="G59" s="554"/>
      <c r="H59" s="555"/>
      <c r="I59" s="555"/>
      <c r="J59" s="555"/>
      <c r="K59" s="555"/>
      <c r="L59" s="556"/>
      <c r="M59" s="557"/>
      <c r="N59" s="1154"/>
      <c r="O59" s="1154"/>
      <c r="P59" s="470"/>
      <c r="Q59" s="561"/>
    </row>
    <row r="60" spans="1:17" s="471" customFormat="1" ht="15" thickBot="1">
      <c r="A60" s="553"/>
      <c r="B60" s="543"/>
      <c r="C60" s="560"/>
      <c r="D60" s="560"/>
      <c r="E60" s="560"/>
      <c r="F60" s="560"/>
      <c r="G60" s="560"/>
      <c r="H60" s="562"/>
      <c r="I60" s="562"/>
      <c r="J60" s="562"/>
      <c r="K60" s="562"/>
      <c r="L60" s="562"/>
      <c r="M60" s="563"/>
      <c r="N60" s="1154"/>
      <c r="O60" s="1154"/>
      <c r="P60" s="558"/>
      <c r="Q60" s="559"/>
    </row>
    <row r="61" spans="1:17" ht="16" thickTop="1">
      <c r="A61" s="527" t="s">
        <v>2540</v>
      </c>
      <c r="B61" s="528" t="s">
        <v>2583</v>
      </c>
      <c r="C61" s="573" t="s">
        <v>2578</v>
      </c>
      <c r="D61" s="573" t="s">
        <v>2579</v>
      </c>
      <c r="E61" s="573" t="s">
        <v>2580</v>
      </c>
      <c r="F61" s="573" t="s">
        <v>2581</v>
      </c>
      <c r="G61" s="573" t="s">
        <v>2582</v>
      </c>
      <c r="H61" s="529"/>
      <c r="I61" s="529"/>
      <c r="J61" s="529"/>
      <c r="K61" s="574"/>
      <c r="L61" s="575"/>
      <c r="M61" s="576"/>
      <c r="N61" s="1152"/>
      <c r="O61" s="1152"/>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31" thickTop="1">
      <c r="A63" s="534"/>
      <c r="B63" s="538" t="s">
        <v>2721</v>
      </c>
      <c r="C63" s="578" t="s">
        <v>2578</v>
      </c>
      <c r="D63" s="578" t="s">
        <v>2579</v>
      </c>
      <c r="E63" s="578" t="s">
        <v>2580</v>
      </c>
      <c r="F63" s="578" t="s">
        <v>2581</v>
      </c>
      <c r="G63" s="578" t="s">
        <v>2582</v>
      </c>
      <c r="H63" s="539"/>
      <c r="I63" s="539"/>
      <c r="J63" s="539"/>
      <c r="K63" s="540"/>
      <c r="L63" s="541"/>
      <c r="M63" s="542"/>
      <c r="N63" s="1152"/>
      <c r="O63" s="1152"/>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6" thickTop="1">
      <c r="A65" s="534"/>
      <c r="B65" s="546" t="s">
        <v>2670</v>
      </c>
      <c r="C65" s="660" t="s">
        <v>2656</v>
      </c>
      <c r="D65" s="660" t="s">
        <v>2657</v>
      </c>
      <c r="E65" s="660" t="s">
        <v>2658</v>
      </c>
      <c r="F65" s="660" t="s">
        <v>2659</v>
      </c>
      <c r="G65" s="660" t="s">
        <v>2660</v>
      </c>
      <c r="H65" s="539"/>
      <c r="I65" s="539"/>
      <c r="J65" s="539"/>
      <c r="K65" s="539"/>
      <c r="L65" s="539"/>
      <c r="M65" s="1381"/>
      <c r="N65" s="1153"/>
      <c r="O65" s="1153"/>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6" thickTop="1">
      <c r="A67" s="534"/>
      <c r="B67" s="538" t="s">
        <v>2590</v>
      </c>
      <c r="C67" s="578" t="s">
        <v>2578</v>
      </c>
      <c r="D67" s="578" t="s">
        <v>2579</v>
      </c>
      <c r="E67" s="578" t="s">
        <v>2580</v>
      </c>
      <c r="F67" s="578" t="s">
        <v>2581</v>
      </c>
      <c r="G67" s="578" t="s">
        <v>2582</v>
      </c>
      <c r="H67" s="539"/>
      <c r="I67" s="539"/>
      <c r="J67" s="539"/>
      <c r="K67" s="540"/>
      <c r="L67" s="541"/>
      <c r="M67" s="542"/>
      <c r="N67" s="1152"/>
      <c r="O67" s="1152"/>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6" thickTop="1">
      <c r="A69" s="534"/>
      <c r="B69" s="538" t="s">
        <v>2710</v>
      </c>
      <c r="C69" s="554"/>
      <c r="D69" s="554"/>
      <c r="E69" s="554"/>
      <c r="F69" s="554"/>
      <c r="G69" s="554"/>
      <c r="H69" s="583"/>
      <c r="I69" s="583"/>
      <c r="J69" s="583"/>
      <c r="K69" s="584"/>
      <c r="L69" s="585"/>
      <c r="M69" s="586"/>
      <c r="N69" s="1152"/>
      <c r="O69" s="1152"/>
      <c r="P69" s="45"/>
      <c r="Q69" s="504"/>
    </row>
    <row r="70" spans="1:17" ht="1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 thickTop="1">
      <c r="A71" s="579"/>
      <c r="B71" s="538">
        <f>B23</f>
        <v>111</v>
      </c>
      <c r="C71" s="549"/>
      <c r="D71" s="549"/>
      <c r="E71" s="549"/>
      <c r="F71" s="549"/>
      <c r="G71" s="554"/>
      <c r="H71" s="554"/>
      <c r="I71" s="554"/>
      <c r="J71" s="554"/>
      <c r="K71" s="554"/>
      <c r="L71" s="580"/>
      <c r="M71" s="581"/>
      <c r="N71" s="1151"/>
      <c r="O71" s="1151"/>
      <c r="P71" s="45"/>
      <c r="Q71" s="504"/>
    </row>
    <row r="72" spans="1:17" s="117" customFormat="1" ht="15" thickBot="1">
      <c r="A72" s="579"/>
      <c r="B72" s="543"/>
      <c r="C72" s="560"/>
      <c r="D72" s="536"/>
      <c r="E72" s="536"/>
      <c r="F72" s="536"/>
      <c r="G72" s="536"/>
      <c r="H72" s="536"/>
      <c r="I72" s="536"/>
      <c r="J72" s="536"/>
      <c r="K72" s="536"/>
      <c r="L72" s="536"/>
      <c r="M72" s="537"/>
      <c r="N72" s="1153"/>
      <c r="O72" s="1153"/>
      <c r="P72" s="45"/>
      <c r="Q72" s="504"/>
    </row>
    <row r="73" spans="1:17" s="117" customFormat="1" ht="15" thickTop="1">
      <c r="A73" s="579"/>
      <c r="B73" s="538">
        <f>B24</f>
        <v>111</v>
      </c>
      <c r="C73" s="549"/>
      <c r="D73" s="549"/>
      <c r="E73" s="549"/>
      <c r="F73" s="549"/>
      <c r="G73" s="554"/>
      <c r="H73" s="554"/>
      <c r="I73" s="554"/>
      <c r="J73" s="554"/>
      <c r="K73" s="554"/>
      <c r="L73" s="554"/>
      <c r="M73" s="581"/>
      <c r="N73" s="1151"/>
      <c r="O73" s="1151"/>
      <c r="P73" s="45"/>
      <c r="Q73" s="504"/>
    </row>
    <row r="74" spans="1:17" s="117" customFormat="1" ht="15" thickBot="1">
      <c r="A74" s="579"/>
      <c r="B74" s="543"/>
      <c r="C74" s="560"/>
      <c r="D74" s="536"/>
      <c r="E74" s="536"/>
      <c r="F74" s="536"/>
      <c r="G74" s="536"/>
      <c r="H74" s="536"/>
      <c r="I74" s="536"/>
      <c r="J74" s="536"/>
      <c r="K74" s="536"/>
      <c r="L74" s="536"/>
      <c r="M74" s="537"/>
      <c r="N74" s="1153"/>
      <c r="O74" s="1153"/>
      <c r="P74" s="45"/>
      <c r="Q74" s="504"/>
    </row>
    <row r="75" spans="1:17" s="471" customFormat="1" ht="15" thickTop="1">
      <c r="A75" s="553"/>
      <c r="B75" s="538">
        <f>B25</f>
        <v>111</v>
      </c>
      <c r="C75" s="549"/>
      <c r="D75" s="549"/>
      <c r="E75" s="549"/>
      <c r="F75" s="549"/>
      <c r="G75" s="554"/>
      <c r="H75" s="555"/>
      <c r="I75" s="555"/>
      <c r="J75" s="555"/>
      <c r="K75" s="555"/>
      <c r="L75" s="556"/>
      <c r="M75" s="557"/>
      <c r="N75" s="1154"/>
      <c r="O75" s="1154"/>
      <c r="P75" s="558"/>
      <c r="Q75" s="559"/>
    </row>
    <row r="76" spans="1:17" s="471" customFormat="1" ht="15" thickBot="1">
      <c r="A76" s="553"/>
      <c r="B76" s="543"/>
      <c r="C76" s="560"/>
      <c r="D76" s="560"/>
      <c r="E76" s="560"/>
      <c r="F76" s="560"/>
      <c r="G76" s="536"/>
      <c r="H76" s="536"/>
      <c r="I76" s="536"/>
      <c r="J76" s="536"/>
      <c r="K76" s="536"/>
      <c r="L76" s="536"/>
      <c r="M76" s="537"/>
      <c r="N76" s="1154"/>
      <c r="O76" s="1154"/>
      <c r="P76" s="558"/>
      <c r="Q76" s="559"/>
    </row>
    <row r="77" spans="1:17" ht="16" thickTop="1">
      <c r="A77" s="527" t="s">
        <v>2544</v>
      </c>
      <c r="B77" s="528" t="s">
        <v>2597</v>
      </c>
      <c r="C77" s="554"/>
      <c r="D77" s="554"/>
      <c r="E77" s="530"/>
      <c r="F77" s="530"/>
      <c r="G77" s="530"/>
      <c r="H77" s="530"/>
      <c r="I77" s="530"/>
      <c r="J77" s="530"/>
      <c r="K77" s="531"/>
      <c r="L77" s="532"/>
      <c r="M77" s="533"/>
      <c r="N77" s="1152"/>
      <c r="O77" s="1152"/>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6"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6" thickTop="1">
      <c r="A82" s="599"/>
      <c r="B82" s="546" t="s">
        <v>2714</v>
      </c>
      <c r="C82" s="554"/>
      <c r="D82" s="554"/>
      <c r="E82" s="583"/>
      <c r="F82" s="583"/>
      <c r="G82" s="583"/>
      <c r="H82" s="583"/>
      <c r="I82" s="583"/>
      <c r="J82" s="583"/>
      <c r="K82" s="584"/>
      <c r="L82" s="585"/>
      <c r="M82" s="586"/>
      <c r="N82" s="1152"/>
      <c r="O82" s="1152"/>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6" thickTop="1">
      <c r="A84" s="599"/>
      <c r="B84" s="538" t="s">
        <v>2722</v>
      </c>
      <c r="C84" s="554"/>
      <c r="D84" s="554"/>
      <c r="E84" s="554"/>
      <c r="F84" s="554"/>
      <c r="G84" s="554"/>
      <c r="H84" s="554"/>
      <c r="I84" s="583"/>
      <c r="J84" s="583"/>
      <c r="K84" s="584"/>
      <c r="L84" s="585"/>
      <c r="M84" s="586"/>
      <c r="N84" s="1152"/>
      <c r="O84" s="1152"/>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6"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 thickBot="1">
      <c r="A88" s="534"/>
      <c r="B88" s="543"/>
      <c r="C88" s="560"/>
      <c r="D88" s="536"/>
      <c r="E88" s="536"/>
      <c r="F88" s="536"/>
      <c r="G88" s="536"/>
      <c r="H88" s="536"/>
      <c r="I88" s="536"/>
      <c r="J88" s="536"/>
      <c r="K88" s="536"/>
      <c r="L88" s="536"/>
      <c r="M88" s="536"/>
      <c r="N88" s="1153"/>
      <c r="O88" s="1153"/>
      <c r="P88" s="45"/>
      <c r="Q88" s="504"/>
    </row>
    <row r="89" spans="1:17" s="471" customFormat="1" ht="16" thickTop="1">
      <c r="A89" s="593"/>
      <c r="B89" s="538" t="s">
        <v>2724</v>
      </c>
      <c r="C89" s="554"/>
      <c r="D89" s="554"/>
      <c r="E89" s="554"/>
      <c r="F89" s="554"/>
      <c r="G89" s="554"/>
      <c r="H89" s="554"/>
      <c r="I89" s="554"/>
      <c r="J89" s="554"/>
      <c r="K89" s="554"/>
      <c r="L89" s="554"/>
      <c r="M89" s="581"/>
      <c r="N89" s="1154"/>
      <c r="O89" s="1154"/>
      <c r="P89" s="558"/>
      <c r="Q89" s="559"/>
    </row>
    <row r="90" spans="1:17" s="471" customFormat="1" ht="1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2725</v>
      </c>
      <c r="B1" s="395"/>
      <c r="C1" s="396" t="s">
        <v>2726</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31" t="s">
        <v>2629</v>
      </c>
      <c r="AC4" s="3230" t="s">
        <v>2630</v>
      </c>
    </row>
    <row r="5" spans="1:30">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31"/>
      <c r="AC5" s="3231"/>
    </row>
    <row r="6" spans="1:30" ht="16" thickBot="1">
      <c r="A6" s="406"/>
      <c r="B6" s="407"/>
      <c r="C6" s="3243" t="s">
        <v>2527</v>
      </c>
      <c r="D6" s="3244"/>
      <c r="E6" s="3245" t="s">
        <v>2527</v>
      </c>
      <c r="F6" s="3246"/>
      <c r="G6" s="3243" t="s">
        <v>2527</v>
      </c>
      <c r="H6" s="3244"/>
      <c r="I6" s="3243" t="s">
        <v>2527</v>
      </c>
      <c r="J6" s="3244"/>
      <c r="K6" s="610" t="s">
        <v>2528</v>
      </c>
      <c r="L6" s="1130"/>
      <c r="M6" s="1131"/>
      <c r="N6" s="1131"/>
      <c r="O6" s="1131"/>
      <c r="P6" s="3256"/>
      <c r="Q6" s="3257"/>
      <c r="R6" s="3237"/>
      <c r="S6" s="3238"/>
      <c r="T6" s="3258"/>
      <c r="U6" s="3259"/>
      <c r="V6" s="3260"/>
      <c r="W6" s="3260"/>
      <c r="X6" s="1812"/>
      <c r="Y6" s="3258"/>
      <c r="Z6" s="3259"/>
      <c r="AA6" s="3232"/>
      <c r="AB6" s="3232"/>
      <c r="AC6" s="3232"/>
    </row>
    <row r="7" spans="1:30" s="117" customFormat="1" ht="16" thickBot="1">
      <c r="A7" s="408" t="s">
        <v>2529</v>
      </c>
      <c r="B7" s="409"/>
      <c r="C7" s="410">
        <f>'数据-取费表'!B2</f>
        <v>43906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33" t="s">
        <v>2530</v>
      </c>
      <c r="Q7" s="3261"/>
      <c r="R7" s="770" t="s">
        <v>17</v>
      </c>
      <c r="S7" s="771">
        <f t="shared" ref="S7:S15" si="0">F7</f>
        <v>0</v>
      </c>
      <c r="T7" s="770" t="s">
        <v>17</v>
      </c>
      <c r="U7" s="771">
        <f t="shared" ref="U7:U15" si="1">H7</f>
        <v>0</v>
      </c>
      <c r="V7" s="770" t="s">
        <v>17</v>
      </c>
      <c r="W7" s="771">
        <f t="shared" ref="W7:W15" si="2">J7</f>
        <v>0</v>
      </c>
      <c r="X7" s="772"/>
      <c r="Y7" s="3233" t="s">
        <v>2530</v>
      </c>
      <c r="Z7" s="3234"/>
      <c r="AA7" s="773" t="e">
        <f>D7/F7</f>
        <v>#DIV/0!</v>
      </c>
      <c r="AB7" s="773" t="e">
        <f>D7/H7</f>
        <v>#DIV/0!</v>
      </c>
      <c r="AC7" s="773" t="e">
        <f>D7/J7</f>
        <v>#DIV/0!</v>
      </c>
    </row>
    <row r="8" spans="1:30" s="117" customFormat="1" ht="16"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45" si="3">D8/F8</f>
        <v>#DIV/0!</v>
      </c>
      <c r="AB8" s="773" t="e">
        <f t="shared" ref="AB8:AB45" si="4">D8/H8</f>
        <v>#DIV/0!</v>
      </c>
      <c r="AC8" s="773" t="e">
        <f t="shared" ref="AC8:AC45" si="5">D8/J8</f>
        <v>#DIV/0!</v>
      </c>
    </row>
    <row r="9" spans="1:30" s="117" customFormat="1" ht="15">
      <c r="A9" s="415" t="s">
        <v>2534</v>
      </c>
      <c r="B9" s="71" t="s">
        <v>2535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65"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30" s="427" customFormat="1" ht="30">
      <c r="A10" s="421"/>
      <c r="B10" s="422" t="s">
        <v>2538</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65"/>
      <c r="Q10" s="1794" t="str">
        <f t="shared" si="6"/>
        <v>土地使用年限（年）</v>
      </c>
      <c r="R10" s="770" t="s">
        <v>17</v>
      </c>
      <c r="S10" s="771">
        <f t="shared" si="0"/>
        <v>107</v>
      </c>
      <c r="T10" s="770" t="s">
        <v>17</v>
      </c>
      <c r="U10" s="771">
        <f t="shared" si="1"/>
        <v>107</v>
      </c>
      <c r="V10" s="770" t="s">
        <v>17</v>
      </c>
      <c r="W10" s="771">
        <f t="shared" si="2"/>
        <v>107</v>
      </c>
      <c r="X10" s="772"/>
      <c r="Y10" s="3072"/>
      <c r="Z10" s="55" t="str">
        <f t="shared" si="7"/>
        <v>土地使用年限（年）</v>
      </c>
      <c r="AA10" s="773">
        <f t="shared" si="3"/>
        <v>0.93457943925233644</v>
      </c>
      <c r="AB10" s="773">
        <f t="shared" si="4"/>
        <v>0.93457943925233644</v>
      </c>
      <c r="AC10" s="773">
        <f t="shared" si="5"/>
        <v>0.93457943925233644</v>
      </c>
    </row>
    <row r="11" spans="1:30" ht="16">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6">
      <c r="A12" s="431"/>
      <c r="B12" s="2598" t="s">
        <v>2728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5"/>
      <c r="Q12" s="1794"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6">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7"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16">
      <c r="A15" s="440" t="s">
        <v>2540</v>
      </c>
      <c r="B15" s="69" t="s">
        <v>2076</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7" t="s">
        <v>2541</v>
      </c>
      <c r="Q15" s="1809" t="str">
        <f t="shared" si="6"/>
        <v>居住社区成熟度</v>
      </c>
      <c r="R15" s="774" t="s">
        <v>17</v>
      </c>
      <c r="S15" s="775">
        <f t="shared" si="0"/>
        <v>100</v>
      </c>
      <c r="T15" s="774" t="s">
        <v>17</v>
      </c>
      <c r="U15" s="775">
        <f t="shared" si="1"/>
        <v>100</v>
      </c>
      <c r="V15" s="774" t="s">
        <v>17</v>
      </c>
      <c r="W15" s="775">
        <f t="shared" si="2"/>
        <v>100</v>
      </c>
      <c r="X15" s="1812"/>
      <c r="Y15" s="3267" t="s">
        <v>2541</v>
      </c>
      <c r="Z15" s="1813" t="str">
        <f t="shared" si="7"/>
        <v>居住社区成熟度</v>
      </c>
      <c r="AA15" s="1810">
        <f t="shared" si="3"/>
        <v>1</v>
      </c>
      <c r="AB15" s="1810">
        <f t="shared" si="4"/>
        <v>1</v>
      </c>
      <c r="AC15" s="1810">
        <f t="shared" si="5"/>
        <v>1</v>
      </c>
    </row>
    <row r="16" spans="1:30" ht="16">
      <c r="A16" s="428"/>
      <c r="B16" s="446"/>
      <c r="C16" s="447"/>
      <c r="D16" s="448"/>
      <c r="E16" s="2603"/>
      <c r="F16" s="448"/>
      <c r="G16" s="2603"/>
      <c r="H16" s="450"/>
      <c r="I16" s="2602"/>
      <c r="J16" s="448"/>
      <c r="K16" s="672"/>
      <c r="L16" s="1140"/>
      <c r="M16" s="1131"/>
      <c r="N16" s="1131"/>
      <c r="O16" s="1139"/>
      <c r="P16" s="3268"/>
      <c r="Q16" s="1809"/>
      <c r="R16" s="774"/>
      <c r="S16" s="775"/>
      <c r="T16" s="774"/>
      <c r="U16" s="775"/>
      <c r="V16" s="774"/>
      <c r="W16" s="775"/>
      <c r="X16" s="1812"/>
      <c r="Y16" s="3268"/>
      <c r="Z16" s="1813"/>
      <c r="AA16" s="1810">
        <v>1</v>
      </c>
      <c r="AB16" s="1810">
        <v>1</v>
      </c>
      <c r="AC16" s="1810">
        <v>1</v>
      </c>
    </row>
    <row r="17" spans="1:29" ht="16">
      <c r="A17" s="428"/>
      <c r="B17" s="451" t="s">
        <v>2634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8"/>
      <c r="Q17" s="1809" t="str">
        <f>B17</f>
        <v>商业繁华度</v>
      </c>
      <c r="R17" s="774" t="s">
        <v>17</v>
      </c>
      <c r="S17" s="775">
        <f>F17</f>
        <v>100</v>
      </c>
      <c r="T17" s="774" t="s">
        <v>17</v>
      </c>
      <c r="U17" s="775">
        <f>H17</f>
        <v>100</v>
      </c>
      <c r="V17" s="774" t="s">
        <v>17</v>
      </c>
      <c r="W17" s="775">
        <f>J17</f>
        <v>100</v>
      </c>
      <c r="X17" s="1812"/>
      <c r="Y17" s="3268"/>
      <c r="Z17" s="1813" t="str">
        <f>Q17</f>
        <v>商业繁华度</v>
      </c>
      <c r="AA17" s="1810">
        <f t="shared" si="3"/>
        <v>1</v>
      </c>
      <c r="AB17" s="1810">
        <f t="shared" si="4"/>
        <v>1</v>
      </c>
      <c r="AC17" s="1810">
        <f t="shared" si="5"/>
        <v>1</v>
      </c>
    </row>
    <row r="18" spans="1:29" ht="16">
      <c r="A18" s="428"/>
      <c r="B18" s="456"/>
      <c r="C18" s="2606"/>
      <c r="D18" s="450"/>
      <c r="E18" s="2608"/>
      <c r="F18" s="450"/>
      <c r="G18" s="2608"/>
      <c r="H18" s="448"/>
      <c r="I18" s="2607"/>
      <c r="J18" s="448"/>
      <c r="K18" s="672"/>
      <c r="L18" s="1140"/>
      <c r="M18" s="1131"/>
      <c r="N18" s="1131"/>
      <c r="O18" s="1139"/>
      <c r="P18" s="3268"/>
      <c r="Q18" s="1809"/>
      <c r="R18" s="774"/>
      <c r="S18" s="775"/>
      <c r="T18" s="774"/>
      <c r="U18" s="775"/>
      <c r="V18" s="774"/>
      <c r="W18" s="775"/>
      <c r="X18" s="1812"/>
      <c r="Y18" s="3268"/>
      <c r="Z18" s="1813"/>
      <c r="AA18" s="1810">
        <v>1</v>
      </c>
      <c r="AB18" s="1810">
        <v>1</v>
      </c>
      <c r="AC18" s="1810">
        <v>1</v>
      </c>
    </row>
    <row r="19" spans="1:29" ht="16">
      <c r="A19" s="428"/>
      <c r="B19" s="451" t="s">
        <v>2668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8"/>
      <c r="Q19" s="1809" t="str">
        <f>B19</f>
        <v>办公集聚程度</v>
      </c>
      <c r="R19" s="774" t="s">
        <v>17</v>
      </c>
      <c r="S19" s="775">
        <f>F19</f>
        <v>100</v>
      </c>
      <c r="T19" s="774" t="s">
        <v>17</v>
      </c>
      <c r="U19" s="775">
        <f>H19</f>
        <v>100</v>
      </c>
      <c r="V19" s="774" t="s">
        <v>17</v>
      </c>
      <c r="W19" s="775">
        <f>J19</f>
        <v>100</v>
      </c>
      <c r="X19" s="1812"/>
      <c r="Y19" s="3268"/>
      <c r="Z19" s="1813" t="str">
        <f>Q19</f>
        <v>办公集聚程度</v>
      </c>
      <c r="AA19" s="1810">
        <f t="shared" si="3"/>
        <v>1</v>
      </c>
      <c r="AB19" s="1810">
        <f t="shared" si="4"/>
        <v>1</v>
      </c>
      <c r="AC19" s="1810">
        <f t="shared" si="5"/>
        <v>1</v>
      </c>
    </row>
    <row r="20" spans="1:29" ht="16">
      <c r="A20" s="428"/>
      <c r="B20" s="456"/>
      <c r="C20" s="447"/>
      <c r="D20" s="448"/>
      <c r="E20" s="2603"/>
      <c r="F20" s="448"/>
      <c r="G20" s="2603"/>
      <c r="H20" s="448"/>
      <c r="I20" s="2602"/>
      <c r="J20" s="448"/>
      <c r="K20" s="672"/>
      <c r="L20" s="1140"/>
      <c r="M20" s="1131"/>
      <c r="N20" s="1131"/>
      <c r="O20" s="1139"/>
      <c r="P20" s="3268"/>
      <c r="Q20" s="1809"/>
      <c r="R20" s="774"/>
      <c r="S20" s="775"/>
      <c r="T20" s="774"/>
      <c r="U20" s="775"/>
      <c r="V20" s="774"/>
      <c r="W20" s="775"/>
      <c r="X20" s="1812"/>
      <c r="Y20" s="3268"/>
      <c r="Z20" s="1813"/>
      <c r="AA20" s="1810">
        <v>1</v>
      </c>
      <c r="AB20" s="1810">
        <v>1</v>
      </c>
      <c r="AC20" s="1810">
        <v>1</v>
      </c>
    </row>
    <row r="21" spans="1:29" ht="16">
      <c r="A21" s="428"/>
      <c r="B21" s="451" t="s">
        <v>2690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8"/>
      <c r="Q21" s="1809" t="str">
        <f>B21</f>
        <v>交通便捷度</v>
      </c>
      <c r="R21" s="774" t="s">
        <v>17</v>
      </c>
      <c r="S21" s="775">
        <f>F21</f>
        <v>100</v>
      </c>
      <c r="T21" s="774" t="s">
        <v>17</v>
      </c>
      <c r="U21" s="775">
        <f>H21</f>
        <v>100</v>
      </c>
      <c r="V21" s="774" t="s">
        <v>17</v>
      </c>
      <c r="W21" s="775">
        <f>J21</f>
        <v>100</v>
      </c>
      <c r="X21" s="1812"/>
      <c r="Y21" s="3268"/>
      <c r="Z21" s="1813" t="str">
        <f>Q21</f>
        <v>交通便捷度</v>
      </c>
      <c r="AA21" s="1810">
        <f t="shared" si="3"/>
        <v>1</v>
      </c>
      <c r="AB21" s="1810">
        <f t="shared" si="4"/>
        <v>1</v>
      </c>
      <c r="AC21" s="1810">
        <f t="shared" si="5"/>
        <v>1</v>
      </c>
    </row>
    <row r="22" spans="1:29" ht="16">
      <c r="A22" s="428"/>
      <c r="B22" s="1383"/>
      <c r="C22" s="447"/>
      <c r="D22" s="450"/>
      <c r="E22" s="2603"/>
      <c r="F22" s="448"/>
      <c r="G22" s="2603"/>
      <c r="H22" s="448"/>
      <c r="I22" s="2602"/>
      <c r="J22" s="448"/>
      <c r="K22" s="672"/>
      <c r="L22" s="1140"/>
      <c r="M22" s="1131"/>
      <c r="N22" s="1131"/>
      <c r="O22" s="1139"/>
      <c r="P22" s="3268"/>
      <c r="Q22" s="1809"/>
      <c r="R22" s="774"/>
      <c r="S22" s="775"/>
      <c r="T22" s="774"/>
      <c r="U22" s="775"/>
      <c r="V22" s="774"/>
      <c r="W22" s="775"/>
      <c r="X22" s="1812"/>
      <c r="Y22" s="3268"/>
      <c r="Z22" s="1813"/>
      <c r="AA22" s="1810">
        <v>1</v>
      </c>
      <c r="AB22" s="1810">
        <v>1</v>
      </c>
      <c r="AC22" s="1810">
        <v>1</v>
      </c>
    </row>
    <row r="23" spans="1:29" ht="16">
      <c r="A23" s="404"/>
      <c r="B23" s="451" t="s">
        <v>2729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8"/>
      <c r="Q23" s="1809" t="str">
        <f t="shared" ref="Q23:Q37" si="8">B23</f>
        <v>区域土地利用方向</v>
      </c>
      <c r="R23" s="774" t="s">
        <v>17</v>
      </c>
      <c r="S23" s="775">
        <f>F23</f>
        <v>100</v>
      </c>
      <c r="T23" s="774" t="s">
        <v>17</v>
      </c>
      <c r="U23" s="775">
        <f>H23</f>
        <v>100</v>
      </c>
      <c r="V23" s="774" t="s">
        <v>17</v>
      </c>
      <c r="W23" s="775">
        <f>J23</f>
        <v>100</v>
      </c>
      <c r="X23" s="1812"/>
      <c r="Y23" s="3268"/>
      <c r="Z23" s="1813" t="str">
        <f>Q23</f>
        <v>区域土地利用方向</v>
      </c>
      <c r="AA23" s="1810">
        <f t="shared" si="3"/>
        <v>1</v>
      </c>
      <c r="AB23" s="1810">
        <f t="shared" si="4"/>
        <v>1</v>
      </c>
      <c r="AC23" s="1810">
        <f t="shared" si="5"/>
        <v>1</v>
      </c>
    </row>
    <row r="24" spans="1:29" ht="16">
      <c r="A24" s="404"/>
      <c r="B24" s="456"/>
      <c r="C24" s="616"/>
      <c r="D24" s="448"/>
      <c r="E24" s="2603"/>
      <c r="F24" s="448"/>
      <c r="G24" s="2602"/>
      <c r="H24" s="448"/>
      <c r="I24" s="2602"/>
      <c r="J24" s="448"/>
      <c r="K24" s="812"/>
      <c r="L24" s="1140"/>
      <c r="M24" s="1131"/>
      <c r="N24" s="1131"/>
      <c r="O24" s="1139"/>
      <c r="P24" s="3268"/>
      <c r="Q24" s="1809"/>
      <c r="R24" s="774"/>
      <c r="S24" s="775"/>
      <c r="T24" s="774"/>
      <c r="U24" s="775"/>
      <c r="V24" s="774"/>
      <c r="W24" s="775"/>
      <c r="X24" s="1812"/>
      <c r="Y24" s="3268"/>
      <c r="Z24" s="1813"/>
      <c r="AA24" s="1810"/>
      <c r="AB24" s="1810"/>
      <c r="AC24" s="1810"/>
    </row>
    <row r="25" spans="1:29" ht="30">
      <c r="A25" s="404"/>
      <c r="B25" s="1383" t="s">
        <v>2730</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8"/>
      <c r="Q25" s="1809" t="str">
        <f t="shared" si="8"/>
        <v>自然及人文环境状况</v>
      </c>
      <c r="R25" s="774" t="s">
        <v>17</v>
      </c>
      <c r="S25" s="775">
        <f>F25</f>
        <v>100</v>
      </c>
      <c r="T25" s="774" t="s">
        <v>17</v>
      </c>
      <c r="U25" s="775">
        <f>H25</f>
        <v>100</v>
      </c>
      <c r="V25" s="774" t="s">
        <v>17</v>
      </c>
      <c r="W25" s="775">
        <f>J25</f>
        <v>100</v>
      </c>
      <c r="X25" s="1812"/>
      <c r="Y25" s="3268"/>
      <c r="Z25" s="1813" t="str">
        <f>Q25</f>
        <v>自然及人文环境状况</v>
      </c>
      <c r="AA25" s="1810">
        <f t="shared" si="3"/>
        <v>1</v>
      </c>
      <c r="AB25" s="1810">
        <f t="shared" si="4"/>
        <v>1</v>
      </c>
      <c r="AC25" s="1810">
        <f t="shared" si="5"/>
        <v>1</v>
      </c>
    </row>
    <row r="26" spans="1:29" ht="16">
      <c r="A26" s="404"/>
      <c r="B26" s="456"/>
      <c r="C26" s="447"/>
      <c r="D26" s="448"/>
      <c r="E26" s="2609"/>
      <c r="F26" s="448"/>
      <c r="G26" s="2609"/>
      <c r="H26" s="448"/>
      <c r="I26" s="447"/>
      <c r="J26" s="448"/>
      <c r="K26" s="672"/>
      <c r="L26" s="1140"/>
      <c r="M26" s="1131"/>
      <c r="N26" s="1131"/>
      <c r="O26" s="1139"/>
      <c r="P26" s="3268"/>
      <c r="Q26" s="1809"/>
      <c r="R26" s="774"/>
      <c r="S26" s="775"/>
      <c r="T26" s="774"/>
      <c r="U26" s="775"/>
      <c r="V26" s="774"/>
      <c r="W26" s="775"/>
      <c r="X26" s="1812"/>
      <c r="Y26" s="3268"/>
      <c r="Z26" s="1813"/>
      <c r="AA26" s="1810">
        <v>1</v>
      </c>
      <c r="AB26" s="1810">
        <v>1</v>
      </c>
      <c r="AC26" s="1810">
        <v>1</v>
      </c>
    </row>
    <row r="27" spans="1:29" s="117" customFormat="1" ht="16">
      <c r="A27" s="649"/>
      <c r="B27" s="1383" t="s">
        <v>2635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8"/>
      <c r="Q27" s="1794" t="str">
        <f t="shared" si="8"/>
        <v>公共配套设施</v>
      </c>
      <c r="R27" s="770" t="s">
        <v>17</v>
      </c>
      <c r="S27" s="771">
        <f>F27</f>
        <v>100</v>
      </c>
      <c r="T27" s="770" t="s">
        <v>17</v>
      </c>
      <c r="U27" s="771">
        <f>H27</f>
        <v>100</v>
      </c>
      <c r="V27" s="770" t="s">
        <v>17</v>
      </c>
      <c r="W27" s="771">
        <f>J27</f>
        <v>100</v>
      </c>
      <c r="X27" s="772"/>
      <c r="Y27" s="3268"/>
      <c r="Z27" s="55" t="str">
        <f>Q27</f>
        <v>公共配套设施</v>
      </c>
      <c r="AA27" s="1810">
        <f>D27/F27</f>
        <v>1</v>
      </c>
      <c r="AB27" s="1810">
        <f>D27/H27</f>
        <v>1</v>
      </c>
      <c r="AC27" s="1810">
        <f>D27/J27</f>
        <v>1</v>
      </c>
    </row>
    <row r="28" spans="1:29" s="117" customFormat="1" ht="16">
      <c r="A28" s="649"/>
      <c r="B28" s="456"/>
      <c r="C28" s="2698"/>
      <c r="D28" s="448"/>
      <c r="E28" s="2609"/>
      <c r="F28" s="448"/>
      <c r="G28" s="2609"/>
      <c r="H28" s="448"/>
      <c r="I28" s="447"/>
      <c r="J28" s="448"/>
      <c r="K28" s="672"/>
      <c r="L28" s="1132"/>
      <c r="M28" s="1133"/>
      <c r="N28" s="1133"/>
      <c r="O28" s="1134"/>
      <c r="P28" s="3268"/>
      <c r="Q28" s="1794"/>
      <c r="R28" s="770"/>
      <c r="S28" s="771"/>
      <c r="T28" s="770"/>
      <c r="U28" s="771"/>
      <c r="V28" s="770"/>
      <c r="W28" s="771"/>
      <c r="X28" s="772"/>
      <c r="Y28" s="3268"/>
      <c r="Z28" s="55"/>
      <c r="AA28" s="1810">
        <v>1</v>
      </c>
      <c r="AB28" s="1810">
        <v>1</v>
      </c>
      <c r="AC28" s="1810">
        <v>1</v>
      </c>
    </row>
    <row r="29" spans="1:29" s="117" customFormat="1" ht="16">
      <c r="A29" s="649"/>
      <c r="B29" s="1383" t="s">
        <v>2636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8"/>
      <c r="Q29" s="1794"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0">
        <f>D29/F29</f>
        <v>1</v>
      </c>
      <c r="AB29" s="1810">
        <f>D29/H29</f>
        <v>1</v>
      </c>
      <c r="AC29" s="1810">
        <f>D29/J29</f>
        <v>1</v>
      </c>
    </row>
    <row r="30" spans="1:29" s="117" customFormat="1" ht="16">
      <c r="A30" s="649"/>
      <c r="B30" s="456"/>
      <c r="C30" s="2698"/>
      <c r="D30" s="448"/>
      <c r="E30" s="2699"/>
      <c r="F30" s="448"/>
      <c r="G30" s="2699"/>
      <c r="H30" s="448"/>
      <c r="I30" s="2699"/>
      <c r="J30" s="448"/>
      <c r="K30" s="672"/>
      <c r="L30" s="1132"/>
      <c r="M30" s="1133"/>
      <c r="N30" s="1133"/>
      <c r="O30" s="1134"/>
      <c r="P30" s="3268"/>
      <c r="Q30" s="1794"/>
      <c r="R30" s="770"/>
      <c r="S30" s="771"/>
      <c r="T30" s="770"/>
      <c r="U30" s="771"/>
      <c r="V30" s="770"/>
      <c r="W30" s="771"/>
      <c r="X30" s="772"/>
      <c r="Y30" s="3268"/>
      <c r="Z30" s="55"/>
      <c r="AA30" s="1810">
        <v>1</v>
      </c>
      <c r="AB30" s="1810">
        <v>1</v>
      </c>
      <c r="AC30" s="1810">
        <v>1</v>
      </c>
    </row>
    <row r="31" spans="1:29" ht="16">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8"/>
      <c r="Z31" s="1813" t="str">
        <f t="shared" ref="Z31:Z45" si="13">Q31</f>
        <v>临街状况</v>
      </c>
      <c r="AA31" s="1810">
        <f t="shared" si="3"/>
        <v>1</v>
      </c>
      <c r="AB31" s="1810">
        <f t="shared" si="4"/>
        <v>1</v>
      </c>
      <c r="AC31" s="1810">
        <f t="shared" si="5"/>
        <v>1</v>
      </c>
    </row>
    <row r="32" spans="1:29" ht="30">
      <c r="A32" s="428"/>
      <c r="B32" s="1383"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8"/>
      <c r="Q32" s="1809" t="str">
        <f t="shared" si="8"/>
        <v>毗邻道路的类型与等级</v>
      </c>
      <c r="R32" s="774" t="s">
        <v>17</v>
      </c>
      <c r="S32" s="775">
        <f t="shared" si="10"/>
        <v>100</v>
      </c>
      <c r="T32" s="774" t="s">
        <v>17</v>
      </c>
      <c r="U32" s="775">
        <f t="shared" si="11"/>
        <v>100</v>
      </c>
      <c r="V32" s="774" t="s">
        <v>17</v>
      </c>
      <c r="W32" s="775">
        <f t="shared" si="12"/>
        <v>100</v>
      </c>
      <c r="X32" s="1812"/>
      <c r="Y32" s="3268"/>
      <c r="Z32" s="1813" t="str">
        <f t="shared" si="13"/>
        <v>毗邻道路的类型与等级</v>
      </c>
      <c r="AA32" s="1810">
        <f t="shared" si="3"/>
        <v>1</v>
      </c>
      <c r="AB32" s="1810">
        <f t="shared" si="4"/>
        <v>1</v>
      </c>
      <c r="AC32" s="1810">
        <f t="shared" si="5"/>
        <v>1</v>
      </c>
    </row>
    <row r="33" spans="1:29" ht="16">
      <c r="A33" s="428"/>
      <c r="B33" s="456"/>
      <c r="C33" s="447"/>
      <c r="D33" s="448"/>
      <c r="E33" s="2609"/>
      <c r="F33" s="448"/>
      <c r="G33" s="2609"/>
      <c r="H33" s="448"/>
      <c r="I33" s="447"/>
      <c r="J33" s="448"/>
      <c r="K33" s="613"/>
      <c r="L33" s="1140"/>
      <c r="M33" s="1131"/>
      <c r="N33" s="1131"/>
      <c r="O33" s="1139"/>
      <c r="P33" s="3268"/>
      <c r="Q33" s="1809"/>
      <c r="R33" s="774"/>
      <c r="S33" s="775"/>
      <c r="T33" s="774"/>
      <c r="U33" s="775"/>
      <c r="V33" s="774"/>
      <c r="W33" s="775"/>
      <c r="X33" s="1812"/>
      <c r="Y33" s="3268"/>
      <c r="Z33" s="1813"/>
      <c r="AA33" s="1810">
        <v>1</v>
      </c>
      <c r="AB33" s="1810">
        <v>1</v>
      </c>
      <c r="AC33" s="1810">
        <v>1</v>
      </c>
    </row>
    <row r="34" spans="1:29" ht="16">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8"/>
      <c r="Q34" s="1809" t="str">
        <f t="shared" si="8"/>
        <v>土地级别</v>
      </c>
      <c r="R34" s="774" t="s">
        <v>17</v>
      </c>
      <c r="S34" s="775">
        <f t="shared" si="10"/>
        <v>100</v>
      </c>
      <c r="T34" s="774" t="s">
        <v>17</v>
      </c>
      <c r="U34" s="775">
        <f t="shared" si="11"/>
        <v>100</v>
      </c>
      <c r="V34" s="774" t="s">
        <v>17</v>
      </c>
      <c r="W34" s="775">
        <f t="shared" si="12"/>
        <v>100</v>
      </c>
      <c r="X34" s="1812"/>
      <c r="Y34" s="3268"/>
      <c r="Z34" s="1813" t="str">
        <f t="shared" si="13"/>
        <v>土地级别</v>
      </c>
      <c r="AA34" s="1810">
        <f t="shared" si="3"/>
        <v>1</v>
      </c>
      <c r="AB34" s="1810">
        <f t="shared" si="4"/>
        <v>1</v>
      </c>
      <c r="AC34" s="1810">
        <f t="shared" si="5"/>
        <v>1</v>
      </c>
    </row>
    <row r="35" spans="1:29" ht="16">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8"/>
      <c r="Q35" s="1809">
        <f t="shared" si="8"/>
        <v>111</v>
      </c>
      <c r="R35" s="774" t="s">
        <v>17</v>
      </c>
      <c r="S35" s="775">
        <f t="shared" si="10"/>
        <v>100</v>
      </c>
      <c r="T35" s="774" t="s">
        <v>17</v>
      </c>
      <c r="U35" s="775">
        <f t="shared" si="11"/>
        <v>100</v>
      </c>
      <c r="V35" s="774" t="s">
        <v>17</v>
      </c>
      <c r="W35" s="775">
        <f t="shared" si="12"/>
        <v>100</v>
      </c>
      <c r="X35" s="1812"/>
      <c r="Y35" s="3268"/>
      <c r="Z35" s="1813">
        <f t="shared" si="13"/>
        <v>111</v>
      </c>
      <c r="AA35" s="1810">
        <f t="shared" si="3"/>
        <v>1</v>
      </c>
      <c r="AB35" s="1810">
        <f t="shared" si="4"/>
        <v>1</v>
      </c>
      <c r="AC35" s="1810">
        <f t="shared" si="5"/>
        <v>1</v>
      </c>
    </row>
    <row r="36" spans="1:29" ht="16">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1" t="s">
        <v>2546</v>
      </c>
      <c r="Q36" s="1809">
        <f t="shared" si="8"/>
        <v>111</v>
      </c>
      <c r="R36" s="774" t="s">
        <v>17</v>
      </c>
      <c r="S36" s="775">
        <f t="shared" si="10"/>
        <v>100</v>
      </c>
      <c r="T36" s="774" t="s">
        <v>17</v>
      </c>
      <c r="U36" s="775">
        <f t="shared" si="11"/>
        <v>100</v>
      </c>
      <c r="V36" s="774" t="s">
        <v>17</v>
      </c>
      <c r="W36" s="775">
        <f t="shared" si="12"/>
        <v>100</v>
      </c>
      <c r="X36" s="1812"/>
      <c r="Y36" s="3272" t="s">
        <v>2546</v>
      </c>
      <c r="Z36" s="1813">
        <f t="shared" si="13"/>
        <v>111</v>
      </c>
      <c r="AA36" s="1810">
        <f t="shared" si="3"/>
        <v>1</v>
      </c>
      <c r="AB36" s="1810">
        <f t="shared" si="4"/>
        <v>1</v>
      </c>
      <c r="AC36" s="1810">
        <f t="shared" si="5"/>
        <v>1</v>
      </c>
    </row>
    <row r="37" spans="1:29" s="471" customFormat="1" ht="17"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2"/>
      <c r="Q37" s="1809">
        <f t="shared" si="8"/>
        <v>111</v>
      </c>
      <c r="R37" s="777" t="s">
        <v>17</v>
      </c>
      <c r="S37" s="778">
        <f t="shared" si="10"/>
        <v>100</v>
      </c>
      <c r="T37" s="777" t="s">
        <v>17</v>
      </c>
      <c r="U37" s="778">
        <f t="shared" si="11"/>
        <v>100</v>
      </c>
      <c r="V37" s="777" t="s">
        <v>17</v>
      </c>
      <c r="W37" s="778">
        <f t="shared" si="12"/>
        <v>100</v>
      </c>
      <c r="X37" s="779"/>
      <c r="Y37" s="3272"/>
      <c r="Z37" s="780">
        <f t="shared" si="13"/>
        <v>111</v>
      </c>
      <c r="AA37" s="1810">
        <f t="shared" si="3"/>
        <v>1</v>
      </c>
      <c r="AB37" s="1810">
        <f t="shared" si="4"/>
        <v>1</v>
      </c>
      <c r="AC37" s="1810">
        <f t="shared" si="5"/>
        <v>1</v>
      </c>
    </row>
    <row r="38" spans="1:29" ht="20">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2"/>
      <c r="Q38" s="1809" t="str">
        <f>B38</f>
        <v>宗地面积</v>
      </c>
      <c r="R38" s="774" t="s">
        <v>17</v>
      </c>
      <c r="S38" s="775" t="e">
        <f t="shared" si="10"/>
        <v>#N/A</v>
      </c>
      <c r="T38" s="774" t="s">
        <v>17</v>
      </c>
      <c r="U38" s="775" t="e">
        <f t="shared" si="11"/>
        <v>#N/A</v>
      </c>
      <c r="V38" s="774" t="s">
        <v>17</v>
      </c>
      <c r="W38" s="775" t="e">
        <f t="shared" si="12"/>
        <v>#N/A</v>
      </c>
      <c r="X38" s="1812"/>
      <c r="Y38" s="3272"/>
      <c r="Z38" s="1813" t="str">
        <f t="shared" si="13"/>
        <v>宗地面积</v>
      </c>
      <c r="AA38" s="1810" t="e">
        <f t="shared" si="3"/>
        <v>#N/A</v>
      </c>
      <c r="AB38" s="1810" t="e">
        <f t="shared" si="4"/>
        <v>#N/A</v>
      </c>
      <c r="AC38" s="1810" t="e">
        <f t="shared" si="5"/>
        <v>#N/A</v>
      </c>
    </row>
    <row r="39" spans="1:29" ht="16">
      <c r="A39" s="472"/>
      <c r="B39" s="422" t="s">
        <v>2733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72"/>
      <c r="Q39" s="1809" t="str">
        <f t="shared" ref="Q39:Q45" si="14">B39</f>
        <v>宗地形状</v>
      </c>
      <c r="R39" s="774" t="s">
        <v>17</v>
      </c>
      <c r="S39" s="775">
        <f t="shared" si="10"/>
        <v>100</v>
      </c>
      <c r="T39" s="774" t="s">
        <v>17</v>
      </c>
      <c r="U39" s="775">
        <f t="shared" si="11"/>
        <v>100</v>
      </c>
      <c r="V39" s="774" t="s">
        <v>17</v>
      </c>
      <c r="W39" s="775">
        <f t="shared" si="12"/>
        <v>100</v>
      </c>
      <c r="X39" s="1812"/>
      <c r="Y39" s="3272"/>
      <c r="Z39" s="1813" t="str">
        <f t="shared" si="13"/>
        <v>宗地形状</v>
      </c>
      <c r="AA39" s="1810">
        <f t="shared" si="3"/>
        <v>1</v>
      </c>
      <c r="AB39" s="1810">
        <f t="shared" si="4"/>
        <v>1</v>
      </c>
      <c r="AC39" s="1810">
        <f t="shared" si="5"/>
        <v>1</v>
      </c>
    </row>
    <row r="40" spans="1:29" ht="16">
      <c r="A40" s="472"/>
      <c r="B40" s="422" t="s">
        <v>2734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72"/>
      <c r="Q40" s="1809" t="str">
        <f t="shared" si="14"/>
        <v>临街宽度及深度</v>
      </c>
      <c r="R40" s="774" t="s">
        <v>17</v>
      </c>
      <c r="S40" s="775">
        <f t="shared" si="10"/>
        <v>100</v>
      </c>
      <c r="T40" s="774" t="s">
        <v>17</v>
      </c>
      <c r="U40" s="775">
        <f t="shared" si="11"/>
        <v>100</v>
      </c>
      <c r="V40" s="774" t="s">
        <v>17</v>
      </c>
      <c r="W40" s="775">
        <f t="shared" si="12"/>
        <v>100</v>
      </c>
      <c r="X40" s="1812"/>
      <c r="Y40" s="3272"/>
      <c r="Z40" s="1813" t="str">
        <f t="shared" si="13"/>
        <v>临街宽度及深度</v>
      </c>
      <c r="AA40" s="1810">
        <f t="shared" si="3"/>
        <v>1</v>
      </c>
      <c r="AB40" s="1810">
        <f t="shared" si="4"/>
        <v>1</v>
      </c>
      <c r="AC40" s="1810">
        <f t="shared" si="5"/>
        <v>1</v>
      </c>
    </row>
    <row r="41" spans="1:29" s="117" customFormat="1" ht="16">
      <c r="A41" s="473"/>
      <c r="B41" s="422" t="s">
        <v>2735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72"/>
      <c r="Q41" s="1809" t="str">
        <f t="shared" si="14"/>
        <v>宗地开发程度</v>
      </c>
      <c r="R41" s="770" t="s">
        <v>17</v>
      </c>
      <c r="S41" s="771">
        <f t="shared" si="10"/>
        <v>100</v>
      </c>
      <c r="T41" s="770" t="s">
        <v>17</v>
      </c>
      <c r="U41" s="771">
        <f t="shared" si="11"/>
        <v>100</v>
      </c>
      <c r="V41" s="770" t="s">
        <v>17</v>
      </c>
      <c r="W41" s="771">
        <f t="shared" si="12"/>
        <v>100</v>
      </c>
      <c r="X41" s="772"/>
      <c r="Y41" s="3272"/>
      <c r="Z41" s="55" t="str">
        <f t="shared" si="13"/>
        <v>宗地开发程度</v>
      </c>
      <c r="AA41" s="773">
        <f t="shared" si="3"/>
        <v>1</v>
      </c>
      <c r="AB41" s="773">
        <f t="shared" si="4"/>
        <v>1</v>
      </c>
      <c r="AC41" s="773">
        <f t="shared" si="5"/>
        <v>1</v>
      </c>
    </row>
    <row r="42" spans="1:29" ht="16">
      <c r="A42" s="472"/>
      <c r="B42" s="422" t="s">
        <v>2736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72" t="s">
        <v>2546</v>
      </c>
      <c r="Q42" s="1809" t="str">
        <f t="shared" si="14"/>
        <v>工程地质条件</v>
      </c>
      <c r="R42" s="774" t="s">
        <v>17</v>
      </c>
      <c r="S42" s="775">
        <f t="shared" si="10"/>
        <v>100</v>
      </c>
      <c r="T42" s="774" t="s">
        <v>17</v>
      </c>
      <c r="U42" s="775">
        <f t="shared" si="11"/>
        <v>100</v>
      </c>
      <c r="V42" s="774" t="s">
        <v>17</v>
      </c>
      <c r="W42" s="775">
        <f t="shared" si="12"/>
        <v>100</v>
      </c>
      <c r="X42" s="1812"/>
      <c r="Y42" s="3272" t="s">
        <v>2546</v>
      </c>
      <c r="Z42" s="1813" t="str">
        <f t="shared" si="13"/>
        <v>工程地质条件</v>
      </c>
      <c r="AA42" s="1810">
        <f t="shared" si="3"/>
        <v>1</v>
      </c>
      <c r="AB42" s="1810">
        <f t="shared" si="4"/>
        <v>1</v>
      </c>
      <c r="AC42" s="1810">
        <f t="shared" si="5"/>
        <v>1</v>
      </c>
    </row>
    <row r="43" spans="1:29" ht="16">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2"/>
      <c r="Q43" s="1809">
        <f t="shared" si="14"/>
        <v>111</v>
      </c>
      <c r="R43" s="774" t="s">
        <v>17</v>
      </c>
      <c r="S43" s="775">
        <f t="shared" si="10"/>
        <v>100</v>
      </c>
      <c r="T43" s="774" t="s">
        <v>17</v>
      </c>
      <c r="U43" s="775">
        <f t="shared" si="11"/>
        <v>100</v>
      </c>
      <c r="V43" s="774" t="s">
        <v>17</v>
      </c>
      <c r="W43" s="775">
        <f t="shared" si="12"/>
        <v>100</v>
      </c>
      <c r="X43" s="1812"/>
      <c r="Y43" s="3272"/>
      <c r="Z43" s="1813">
        <f t="shared" si="13"/>
        <v>111</v>
      </c>
      <c r="AA43" s="1810">
        <f t="shared" si="3"/>
        <v>1</v>
      </c>
      <c r="AB43" s="1810">
        <f t="shared" si="4"/>
        <v>1</v>
      </c>
      <c r="AC43" s="1810">
        <f t="shared" si="5"/>
        <v>1</v>
      </c>
    </row>
    <row r="44" spans="1:29" ht="16">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2"/>
      <c r="Q44" s="1809">
        <f t="shared" si="14"/>
        <v>111</v>
      </c>
      <c r="R44" s="774" t="s">
        <v>17</v>
      </c>
      <c r="S44" s="775">
        <f t="shared" si="10"/>
        <v>100</v>
      </c>
      <c r="T44" s="774" t="s">
        <v>17</v>
      </c>
      <c r="U44" s="775">
        <f t="shared" si="11"/>
        <v>100</v>
      </c>
      <c r="V44" s="774" t="s">
        <v>17</v>
      </c>
      <c r="W44" s="775">
        <f t="shared" si="12"/>
        <v>100</v>
      </c>
      <c r="X44" s="1812"/>
      <c r="Y44" s="3272"/>
      <c r="Z44" s="1813">
        <f t="shared" si="13"/>
        <v>111</v>
      </c>
      <c r="AA44" s="1810">
        <f t="shared" si="3"/>
        <v>1</v>
      </c>
      <c r="AB44" s="1810">
        <f t="shared" si="4"/>
        <v>1</v>
      </c>
      <c r="AC44" s="1810">
        <f t="shared" si="5"/>
        <v>1</v>
      </c>
    </row>
    <row r="45" spans="1:29" s="471" customFormat="1" ht="17"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2"/>
      <c r="Q45" s="1809">
        <f t="shared" si="14"/>
        <v>111</v>
      </c>
      <c r="R45" s="777" t="s">
        <v>17</v>
      </c>
      <c r="S45" s="778">
        <f t="shared" si="10"/>
        <v>100</v>
      </c>
      <c r="T45" s="777" t="s">
        <v>17</v>
      </c>
      <c r="U45" s="778">
        <f t="shared" si="11"/>
        <v>100</v>
      </c>
      <c r="V45" s="777" t="s">
        <v>17</v>
      </c>
      <c r="W45" s="778">
        <f t="shared" si="12"/>
        <v>100</v>
      </c>
      <c r="X45" s="779"/>
      <c r="Y45" s="3272"/>
      <c r="Z45" s="780">
        <f t="shared" si="13"/>
        <v>111</v>
      </c>
      <c r="AA45" s="1810">
        <f t="shared" si="3"/>
        <v>1</v>
      </c>
      <c r="AB45" s="1810">
        <f t="shared" si="4"/>
        <v>1</v>
      </c>
      <c r="AC45" s="1810">
        <f t="shared" si="5"/>
        <v>1</v>
      </c>
    </row>
    <row r="46" spans="1:29" ht="15">
      <c r="A46" s="479" t="s">
        <v>2701</v>
      </c>
      <c r="B46" s="2702" t="s">
        <v>2737</v>
      </c>
      <c r="C46" s="682" t="s">
        <v>1</v>
      </c>
      <c r="D46" s="481"/>
      <c r="E46" s="482"/>
      <c r="F46" s="483"/>
      <c r="G46" s="484"/>
      <c r="H46" s="485"/>
      <c r="I46" s="482"/>
      <c r="J46" s="485"/>
      <c r="K46" s="783"/>
      <c r="L46" s="1143"/>
      <c r="M46" s="1144"/>
      <c r="N46" s="1131"/>
      <c r="O46" s="1144"/>
      <c r="P46" s="3265" t="str">
        <f>A46</f>
        <v>成交单价</v>
      </c>
      <c r="Q46" s="3265"/>
      <c r="R46" s="3260">
        <f>E46</f>
        <v>0</v>
      </c>
      <c r="S46" s="3260"/>
      <c r="T46" s="3260">
        <f>G46</f>
        <v>0</v>
      </c>
      <c r="U46" s="3260"/>
      <c r="V46" s="3260">
        <f>I46</f>
        <v>0</v>
      </c>
      <c r="W46" s="3260"/>
      <c r="X46" s="759"/>
      <c r="Y46" s="781"/>
      <c r="Z46" s="759"/>
      <c r="AA46" s="759"/>
      <c r="AB46" s="759"/>
      <c r="AC46" s="759"/>
    </row>
    <row r="47" spans="1:29" ht="15" thickBot="1">
      <c r="A47" s="486" t="s">
        <v>2650</v>
      </c>
      <c r="B47" s="683"/>
      <c r="C47" s="490" t="e">
        <f>R48</f>
        <v>#DIV/0!</v>
      </c>
      <c r="D47" s="489"/>
      <c r="E47" s="490" t="e">
        <f>R47</f>
        <v>#DIV/0!</v>
      </c>
      <c r="F47" s="491"/>
      <c r="G47" s="488" t="e">
        <f>T47</f>
        <v>#DIV/0!</v>
      </c>
      <c r="H47" s="489"/>
      <c r="I47" s="490" t="e">
        <f>V47</f>
        <v>#DIV/0!</v>
      </c>
      <c r="J47" s="489"/>
      <c r="K47" s="784"/>
      <c r="L47" s="1143"/>
      <c r="M47" s="1144"/>
      <c r="N47" s="1144"/>
      <c r="O47" s="1144"/>
      <c r="P47" s="3265" t="str">
        <f>A47</f>
        <v>比较价值（元/平方米）</v>
      </c>
      <c r="Q47" s="3265"/>
      <c r="R47" s="3292" t="e">
        <f>ROUND(PRODUCT(R46,AA7:AA45),0)</f>
        <v>#DIV/0!</v>
      </c>
      <c r="S47" s="3292"/>
      <c r="T47" s="3292" t="e">
        <f>ROUND(PRODUCT(T46,AB7:AB45),0)</f>
        <v>#DIV/0!</v>
      </c>
      <c r="U47" s="3292"/>
      <c r="V47" s="3292" t="e">
        <f>ROUND(PRODUCT(V46,AC7:AC45),0)</f>
        <v>#DIV/0!</v>
      </c>
      <c r="W47" s="3292"/>
      <c r="X47" s="759"/>
      <c r="Y47" s="759"/>
      <c r="Z47" s="759"/>
      <c r="AA47" s="759"/>
      <c r="AB47" s="759"/>
      <c r="AC47" s="759"/>
    </row>
    <row r="48" spans="1:29" ht="15" thickBot="1">
      <c r="A48" s="492" t="s">
        <v>2738</v>
      </c>
      <c r="B48" s="493"/>
      <c r="C48" s="494" t="e">
        <f>R48</f>
        <v>#DIV/0!</v>
      </c>
      <c r="D48" s="494"/>
      <c r="E48" s="494"/>
      <c r="F48" s="494"/>
      <c r="G48" s="494"/>
      <c r="H48" s="494"/>
      <c r="I48" s="494"/>
      <c r="J48" s="494"/>
      <c r="K48" s="785"/>
      <c r="L48" s="1143"/>
      <c r="M48" s="1144"/>
      <c r="N48" s="1144"/>
      <c r="O48" s="1144"/>
      <c r="P48" s="3262" t="str">
        <f>A48</f>
        <v>估价对象XX用房的比较价值（楼面单价，元/平方米）</v>
      </c>
      <c r="Q48" s="3263"/>
      <c r="R48" s="3293" t="e">
        <f>ROUND(AVERAGE(R47:V47),0)</f>
        <v>#DIV/0!</v>
      </c>
      <c r="S48" s="3293"/>
      <c r="T48" s="3293"/>
      <c r="U48" s="3293"/>
      <c r="V48" s="3293"/>
      <c r="W48" s="32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2739</v>
      </c>
      <c r="B55" s="685" t="s">
        <v>2740</v>
      </c>
      <c r="C55" s="2703" t="s">
        <v>2741</v>
      </c>
      <c r="D55" s="2704" t="s">
        <v>2742</v>
      </c>
      <c r="E55" s="686" t="s">
        <v>2743</v>
      </c>
      <c r="F55" s="1107" t="s">
        <v>2744</v>
      </c>
      <c r="G55" s="3248" t="s">
        <v>2745</v>
      </c>
      <c r="H55" s="3294"/>
      <c r="I55" s="144" t="s">
        <v>2746</v>
      </c>
      <c r="J55" s="2705">
        <f>项目基本情况!F35</f>
        <v>0</v>
      </c>
      <c r="K55" s="2706" t="s">
        <v>2747</v>
      </c>
      <c r="L55" s="1106"/>
      <c r="M55" s="1144"/>
      <c r="N55" s="1144"/>
      <c r="O55" s="1144"/>
    </row>
    <row r="56" spans="1:15" s="692" customFormat="1">
      <c r="A56" s="688" t="s">
        <v>2748</v>
      </c>
      <c r="B56" s="689" t="e">
        <f>C48</f>
        <v>#DIV/0!</v>
      </c>
      <c r="C56" s="690">
        <v>1</v>
      </c>
      <c r="D56" s="1163">
        <v>1</v>
      </c>
      <c r="E56" s="690">
        <f>'数据-汇总表'!E8+'数据-汇总表'!E9</f>
        <v>15182.239999999998</v>
      </c>
      <c r="F56" s="1103" t="e">
        <f t="shared" ref="F56:F65" si="15">ROUND(B56*E56/10000,0)</f>
        <v>#DIV/0!</v>
      </c>
      <c r="G56" s="3247"/>
      <c r="H56" s="3265"/>
      <c r="I56" s="1108">
        <v>1</v>
      </c>
      <c r="J56" s="1111">
        <v>1</v>
      </c>
      <c r="K56" s="1145"/>
      <c r="L56" s="941"/>
      <c r="M56" s="941"/>
      <c r="N56" s="941"/>
      <c r="O56" s="941"/>
    </row>
    <row r="57" spans="1:15" s="692" customFormat="1">
      <c r="A57" s="693" t="s">
        <v>2749</v>
      </c>
      <c r="B57" s="262" t="e">
        <f>ROUND($C$48*C57*D57,0)</f>
        <v>#DIV/0!</v>
      </c>
      <c r="C57" s="200">
        <f t="shared" ref="C57:C65" si="16">IF($C$55="北京市系数",I57,J57)</f>
        <v>0.7</v>
      </c>
      <c r="D57" s="1164">
        <v>0.25</v>
      </c>
      <c r="E57" s="694"/>
      <c r="F57" s="1103" t="e">
        <f t="shared" si="15"/>
        <v>#DIV/0!</v>
      </c>
      <c r="G57" s="3295" t="s">
        <v>2750</v>
      </c>
      <c r="H57" s="1104" t="str">
        <f>项目基本情况!B37</f>
        <v>七级</v>
      </c>
      <c r="I57" s="1108">
        <f>SUMIF(修正!A45:A56,H57,修正!B45:B56)</f>
        <v>0.7</v>
      </c>
      <c r="J57" s="1112"/>
      <c r="K57" s="1144"/>
      <c r="L57" s="941"/>
      <c r="M57" s="941"/>
      <c r="N57" s="941"/>
      <c r="O57" s="941"/>
    </row>
    <row r="58" spans="1:15" s="692" customFormat="1">
      <c r="A58" s="693" t="s">
        <v>2751</v>
      </c>
      <c r="B58" s="262" t="e">
        <f t="shared" ref="B58:B65" si="17">ROUND($C$48*C58*D58,0)</f>
        <v>#DIV/0!</v>
      </c>
      <c r="C58" s="200">
        <f t="shared" si="16"/>
        <v>0.4</v>
      </c>
      <c r="D58" s="1164">
        <v>0.25</v>
      </c>
      <c r="E58" s="694"/>
      <c r="F58" s="1103" t="e">
        <f t="shared" si="15"/>
        <v>#DIV/0!</v>
      </c>
      <c r="G58" s="3295"/>
      <c r="H58" s="1104" t="str">
        <f>项目基本情况!B37</f>
        <v>七级</v>
      </c>
      <c r="I58" s="1108">
        <f>SUMIF(修正!A45:A56,H58,修正!C45:C56)</f>
        <v>0.4</v>
      </c>
      <c r="J58" s="1112"/>
      <c r="K58" s="1145"/>
      <c r="L58" s="941"/>
      <c r="M58" s="941"/>
      <c r="N58" s="941"/>
      <c r="O58" s="941"/>
    </row>
    <row r="59" spans="1:15" s="692" customFormat="1">
      <c r="A59" s="693" t="s">
        <v>2752</v>
      </c>
      <c r="B59" s="262" t="e">
        <f t="shared" si="17"/>
        <v>#DIV/0!</v>
      </c>
      <c r="C59" s="200">
        <f t="shared" si="16"/>
        <v>0.28000000000000003</v>
      </c>
      <c r="D59" s="1164">
        <v>0.25</v>
      </c>
      <c r="E59" s="694"/>
      <c r="F59" s="1103" t="e">
        <f t="shared" si="15"/>
        <v>#DIV/0!</v>
      </c>
      <c r="G59" s="3295"/>
      <c r="H59" s="1104" t="str">
        <f>项目基本情况!B37</f>
        <v>七级</v>
      </c>
      <c r="I59" s="1108">
        <f>SUMIF(修正!A45:A56,H59,修正!D45:D56)</f>
        <v>0.28000000000000003</v>
      </c>
      <c r="J59" s="1112"/>
      <c r="K59" s="1144"/>
      <c r="L59" s="941"/>
      <c r="M59" s="941"/>
      <c r="N59" s="941"/>
      <c r="O59" s="941"/>
    </row>
    <row r="60" spans="1:15" s="692" customFormat="1">
      <c r="A60" s="693" t="s">
        <v>2753</v>
      </c>
      <c r="B60" s="262" t="e">
        <f t="shared" si="17"/>
        <v>#DIV/0!</v>
      </c>
      <c r="C60" s="200">
        <f t="shared" si="16"/>
        <v>0.25</v>
      </c>
      <c r="D60" s="1164">
        <v>0.25</v>
      </c>
      <c r="E60" s="694"/>
      <c r="F60" s="1103" t="e">
        <f t="shared" si="15"/>
        <v>#DIV/0!</v>
      </c>
      <c r="G60" s="3295"/>
      <c r="H60" s="1104" t="str">
        <f>项目基本情况!B37</f>
        <v>七级</v>
      </c>
      <c r="I60" s="1108">
        <f>SUMIF(修正!A45:A56,H60,修正!E45:E56)</f>
        <v>0.25</v>
      </c>
      <c r="J60" s="1112"/>
      <c r="K60" s="1145"/>
      <c r="L60" s="941"/>
      <c r="M60" s="941"/>
      <c r="N60" s="941"/>
      <c r="O60" s="941"/>
    </row>
    <row r="61" spans="1:15" s="692" customFormat="1">
      <c r="A61" s="693" t="s">
        <v>2754</v>
      </c>
      <c r="B61" s="262" t="e">
        <f t="shared" si="17"/>
        <v>#DIV/0!</v>
      </c>
      <c r="C61" s="200">
        <f t="shared" si="16"/>
        <v>0.25</v>
      </c>
      <c r="D61" s="1164">
        <v>0.25</v>
      </c>
      <c r="E61" s="261">
        <f>'数据-汇总表'!E11</f>
        <v>0</v>
      </c>
      <c r="F61" s="1103" t="e">
        <f t="shared" si="15"/>
        <v>#DIV/0!</v>
      </c>
      <c r="G61" s="2707" t="s">
        <v>2755</v>
      </c>
      <c r="H61" s="1104" t="str">
        <f>项目基本情况!C37</f>
        <v>七级</v>
      </c>
      <c r="I61" s="1108">
        <f>SUMIF(修正!A45:A56,H61,修正!F45:F56)</f>
        <v>0.25</v>
      </c>
      <c r="J61" s="1112"/>
      <c r="K61" s="1144"/>
      <c r="L61" s="941"/>
      <c r="M61" s="941"/>
      <c r="N61" s="941"/>
      <c r="O61" s="941"/>
    </row>
    <row r="62" spans="1:15" s="692" customFormat="1">
      <c r="A62" s="693" t="s">
        <v>2756</v>
      </c>
      <c r="B62" s="262" t="e">
        <f t="shared" si="17"/>
        <v>#DIV/0!</v>
      </c>
      <c r="C62" s="200">
        <f t="shared" si="16"/>
        <v>0.25</v>
      </c>
      <c r="D62" s="1164">
        <v>0.25</v>
      </c>
      <c r="E62" s="261">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2758</v>
      </c>
      <c r="B63" s="262" t="e">
        <f t="shared" si="17"/>
        <v>#DIV/0!</v>
      </c>
      <c r="C63" s="200">
        <f t="shared" si="16"/>
        <v>0</v>
      </c>
      <c r="D63" s="1164">
        <v>0.25</v>
      </c>
      <c r="E63" s="261">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2760</v>
      </c>
      <c r="B64" s="262" t="e">
        <f t="shared" si="17"/>
        <v>#DIV/0!</v>
      </c>
      <c r="C64" s="200">
        <f t="shared" si="16"/>
        <v>0.2</v>
      </c>
      <c r="D64" s="1164">
        <v>0.25</v>
      </c>
      <c r="E64" s="261">
        <f>'数据-汇总表'!E14</f>
        <v>0</v>
      </c>
      <c r="F64" s="1103" t="e">
        <f t="shared" si="15"/>
        <v>#DIV/0!</v>
      </c>
      <c r="G64" s="2707" t="s">
        <v>2750</v>
      </c>
      <c r="H64" s="1104" t="str">
        <f>项目基本情况!B37</f>
        <v>七级</v>
      </c>
      <c r="I64" s="1108">
        <f>SUMIF(修正!A45:A56,H64,修正!H45:H56)</f>
        <v>0.2</v>
      </c>
      <c r="J64" s="1112"/>
      <c r="K64" s="1145"/>
      <c r="L64" s="941"/>
      <c r="M64" s="941"/>
      <c r="N64" s="941"/>
      <c r="O64" s="941"/>
    </row>
    <row r="65" spans="1:17" s="692" customFormat="1" ht="15" thickBot="1">
      <c r="A65" s="693" t="s">
        <v>2761</v>
      </c>
      <c r="B65" s="262" t="e">
        <f t="shared" si="17"/>
        <v>#DIV/0!</v>
      </c>
      <c r="C65" s="200">
        <f t="shared" si="16"/>
        <v>0.2</v>
      </c>
      <c r="D65" s="1164">
        <v>0.25</v>
      </c>
      <c r="E65" s="261">
        <f>'数据-汇总表'!E15</f>
        <v>0</v>
      </c>
      <c r="F65" s="1103" t="e">
        <f t="shared" si="15"/>
        <v>#DIV/0!</v>
      </c>
      <c r="G65" s="2708" t="s">
        <v>2755</v>
      </c>
      <c r="H65" s="1114" t="str">
        <f>项目基本情况!C37</f>
        <v>七级</v>
      </c>
      <c r="I65" s="1110">
        <f>SUMIF(修正!A45:A56,H65,修正!H45:H56)</f>
        <v>0.2</v>
      </c>
      <c r="J65" s="1113"/>
      <c r="K65" s="1144"/>
      <c r="L65" s="941"/>
      <c r="M65" s="941"/>
      <c r="N65" s="941"/>
      <c r="O65" s="941"/>
    </row>
    <row r="66" spans="1:17" s="692" customFormat="1" ht="15" thickBot="1">
      <c r="A66" s="695" t="s">
        <v>2762</v>
      </c>
      <c r="B66" s="696" t="s">
        <v>28</v>
      </c>
      <c r="C66" s="696" t="s">
        <v>29</v>
      </c>
      <c r="D66" s="696" t="s">
        <v>1025</v>
      </c>
      <c r="E66" s="696">
        <f>IF(B46="楼面地价",SUM(E56:E65),'数据-汇总表'!D3)</f>
        <v>15182.239999999998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 thickBot="1">
      <c r="A69" s="763" t="s">
        <v>2655</v>
      </c>
      <c r="B69" s="759"/>
      <c r="C69" s="764"/>
      <c r="D69" s="764"/>
      <c r="E69" s="764"/>
      <c r="F69" s="765"/>
      <c r="G69" s="765"/>
      <c r="H69" s="764"/>
      <c r="I69" s="764"/>
      <c r="J69" s="1159"/>
      <c r="K69" s="1160"/>
      <c r="L69" s="1161"/>
      <c r="M69" s="1159"/>
      <c r="N69" s="1159"/>
      <c r="O69" s="1159"/>
      <c r="P69" s="503"/>
      <c r="Q69" s="504"/>
    </row>
    <row r="70" spans="1:17" s="508" customFormat="1" ht="15">
      <c r="A70" s="2709" t="s">
        <v>2763</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0" t="s">
        <v>2764</v>
      </c>
      <c r="B71" s="332" t="str">
        <f>"北京市平均增长率"&amp;TEXT(SUMIF('基准地价修正-商业'!N21:N25,A71,'基准地价修正-商业'!P21:P25),"0.00%")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2566</v>
      </c>
      <c r="B72" s="516"/>
      <c r="C72" s="517"/>
      <c r="D72" s="518"/>
      <c r="E72" s="518"/>
      <c r="F72" s="518"/>
      <c r="G72" s="518"/>
      <c r="H72" s="518"/>
      <c r="I72" s="518"/>
      <c r="J72" s="518"/>
      <c r="K72" s="518"/>
      <c r="L72" s="518"/>
      <c r="M72" s="519"/>
      <c r="N72" s="518"/>
      <c r="O72" s="1162"/>
      <c r="P72" s="504"/>
      <c r="Q72" s="504"/>
    </row>
    <row r="73" spans="1:17" s="117" customFormat="1" ht="15">
      <c r="A73" s="521" t="s">
        <v>2531</v>
      </c>
      <c r="B73" s="510"/>
      <c r="C73" s="522" t="s">
        <v>2633</v>
      </c>
      <c r="D73" s="523"/>
      <c r="E73" s="523"/>
      <c r="F73" s="523"/>
      <c r="G73" s="523"/>
      <c r="H73" s="523"/>
      <c r="I73" s="523"/>
      <c r="J73" s="523"/>
      <c r="K73" s="523"/>
      <c r="L73" s="524"/>
      <c r="M73" s="525"/>
      <c r="N73" s="1151"/>
      <c r="O73" s="1151"/>
      <c r="P73" s="526"/>
      <c r="Q73" s="504"/>
    </row>
    <row r="74" spans="1:17" s="117" customFormat="1" ht="15" thickBot="1">
      <c r="A74" s="521"/>
      <c r="B74" s="510"/>
      <c r="C74" s="639">
        <v>100</v>
      </c>
      <c r="D74" s="512"/>
      <c r="E74" s="512"/>
      <c r="F74" s="512"/>
      <c r="G74" s="512"/>
      <c r="H74" s="512"/>
      <c r="I74" s="512"/>
      <c r="J74" s="512"/>
      <c r="K74" s="512"/>
      <c r="L74" s="512"/>
      <c r="M74" s="514"/>
      <c r="N74" s="1151"/>
      <c r="O74" s="1151"/>
      <c r="P74" s="504"/>
      <c r="Q74" s="504"/>
    </row>
    <row r="75" spans="1:17" ht="15">
      <c r="A75" s="527" t="s">
        <v>2569</v>
      </c>
      <c r="B75" s="528" t="s">
        <v>2535</v>
      </c>
      <c r="C75" s="530"/>
      <c r="D75" s="530"/>
      <c r="E75" s="530"/>
      <c r="F75" s="530"/>
      <c r="G75" s="530"/>
      <c r="H75" s="530"/>
      <c r="I75" s="530"/>
      <c r="J75" s="530"/>
      <c r="K75" s="531"/>
      <c r="L75" s="532"/>
      <c r="M75" s="533"/>
      <c r="N75" s="1152"/>
      <c r="O75" s="1152"/>
      <c r="P75" s="45"/>
      <c r="Q75" s="504"/>
    </row>
    <row r="76" spans="1:17" ht="15" thickBot="1">
      <c r="A76" s="534"/>
      <c r="B76" s="535"/>
      <c r="C76" s="536"/>
      <c r="D76" s="536"/>
      <c r="E76" s="536"/>
      <c r="F76" s="536"/>
      <c r="G76" s="536"/>
      <c r="H76" s="536"/>
      <c r="I76" s="536"/>
      <c r="J76" s="536"/>
      <c r="K76" s="536"/>
      <c r="L76" s="536"/>
      <c r="M76" s="537"/>
      <c r="N76" s="1153"/>
      <c r="O76" s="1153"/>
      <c r="P76" s="45"/>
      <c r="Q76" s="504"/>
    </row>
    <row r="77" spans="1:17" ht="31" thickTop="1">
      <c r="A77" s="534"/>
      <c r="B77" s="538" t="s">
        <v>2538</v>
      </c>
      <c r="C77" s="539"/>
      <c r="D77" s="539"/>
      <c r="E77" s="539"/>
      <c r="F77" s="539"/>
      <c r="G77" s="539"/>
      <c r="H77" s="539"/>
      <c r="I77" s="539"/>
      <c r="J77" s="539"/>
      <c r="K77" s="540"/>
      <c r="L77" s="541"/>
      <c r="M77" s="542"/>
      <c r="N77" s="1152"/>
      <c r="O77" s="1152"/>
      <c r="P77" s="45"/>
      <c r="Q77" s="504"/>
    </row>
    <row r="78" spans="1:17" ht="15" thickBot="1">
      <c r="A78" s="534"/>
      <c r="B78" s="543"/>
      <c r="C78" s="544"/>
      <c r="D78" s="544"/>
      <c r="E78" s="544"/>
      <c r="F78" s="544"/>
      <c r="G78" s="544"/>
      <c r="H78" s="544"/>
      <c r="I78" s="544"/>
      <c r="J78" s="544"/>
      <c r="K78" s="544"/>
      <c r="L78" s="544"/>
      <c r="M78" s="545"/>
      <c r="N78" s="1153"/>
      <c r="O78" s="1153"/>
      <c r="P78" s="45"/>
      <c r="Q78" s="504"/>
    </row>
    <row r="79" spans="1:17" ht="16"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6"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 thickBot="1">
      <c r="A83" s="553"/>
      <c r="B83" s="543"/>
      <c r="C83" s="560"/>
      <c r="D83" s="536"/>
      <c r="E83" s="536"/>
      <c r="F83" s="536"/>
      <c r="G83" s="536"/>
      <c r="H83" s="536"/>
      <c r="I83" s="536"/>
      <c r="J83" s="536"/>
      <c r="K83" s="536"/>
      <c r="L83" s="536"/>
      <c r="M83" s="537"/>
      <c r="N83" s="1153"/>
      <c r="O83" s="1153"/>
      <c r="P83" s="558"/>
      <c r="Q83" s="559"/>
    </row>
    <row r="84" spans="1:17" s="471" customFormat="1" ht="15" thickTop="1">
      <c r="A84" s="553"/>
      <c r="B84" s="538">
        <f>B13</f>
        <v>111</v>
      </c>
      <c r="C84" s="554"/>
      <c r="D84" s="554"/>
      <c r="E84" s="554"/>
      <c r="F84" s="554"/>
      <c r="G84" s="554"/>
      <c r="H84" s="555"/>
      <c r="I84" s="555"/>
      <c r="J84" s="555"/>
      <c r="K84" s="555"/>
      <c r="L84" s="556"/>
      <c r="M84" s="557"/>
      <c r="N84" s="1154"/>
      <c r="O84" s="1154"/>
      <c r="P84" s="470"/>
      <c r="Q84" s="561"/>
    </row>
    <row r="85" spans="1:17" s="471" customFormat="1" ht="15" thickBot="1">
      <c r="A85" s="553"/>
      <c r="B85" s="543"/>
      <c r="C85" s="560"/>
      <c r="D85" s="560"/>
      <c r="E85" s="560"/>
      <c r="F85" s="560"/>
      <c r="G85" s="560"/>
      <c r="H85" s="562"/>
      <c r="I85" s="562"/>
      <c r="J85" s="562"/>
      <c r="K85" s="562"/>
      <c r="L85" s="562"/>
      <c r="M85" s="563"/>
      <c r="N85" s="1154"/>
      <c r="O85" s="1154"/>
      <c r="P85" s="558"/>
      <c r="Q85" s="559"/>
    </row>
    <row r="86" spans="1:17" s="471" customFormat="1" ht="15" thickTop="1">
      <c r="A86" s="553"/>
      <c r="B86" s="546">
        <f>B14</f>
        <v>111</v>
      </c>
      <c r="C86" s="523"/>
      <c r="D86" s="523"/>
      <c r="E86" s="523"/>
      <c r="F86" s="523"/>
      <c r="G86" s="523"/>
      <c r="H86" s="564"/>
      <c r="I86" s="564"/>
      <c r="J86" s="564"/>
      <c r="K86" s="564"/>
      <c r="L86" s="565"/>
      <c r="M86" s="566"/>
      <c r="N86" s="1154"/>
      <c r="O86" s="1154"/>
      <c r="P86" s="567"/>
      <c r="Q86" s="559"/>
    </row>
    <row r="87" spans="1:17" s="471" customFormat="1" ht="15" thickBot="1">
      <c r="A87" s="568"/>
      <c r="B87" s="569"/>
      <c r="C87" s="570"/>
      <c r="D87" s="570"/>
      <c r="E87" s="570"/>
      <c r="F87" s="570"/>
      <c r="G87" s="570"/>
      <c r="H87" s="571"/>
      <c r="I87" s="571"/>
      <c r="J87" s="571"/>
      <c r="K87" s="571"/>
      <c r="L87" s="571"/>
      <c r="M87" s="572"/>
      <c r="N87" s="1154"/>
      <c r="O87" s="1154"/>
      <c r="P87" s="558"/>
      <c r="Q87" s="559"/>
    </row>
    <row r="88" spans="1:17" ht="15">
      <c r="A88" s="527" t="s">
        <v>2540</v>
      </c>
      <c r="B88" s="528" t="s">
        <v>2577</v>
      </c>
      <c r="C88" s="573" t="s">
        <v>2578</v>
      </c>
      <c r="D88" s="573" t="s">
        <v>2579</v>
      </c>
      <c r="E88" s="573" t="s">
        <v>2580</v>
      </c>
      <c r="F88" s="573" t="s">
        <v>2581</v>
      </c>
      <c r="G88" s="573" t="s">
        <v>2582</v>
      </c>
      <c r="H88" s="529"/>
      <c r="I88" s="529"/>
      <c r="J88" s="529"/>
      <c r="K88" s="574"/>
      <c r="L88" s="575"/>
      <c r="M88" s="576"/>
      <c r="N88" s="1152"/>
      <c r="O88" s="1152"/>
      <c r="P88" s="577"/>
      <c r="Q88" s="504"/>
    </row>
    <row r="89" spans="1:17" ht="1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6" thickTop="1">
      <c r="A90" s="534"/>
      <c r="B90" s="538" t="s">
        <v>2765</v>
      </c>
      <c r="C90" s="578" t="s">
        <v>2578</v>
      </c>
      <c r="D90" s="578" t="s">
        <v>2579</v>
      </c>
      <c r="E90" s="578" t="s">
        <v>2580</v>
      </c>
      <c r="F90" s="578" t="s">
        <v>2581</v>
      </c>
      <c r="G90" s="578" t="s">
        <v>2582</v>
      </c>
      <c r="H90" s="539"/>
      <c r="I90" s="539"/>
      <c r="J90" s="539"/>
      <c r="K90" s="540"/>
      <c r="L90" s="541"/>
      <c r="M90" s="542"/>
      <c r="N90" s="1152"/>
      <c r="O90" s="1152"/>
      <c r="P90" s="45"/>
      <c r="Q90" s="504"/>
    </row>
    <row r="91" spans="1:17" ht="1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6" thickTop="1">
      <c r="A92" s="534"/>
      <c r="B92" s="538" t="s">
        <v>2678</v>
      </c>
      <c r="C92" s="578" t="s">
        <v>2578</v>
      </c>
      <c r="D92" s="578" t="s">
        <v>2579</v>
      </c>
      <c r="E92" s="578" t="s">
        <v>2580</v>
      </c>
      <c r="F92" s="578" t="s">
        <v>2581</v>
      </c>
      <c r="G92" s="578" t="s">
        <v>2582</v>
      </c>
      <c r="H92" s="539"/>
      <c r="I92" s="539"/>
      <c r="J92" s="539"/>
      <c r="K92" s="540"/>
      <c r="L92" s="541"/>
      <c r="M92" s="542"/>
      <c r="N92" s="1152"/>
      <c r="O92" s="1152"/>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6" thickTop="1">
      <c r="A94" s="534"/>
      <c r="B94" s="538" t="s">
        <v>2583</v>
      </c>
      <c r="C94" s="578" t="s">
        <v>2578</v>
      </c>
      <c r="D94" s="578" t="s">
        <v>2579</v>
      </c>
      <c r="E94" s="578" t="s">
        <v>2580</v>
      </c>
      <c r="F94" s="578" t="s">
        <v>2581</v>
      </c>
      <c r="G94" s="578" t="s">
        <v>2582</v>
      </c>
      <c r="H94" s="539"/>
      <c r="I94" s="539"/>
      <c r="J94" s="539"/>
      <c r="K94" s="540"/>
      <c r="L94" s="541"/>
      <c r="M94" s="542"/>
      <c r="N94" s="1152"/>
      <c r="O94" s="1152"/>
      <c r="P94" s="45"/>
      <c r="Q94" s="504"/>
    </row>
    <row r="95" spans="1:17" ht="1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6" thickTop="1">
      <c r="A96" s="579"/>
      <c r="B96" s="538" t="s">
        <v>2766</v>
      </c>
      <c r="C96" s="578" t="s">
        <v>2578</v>
      </c>
      <c r="D96" s="578" t="s">
        <v>2579</v>
      </c>
      <c r="E96" s="578" t="s">
        <v>2580</v>
      </c>
      <c r="F96" s="578" t="s">
        <v>2581</v>
      </c>
      <c r="G96" s="578" t="s">
        <v>2582</v>
      </c>
      <c r="H96" s="578"/>
      <c r="I96" s="578"/>
      <c r="J96" s="578"/>
      <c r="K96" s="578"/>
      <c r="L96" s="698"/>
      <c r="M96" s="622"/>
      <c r="N96" s="1151"/>
      <c r="O96" s="1151"/>
      <c r="P96" s="45"/>
      <c r="Q96" s="504"/>
    </row>
    <row r="97" spans="1:17" s="117" customFormat="1" ht="1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31" thickTop="1">
      <c r="A98" s="579"/>
      <c r="B98" s="538" t="s">
        <v>2767</v>
      </c>
      <c r="C98" s="573" t="s">
        <v>2578</v>
      </c>
      <c r="D98" s="573" t="s">
        <v>2579</v>
      </c>
      <c r="E98" s="573" t="s">
        <v>2580</v>
      </c>
      <c r="F98" s="573" t="s">
        <v>2581</v>
      </c>
      <c r="G98" s="573" t="s">
        <v>2582</v>
      </c>
      <c r="H98" s="578"/>
      <c r="I98" s="578"/>
      <c r="J98" s="578"/>
      <c r="K98" s="578"/>
      <c r="L98" s="578"/>
      <c r="M98" s="622"/>
      <c r="N98" s="1151"/>
      <c r="O98" s="1151"/>
      <c r="P98" s="45"/>
      <c r="Q98" s="504"/>
    </row>
    <row r="99" spans="1:17" s="117" customFormat="1" ht="1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6" thickTop="1">
      <c r="A100" s="553"/>
      <c r="B100" s="538" t="s">
        <v>2635</v>
      </c>
      <c r="C100" s="573" t="s">
        <v>2578</v>
      </c>
      <c r="D100" s="573" t="s">
        <v>2579</v>
      </c>
      <c r="E100" s="573" t="s">
        <v>2580</v>
      </c>
      <c r="F100" s="573" t="s">
        <v>2581</v>
      </c>
      <c r="G100" s="573" t="s">
        <v>2582</v>
      </c>
      <c r="H100" s="600"/>
      <c r="I100" s="600"/>
      <c r="J100" s="600"/>
      <c r="K100" s="600"/>
      <c r="L100" s="601"/>
      <c r="M100" s="602"/>
      <c r="N100" s="1154"/>
      <c r="O100" s="1154"/>
      <c r="P100" s="558"/>
      <c r="Q100" s="559"/>
    </row>
    <row r="101" spans="1:17" s="471" customFormat="1" ht="1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6" thickTop="1">
      <c r="A102" s="553"/>
      <c r="B102" s="546" t="s">
        <v>2636</v>
      </c>
      <c r="C102" s="660" t="s">
        <v>2656</v>
      </c>
      <c r="D102" s="660" t="s">
        <v>2657</v>
      </c>
      <c r="E102" s="660" t="s">
        <v>2658</v>
      </c>
      <c r="F102" s="660" t="s">
        <v>2659</v>
      </c>
      <c r="G102" s="660" t="s">
        <v>2660</v>
      </c>
      <c r="H102" s="600"/>
      <c r="I102" s="600"/>
      <c r="J102" s="600"/>
      <c r="K102" s="600"/>
      <c r="L102" s="600"/>
      <c r="M102" s="1384"/>
      <c r="N102" s="1154"/>
      <c r="O102" s="1154"/>
      <c r="P102" s="558"/>
      <c r="Q102" s="559"/>
    </row>
    <row r="103" spans="1:17" s="471" customFormat="1" ht="1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6" thickTop="1">
      <c r="A104" s="534"/>
      <c r="B104" s="538" t="str">
        <f>B31</f>
        <v>临街状况</v>
      </c>
      <c r="C104" s="539" t="s">
        <v>2768</v>
      </c>
      <c r="D104" s="539" t="s">
        <v>2769</v>
      </c>
      <c r="E104" s="539" t="s">
        <v>2770</v>
      </c>
      <c r="F104" s="539" t="s">
        <v>2771</v>
      </c>
      <c r="G104" s="539"/>
      <c r="H104" s="539"/>
      <c r="I104" s="539"/>
      <c r="J104" s="539"/>
      <c r="K104" s="540"/>
      <c r="L104" s="541"/>
      <c r="M104" s="542"/>
      <c r="N104" s="1152"/>
      <c r="O104" s="1152"/>
      <c r="P104" s="45"/>
      <c r="Q104" s="504"/>
    </row>
    <row r="105" spans="1:17" ht="1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31" thickTop="1">
      <c r="A106" s="534"/>
      <c r="B106" s="538" t="s">
        <v>2672</v>
      </c>
      <c r="C106" s="554"/>
      <c r="D106" s="554"/>
      <c r="E106" s="554"/>
      <c r="F106" s="554"/>
      <c r="G106" s="554"/>
      <c r="H106" s="583"/>
      <c r="I106" s="583"/>
      <c r="J106" s="583"/>
      <c r="K106" s="584"/>
      <c r="L106" s="585"/>
      <c r="M106" s="586"/>
      <c r="N106" s="1152"/>
      <c r="O106" s="1152"/>
      <c r="P106" s="45"/>
      <c r="Q106" s="504"/>
    </row>
    <row r="107" spans="1:17" ht="1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6" thickTop="1">
      <c r="A108" s="534"/>
      <c r="B108" s="538" t="s">
        <v>2731</v>
      </c>
      <c r="C108" s="583"/>
      <c r="D108" s="583"/>
      <c r="E108" s="583"/>
      <c r="F108" s="583"/>
      <c r="G108" s="583"/>
      <c r="H108" s="583"/>
      <c r="I108" s="583"/>
      <c r="J108" s="583"/>
      <c r="K108" s="584"/>
      <c r="L108" s="585"/>
      <c r="M108" s="586"/>
      <c r="N108" s="1152"/>
      <c r="O108" s="1152"/>
      <c r="P108" s="45"/>
      <c r="Q108" s="504"/>
    </row>
    <row r="109" spans="1:17" ht="1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 thickTop="1">
      <c r="A110" s="534"/>
      <c r="B110" s="546">
        <f>B35</f>
        <v>111</v>
      </c>
      <c r="C110" s="554"/>
      <c r="D110" s="554"/>
      <c r="E110" s="554"/>
      <c r="F110" s="554"/>
      <c r="G110" s="587"/>
      <c r="H110" s="587"/>
      <c r="I110" s="587"/>
      <c r="J110" s="587"/>
      <c r="K110" s="588"/>
      <c r="L110" s="589"/>
      <c r="M110" s="590"/>
      <c r="N110" s="1152"/>
      <c r="O110" s="1152"/>
      <c r="P110" s="45"/>
      <c r="Q110" s="504"/>
    </row>
    <row r="111" spans="1:17" ht="1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 thickBot="1">
      <c r="A115" s="553"/>
      <c r="B115" s="546"/>
      <c r="C115" s="512"/>
      <c r="D115" s="677"/>
      <c r="E115" s="677"/>
      <c r="F115" s="677"/>
      <c r="G115" s="677"/>
      <c r="H115" s="677"/>
      <c r="I115" s="677"/>
      <c r="J115" s="677"/>
      <c r="K115" s="677"/>
      <c r="L115" s="677"/>
      <c r="M115" s="699"/>
      <c r="N115" s="1153"/>
      <c r="O115" s="1153"/>
      <c r="P115" s="558"/>
      <c r="Q115" s="559"/>
    </row>
    <row r="116" spans="1:17" ht="15">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5" thickBot="1">
      <c r="A118" s="534"/>
      <c r="B118" s="543"/>
      <c r="C118" s="570"/>
      <c r="D118" s="591"/>
      <c r="E118" s="591"/>
      <c r="F118" s="591"/>
      <c r="G118" s="591"/>
      <c r="H118" s="591"/>
      <c r="I118" s="591"/>
      <c r="J118" s="591"/>
      <c r="K118" s="591"/>
      <c r="L118" s="591"/>
      <c r="M118" s="592"/>
      <c r="N118" s="1153"/>
      <c r="O118" s="1153"/>
      <c r="P118" s="45"/>
      <c r="Q118" s="504"/>
    </row>
    <row r="119" spans="1:17" ht="16" thickTop="1">
      <c r="A119" s="599"/>
      <c r="B119" s="538" t="s">
        <v>2773</v>
      </c>
      <c r="C119" s="583"/>
      <c r="D119" s="583"/>
      <c r="E119" s="583"/>
      <c r="F119" s="583"/>
      <c r="G119" s="583"/>
      <c r="H119" s="583"/>
      <c r="I119" s="583"/>
      <c r="J119" s="583"/>
      <c r="K119" s="584"/>
      <c r="L119" s="585"/>
      <c r="M119" s="586"/>
      <c r="N119" s="1152"/>
      <c r="O119" s="1152"/>
      <c r="P119" s="45"/>
      <c r="Q119" s="504"/>
    </row>
    <row r="120" spans="1:17" ht="1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6" thickTop="1">
      <c r="A121" s="599"/>
      <c r="B121" s="538" t="s">
        <v>2774</v>
      </c>
      <c r="C121" s="554"/>
      <c r="D121" s="554"/>
      <c r="E121" s="554"/>
      <c r="F121" s="583"/>
      <c r="G121" s="583"/>
      <c r="H121" s="583"/>
      <c r="I121" s="583"/>
      <c r="J121" s="583"/>
      <c r="K121" s="584"/>
      <c r="L121" s="585"/>
      <c r="M121" s="586"/>
      <c r="N121" s="1152"/>
      <c r="O121" s="1152"/>
      <c r="P121" s="45"/>
      <c r="Q121" s="504"/>
    </row>
    <row r="122" spans="1:17" ht="1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6" thickTop="1">
      <c r="A123" s="593"/>
      <c r="B123" s="538" t="s">
        <v>2775</v>
      </c>
      <c r="C123" s="554"/>
      <c r="D123" s="554"/>
      <c r="E123" s="554"/>
      <c r="F123" s="554"/>
      <c r="G123" s="554"/>
      <c r="H123" s="583"/>
      <c r="I123" s="583"/>
      <c r="J123" s="583"/>
      <c r="K123" s="584"/>
      <c r="L123" s="585"/>
      <c r="M123" s="586"/>
      <c r="N123" s="1154"/>
      <c r="O123" s="1154"/>
      <c r="P123" s="558"/>
      <c r="Q123" s="559"/>
    </row>
    <row r="124" spans="1:17" s="471" customFormat="1" ht="1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6" thickTop="1">
      <c r="A125" s="599"/>
      <c r="B125" s="538" t="s">
        <v>2776</v>
      </c>
      <c r="C125" s="554"/>
      <c r="D125" s="554"/>
      <c r="E125" s="583"/>
      <c r="F125" s="583"/>
      <c r="G125" s="583"/>
      <c r="H125" s="583"/>
      <c r="I125" s="583"/>
      <c r="J125" s="583"/>
      <c r="K125" s="584"/>
      <c r="L125" s="585"/>
      <c r="M125" s="586"/>
      <c r="N125" s="1152"/>
      <c r="O125" s="1152"/>
      <c r="P125" s="45"/>
      <c r="Q125" s="504"/>
    </row>
    <row r="126" spans="1:17" ht="1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2725</v>
      </c>
      <c r="B1" s="395"/>
      <c r="C1" s="396" t="s">
        <v>2777</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48" t="s">
        <v>2627</v>
      </c>
      <c r="D4" s="3249"/>
      <c r="E4" s="3250" t="s">
        <v>2628</v>
      </c>
      <c r="F4" s="3251"/>
      <c r="G4" s="3248" t="s">
        <v>2629</v>
      </c>
      <c r="H4" s="3249"/>
      <c r="I4" s="3248" t="s">
        <v>2630</v>
      </c>
      <c r="J4" s="3249"/>
      <c r="K4" s="610" t="s">
        <v>2631</v>
      </c>
      <c r="L4" s="1130"/>
      <c r="M4" s="1131"/>
      <c r="N4" s="1131"/>
      <c r="O4" s="1131"/>
      <c r="P4" s="3252" t="s">
        <v>2632</v>
      </c>
      <c r="Q4" s="3253"/>
      <c r="R4" s="3235" t="s">
        <v>2628</v>
      </c>
      <c r="S4" s="3236"/>
      <c r="T4" s="3235" t="s">
        <v>2629</v>
      </c>
      <c r="U4" s="3236"/>
      <c r="V4" s="3260" t="s">
        <v>2630</v>
      </c>
      <c r="W4" s="3260"/>
      <c r="X4" s="1812"/>
      <c r="Y4" s="3235" t="s">
        <v>2632</v>
      </c>
      <c r="Z4" s="3236"/>
      <c r="AA4" s="3230" t="s">
        <v>2628</v>
      </c>
      <c r="AB4" s="3231" t="s">
        <v>2629</v>
      </c>
      <c r="AC4" s="3230" t="s">
        <v>2630</v>
      </c>
    </row>
    <row r="5" spans="1:29">
      <c r="A5" s="404"/>
      <c r="B5" s="405"/>
      <c r="C5" s="3241" t="s">
        <v>2523</v>
      </c>
      <c r="D5" s="3242"/>
      <c r="E5" s="3239" t="s">
        <v>2524</v>
      </c>
      <c r="F5" s="3240"/>
      <c r="G5" s="3241" t="s">
        <v>2525</v>
      </c>
      <c r="H5" s="3242"/>
      <c r="I5" s="3241" t="s">
        <v>2526</v>
      </c>
      <c r="J5" s="3242"/>
      <c r="K5" s="610"/>
      <c r="L5" s="1130"/>
      <c r="M5" s="1131"/>
      <c r="N5" s="1131"/>
      <c r="O5" s="1131"/>
      <c r="P5" s="3254"/>
      <c r="Q5" s="3255"/>
      <c r="R5" s="3237"/>
      <c r="S5" s="3238"/>
      <c r="T5" s="3237"/>
      <c r="U5" s="3238"/>
      <c r="V5" s="3260"/>
      <c r="W5" s="3260"/>
      <c r="X5" s="1812"/>
      <c r="Y5" s="3237"/>
      <c r="Z5" s="3238"/>
      <c r="AA5" s="3231"/>
      <c r="AB5" s="3231"/>
      <c r="AC5" s="3231"/>
    </row>
    <row r="6" spans="1:29" ht="16" thickBot="1">
      <c r="A6" s="406"/>
      <c r="B6" s="407"/>
      <c r="C6" s="3296" t="s">
        <v>2778</v>
      </c>
      <c r="D6" s="3297"/>
      <c r="E6" s="3298" t="s">
        <v>2778</v>
      </c>
      <c r="F6" s="3299"/>
      <c r="G6" s="3296" t="s">
        <v>2778</v>
      </c>
      <c r="H6" s="3297"/>
      <c r="I6" s="3296" t="s">
        <v>2778</v>
      </c>
      <c r="J6" s="3297"/>
      <c r="K6" s="610" t="s">
        <v>2528</v>
      </c>
      <c r="L6" s="1130"/>
      <c r="M6" s="1131"/>
      <c r="N6" s="1131"/>
      <c r="O6" s="1131"/>
      <c r="P6" s="3256"/>
      <c r="Q6" s="3257"/>
      <c r="R6" s="3237"/>
      <c r="S6" s="3238"/>
      <c r="T6" s="3258"/>
      <c r="U6" s="3259"/>
      <c r="V6" s="3260"/>
      <c r="W6" s="3260"/>
      <c r="X6" s="1812"/>
      <c r="Y6" s="3258"/>
      <c r="Z6" s="3259"/>
      <c r="AA6" s="3232"/>
      <c r="AB6" s="3232"/>
      <c r="AC6" s="3232"/>
    </row>
    <row r="7" spans="1:29" s="117" customFormat="1" ht="16" thickBot="1">
      <c r="A7" s="408" t="s">
        <v>2529</v>
      </c>
      <c r="B7" s="409"/>
      <c r="C7" s="410">
        <f>'数据-取费表'!B2</f>
        <v>43906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3" t="s">
        <v>2530</v>
      </c>
      <c r="Q7" s="3261"/>
      <c r="R7" s="770" t="s">
        <v>17</v>
      </c>
      <c r="S7" s="771">
        <f t="shared" ref="S7:S15" si="0">F7</f>
        <v>0</v>
      </c>
      <c r="T7" s="770" t="s">
        <v>17</v>
      </c>
      <c r="U7" s="771">
        <f t="shared" ref="U7:U15" si="1">H7</f>
        <v>0</v>
      </c>
      <c r="V7" s="770" t="s">
        <v>17</v>
      </c>
      <c r="W7" s="771">
        <f t="shared" ref="W7:W15" si="2">J7</f>
        <v>0</v>
      </c>
      <c r="X7" s="772"/>
      <c r="Y7" s="3233" t="s">
        <v>2530</v>
      </c>
      <c r="Z7" s="3234"/>
      <c r="AA7" s="773" t="e">
        <f>D7/F7</f>
        <v>#DIV/0!</v>
      </c>
      <c r="AB7" s="773" t="e">
        <f>D7/H7</f>
        <v>#DIV/0!</v>
      </c>
      <c r="AC7" s="773" t="e">
        <f>D7/J7</f>
        <v>#DIV/0!</v>
      </c>
    </row>
    <row r="8" spans="1:29" s="117" customFormat="1" ht="16"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3" t="s">
        <v>2533</v>
      </c>
      <c r="Q8" s="3234"/>
      <c r="R8" s="770" t="s">
        <v>17</v>
      </c>
      <c r="S8" s="771">
        <f t="shared" si="0"/>
        <v>0</v>
      </c>
      <c r="T8" s="770" t="s">
        <v>17</v>
      </c>
      <c r="U8" s="771">
        <f t="shared" si="1"/>
        <v>0</v>
      </c>
      <c r="V8" s="770" t="s">
        <v>17</v>
      </c>
      <c r="W8" s="771">
        <f t="shared" si="2"/>
        <v>0</v>
      </c>
      <c r="X8" s="772"/>
      <c r="Y8" s="3233" t="s">
        <v>2533</v>
      </c>
      <c r="Z8" s="3234"/>
      <c r="AA8" s="773" t="e">
        <f t="shared" ref="AA8:AA40" si="3">D8/F8</f>
        <v>#DIV/0!</v>
      </c>
      <c r="AB8" s="773" t="e">
        <f t="shared" ref="AB8:AB40" si="4">D8/H8</f>
        <v>#DIV/0!</v>
      </c>
      <c r="AC8" s="773" t="e">
        <f t="shared" ref="AC8:AC40" si="5">D8/J8</f>
        <v>#DIV/0!</v>
      </c>
    </row>
    <row r="9" spans="1:29" s="117" customFormat="1" ht="15">
      <c r="A9" s="415" t="s">
        <v>2534</v>
      </c>
      <c r="B9" s="71" t="s">
        <v>2535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5"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30">
      <c r="A10" s="421"/>
      <c r="B10" s="422" t="s">
        <v>2538</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65"/>
      <c r="Q10" s="1794" t="str">
        <f t="shared" si="6"/>
        <v>土地使用年限（年）</v>
      </c>
      <c r="R10" s="770" t="s">
        <v>17</v>
      </c>
      <c r="S10" s="771">
        <f t="shared" si="0"/>
        <v>107</v>
      </c>
      <c r="T10" s="770" t="s">
        <v>17</v>
      </c>
      <c r="U10" s="771">
        <f t="shared" si="1"/>
        <v>107</v>
      </c>
      <c r="V10" s="770" t="s">
        <v>17</v>
      </c>
      <c r="W10" s="771">
        <f t="shared" si="2"/>
        <v>107</v>
      </c>
      <c r="X10" s="772"/>
      <c r="Y10" s="3072"/>
      <c r="Z10" s="55" t="str">
        <f t="shared" si="7"/>
        <v>土地使用年限（年）</v>
      </c>
      <c r="AA10" s="773">
        <f t="shared" si="3"/>
        <v>0.93457943925233644</v>
      </c>
      <c r="AB10" s="773">
        <f t="shared" si="4"/>
        <v>0.93457943925233644</v>
      </c>
      <c r="AC10" s="773">
        <f t="shared" si="5"/>
        <v>0.93457943925233644</v>
      </c>
    </row>
    <row r="11" spans="1:29" ht="16">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6">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6">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7"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6">
      <c r="A15" s="440" t="s">
        <v>2540</v>
      </c>
      <c r="B15" s="629" t="s">
        <v>2779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7" t="s">
        <v>2541</v>
      </c>
      <c r="Q15" s="1809" t="str">
        <f t="shared" si="6"/>
        <v>产业集聚程度</v>
      </c>
      <c r="R15" s="774" t="s">
        <v>17</v>
      </c>
      <c r="S15" s="775">
        <f t="shared" si="0"/>
        <v>100</v>
      </c>
      <c r="T15" s="774" t="s">
        <v>17</v>
      </c>
      <c r="U15" s="775">
        <f t="shared" si="1"/>
        <v>100</v>
      </c>
      <c r="V15" s="774" t="s">
        <v>17</v>
      </c>
      <c r="W15" s="775">
        <f t="shared" si="2"/>
        <v>100</v>
      </c>
      <c r="X15" s="1812"/>
      <c r="Y15" s="3267" t="s">
        <v>2541</v>
      </c>
      <c r="Z15" s="1813" t="str">
        <f t="shared" si="7"/>
        <v>产业集聚程度</v>
      </c>
      <c r="AA15" s="1810">
        <f t="shared" si="3"/>
        <v>1</v>
      </c>
      <c r="AB15" s="1810">
        <f t="shared" si="4"/>
        <v>1</v>
      </c>
      <c r="AC15" s="1810">
        <f t="shared" si="5"/>
        <v>1</v>
      </c>
    </row>
    <row r="16" spans="1:29" ht="16">
      <c r="A16" s="428"/>
      <c r="B16" s="630"/>
      <c r="C16" s="447"/>
      <c r="D16" s="448"/>
      <c r="E16" s="2609"/>
      <c r="F16" s="448"/>
      <c r="G16" s="2609"/>
      <c r="H16" s="450"/>
      <c r="I16" s="2609"/>
      <c r="J16" s="448"/>
      <c r="K16" s="672"/>
      <c r="L16" s="1140"/>
      <c r="M16" s="1131"/>
      <c r="N16" s="1131"/>
      <c r="O16" s="1139"/>
      <c r="P16" s="3268"/>
      <c r="Q16" s="1809"/>
      <c r="R16" s="774"/>
      <c r="S16" s="775"/>
      <c r="T16" s="774"/>
      <c r="U16" s="775"/>
      <c r="V16" s="774"/>
      <c r="W16" s="775"/>
      <c r="X16" s="1812"/>
      <c r="Y16" s="3268"/>
      <c r="Z16" s="1813"/>
      <c r="AA16" s="1810">
        <v>1</v>
      </c>
      <c r="AB16" s="1810">
        <v>1</v>
      </c>
      <c r="AC16" s="1810">
        <v>1</v>
      </c>
    </row>
    <row r="17" spans="1:29" ht="16">
      <c r="A17" s="428"/>
      <c r="B17" s="631" t="s">
        <v>2690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8"/>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6">
      <c r="A18" s="428"/>
      <c r="B18" s="632"/>
      <c r="C18" s="447"/>
      <c r="D18" s="448"/>
      <c r="E18" s="2603"/>
      <c r="F18" s="448"/>
      <c r="G18" s="2603"/>
      <c r="H18" s="448"/>
      <c r="I18" s="2602"/>
      <c r="J18" s="448"/>
      <c r="K18" s="672"/>
      <c r="L18" s="1140"/>
      <c r="M18" s="1131"/>
      <c r="N18" s="1131"/>
      <c r="O18" s="1139"/>
      <c r="P18" s="3268"/>
      <c r="Q18" s="1809"/>
      <c r="R18" s="774"/>
      <c r="S18" s="775"/>
      <c r="T18" s="774"/>
      <c r="U18" s="775"/>
      <c r="V18" s="774"/>
      <c r="W18" s="775"/>
      <c r="X18" s="1812"/>
      <c r="Y18" s="3268"/>
      <c r="Z18" s="1813"/>
      <c r="AA18" s="1810">
        <v>1</v>
      </c>
      <c r="AB18" s="1810">
        <v>1</v>
      </c>
      <c r="AC18" s="1810">
        <v>1</v>
      </c>
    </row>
    <row r="19" spans="1:29" ht="16">
      <c r="A19" s="428"/>
      <c r="B19" s="631" t="s">
        <v>2729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8"/>
      <c r="Q19" s="1809" t="str">
        <f t="shared" ref="Q19:Q33" si="8">B19</f>
        <v>区域土地利用方向</v>
      </c>
      <c r="R19" s="774" t="s">
        <v>17</v>
      </c>
      <c r="S19" s="775">
        <f>F19</f>
        <v>100</v>
      </c>
      <c r="T19" s="774" t="s">
        <v>17</v>
      </c>
      <c r="U19" s="775">
        <f>H19</f>
        <v>100</v>
      </c>
      <c r="V19" s="774" t="s">
        <v>17</v>
      </c>
      <c r="W19" s="775">
        <f>J19</f>
        <v>100</v>
      </c>
      <c r="X19" s="1812"/>
      <c r="Y19" s="3268"/>
      <c r="Z19" s="1813" t="str">
        <f>Q19</f>
        <v>区域土地利用方向</v>
      </c>
      <c r="AA19" s="1810">
        <f t="shared" si="3"/>
        <v>1</v>
      </c>
      <c r="AB19" s="1810">
        <f t="shared" si="4"/>
        <v>1</v>
      </c>
      <c r="AC19" s="1810">
        <f t="shared" si="5"/>
        <v>1</v>
      </c>
    </row>
    <row r="20" spans="1:29" ht="16">
      <c r="A20" s="404"/>
      <c r="B20" s="632"/>
      <c r="C20" s="447"/>
      <c r="D20" s="448"/>
      <c r="E20" s="2603"/>
      <c r="F20" s="448"/>
      <c r="G20" s="2603"/>
      <c r="H20" s="448"/>
      <c r="I20" s="2603"/>
      <c r="J20" s="448"/>
      <c r="K20" s="812"/>
      <c r="L20" s="1140"/>
      <c r="M20" s="1131"/>
      <c r="N20" s="1131"/>
      <c r="O20" s="1139"/>
      <c r="P20" s="3268"/>
      <c r="Q20" s="1809"/>
      <c r="R20" s="774"/>
      <c r="S20" s="775"/>
      <c r="T20" s="774"/>
      <c r="U20" s="775"/>
      <c r="V20" s="774"/>
      <c r="W20" s="775"/>
      <c r="X20" s="1812"/>
      <c r="Y20" s="3268"/>
      <c r="Z20" s="1813"/>
      <c r="AA20" s="1810"/>
      <c r="AB20" s="1810"/>
      <c r="AC20" s="1810"/>
    </row>
    <row r="21" spans="1:29" ht="16">
      <c r="A21" s="404"/>
      <c r="B21" s="631" t="s">
        <v>2780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8"/>
      <c r="Q21" s="1809" t="str">
        <f t="shared" si="8"/>
        <v>环境状况</v>
      </c>
      <c r="R21" s="774" t="s">
        <v>17</v>
      </c>
      <c r="S21" s="775">
        <f>F21</f>
        <v>100</v>
      </c>
      <c r="T21" s="774" t="s">
        <v>17</v>
      </c>
      <c r="U21" s="775">
        <f>H21</f>
        <v>100</v>
      </c>
      <c r="V21" s="774" t="s">
        <v>17</v>
      </c>
      <c r="W21" s="775">
        <f>J21</f>
        <v>100</v>
      </c>
      <c r="X21" s="1812"/>
      <c r="Y21" s="3268"/>
      <c r="Z21" s="1813" t="str">
        <f>Q21</f>
        <v>环境状况</v>
      </c>
      <c r="AA21" s="1810">
        <f t="shared" si="3"/>
        <v>1</v>
      </c>
      <c r="AB21" s="1810">
        <f t="shared" si="4"/>
        <v>1</v>
      </c>
      <c r="AC21" s="1810">
        <f t="shared" si="5"/>
        <v>1</v>
      </c>
    </row>
    <row r="22" spans="1:29" ht="16">
      <c r="A22" s="404"/>
      <c r="B22" s="632"/>
      <c r="C22" s="447"/>
      <c r="D22" s="448"/>
      <c r="E22" s="2609"/>
      <c r="F22" s="448"/>
      <c r="G22" s="2609"/>
      <c r="H22" s="448"/>
      <c r="I22" s="447"/>
      <c r="J22" s="448"/>
      <c r="K22" s="672"/>
      <c r="L22" s="1140"/>
      <c r="M22" s="1131"/>
      <c r="N22" s="1131"/>
      <c r="O22" s="1139"/>
      <c r="P22" s="3268"/>
      <c r="Q22" s="1809"/>
      <c r="R22" s="774"/>
      <c r="S22" s="775"/>
      <c r="T22" s="774"/>
      <c r="U22" s="775"/>
      <c r="V22" s="774"/>
      <c r="W22" s="775"/>
      <c r="X22" s="1812"/>
      <c r="Y22" s="3268"/>
      <c r="Z22" s="1813"/>
      <c r="AA22" s="1810">
        <v>1</v>
      </c>
      <c r="AB22" s="1810">
        <v>1</v>
      </c>
      <c r="AC22" s="1810">
        <v>1</v>
      </c>
    </row>
    <row r="23" spans="1:29" s="117" customFormat="1" ht="16">
      <c r="A23" s="649"/>
      <c r="B23" s="633" t="s">
        <v>2635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8"/>
      <c r="Q23" s="1794" t="str">
        <f t="shared" si="8"/>
        <v>公共配套设施</v>
      </c>
      <c r="R23" s="770" t="s">
        <v>17</v>
      </c>
      <c r="S23" s="771">
        <f>F23</f>
        <v>100</v>
      </c>
      <c r="T23" s="770" t="s">
        <v>17</v>
      </c>
      <c r="U23" s="771">
        <f>H23</f>
        <v>100</v>
      </c>
      <c r="V23" s="770" t="s">
        <v>17</v>
      </c>
      <c r="W23" s="771">
        <f>J23</f>
        <v>100</v>
      </c>
      <c r="X23" s="772"/>
      <c r="Y23" s="3268"/>
      <c r="Z23" s="55" t="str">
        <f>Q23</f>
        <v>公共配套设施</v>
      </c>
      <c r="AA23" s="1810">
        <f>D23/F23</f>
        <v>1</v>
      </c>
      <c r="AB23" s="1810">
        <f>D23/H23</f>
        <v>1</v>
      </c>
      <c r="AC23" s="1810">
        <f>D23/J23</f>
        <v>1</v>
      </c>
    </row>
    <row r="24" spans="1:29" s="117" customFormat="1" ht="16">
      <c r="A24" s="649"/>
      <c r="B24" s="632"/>
      <c r="C24" s="2698"/>
      <c r="D24" s="448"/>
      <c r="E24" s="2609"/>
      <c r="F24" s="448"/>
      <c r="G24" s="2609"/>
      <c r="H24" s="448"/>
      <c r="I24" s="447"/>
      <c r="J24" s="448"/>
      <c r="K24" s="672"/>
      <c r="L24" s="1132"/>
      <c r="M24" s="1133"/>
      <c r="N24" s="1133"/>
      <c r="O24" s="1134"/>
      <c r="P24" s="3268"/>
      <c r="Q24" s="1794"/>
      <c r="R24" s="770"/>
      <c r="S24" s="771"/>
      <c r="T24" s="770"/>
      <c r="U24" s="771"/>
      <c r="V24" s="770"/>
      <c r="W24" s="771"/>
      <c r="X24" s="772"/>
      <c r="Y24" s="3268"/>
      <c r="Z24" s="55"/>
      <c r="AA24" s="773">
        <v>1</v>
      </c>
      <c r="AB24" s="773">
        <v>1</v>
      </c>
      <c r="AC24" s="773">
        <v>1</v>
      </c>
    </row>
    <row r="25" spans="1:29" s="117" customFormat="1" ht="16">
      <c r="A25" s="649"/>
      <c r="B25" s="633" t="s">
        <v>2636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8"/>
      <c r="Q25" s="1794"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0">
        <f>D25/F25</f>
        <v>1</v>
      </c>
      <c r="AB25" s="1810">
        <f>D25/H25</f>
        <v>1</v>
      </c>
      <c r="AC25" s="1810">
        <f>D25/J25</f>
        <v>1</v>
      </c>
    </row>
    <row r="26" spans="1:29" s="117" customFormat="1" ht="16">
      <c r="A26" s="649"/>
      <c r="B26" s="632"/>
      <c r="C26" s="2698"/>
      <c r="D26" s="448"/>
      <c r="E26" s="2699"/>
      <c r="F26" s="448"/>
      <c r="G26" s="2699"/>
      <c r="H26" s="448"/>
      <c r="I26" s="2699"/>
      <c r="J26" s="448"/>
      <c r="K26" s="672"/>
      <c r="L26" s="1132"/>
      <c r="M26" s="1133"/>
      <c r="N26" s="1133"/>
      <c r="O26" s="1134"/>
      <c r="P26" s="3268"/>
      <c r="Q26" s="1794"/>
      <c r="R26" s="770"/>
      <c r="S26" s="771"/>
      <c r="T26" s="770"/>
      <c r="U26" s="771"/>
      <c r="V26" s="770"/>
      <c r="W26" s="771"/>
      <c r="X26" s="772"/>
      <c r="Y26" s="3268"/>
      <c r="Z26" s="55"/>
      <c r="AA26" s="773">
        <v>1</v>
      </c>
      <c r="AB26" s="773">
        <v>1</v>
      </c>
      <c r="AC26" s="773">
        <v>1</v>
      </c>
    </row>
    <row r="27" spans="1:29" ht="16">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8"/>
      <c r="Z27" s="1813" t="str">
        <f t="shared" ref="Z27:Z40" si="13">Q27</f>
        <v>临街状况</v>
      </c>
      <c r="AA27" s="1810">
        <f t="shared" si="3"/>
        <v>1</v>
      </c>
      <c r="AB27" s="1810">
        <f t="shared" si="4"/>
        <v>1</v>
      </c>
      <c r="AC27" s="1810">
        <f t="shared" si="5"/>
        <v>1</v>
      </c>
    </row>
    <row r="28" spans="1:29" ht="30">
      <c r="A28" s="428"/>
      <c r="B28" s="633" t="s">
        <v>2672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8"/>
      <c r="Q28" s="1809" t="str">
        <f t="shared" si="8"/>
        <v>毗邻道路的类型与等级</v>
      </c>
      <c r="R28" s="774" t="s">
        <v>17</v>
      </c>
      <c r="S28" s="775">
        <f t="shared" si="10"/>
        <v>100</v>
      </c>
      <c r="T28" s="774" t="s">
        <v>17</v>
      </c>
      <c r="U28" s="775">
        <f t="shared" si="11"/>
        <v>100</v>
      </c>
      <c r="V28" s="774" t="s">
        <v>17</v>
      </c>
      <c r="W28" s="775">
        <f t="shared" si="12"/>
        <v>100</v>
      </c>
      <c r="X28" s="1812"/>
      <c r="Y28" s="3268"/>
      <c r="Z28" s="1813" t="str">
        <f t="shared" si="13"/>
        <v>毗邻道路的类型与等级</v>
      </c>
      <c r="AA28" s="1810">
        <f t="shared" si="3"/>
        <v>1</v>
      </c>
      <c r="AB28" s="1810">
        <f t="shared" si="4"/>
        <v>1</v>
      </c>
      <c r="AC28" s="1810">
        <f t="shared" si="5"/>
        <v>1</v>
      </c>
    </row>
    <row r="29" spans="1:29" ht="16">
      <c r="A29" s="428"/>
      <c r="B29" s="632"/>
      <c r="C29" s="447"/>
      <c r="D29" s="448"/>
      <c r="E29" s="2609"/>
      <c r="F29" s="448"/>
      <c r="G29" s="2609"/>
      <c r="H29" s="448"/>
      <c r="I29" s="2609"/>
      <c r="J29" s="448"/>
      <c r="K29" s="613"/>
      <c r="L29" s="1140"/>
      <c r="M29" s="1131"/>
      <c r="N29" s="1131"/>
      <c r="O29" s="1139"/>
      <c r="P29" s="3268"/>
      <c r="Q29" s="1809"/>
      <c r="R29" s="774"/>
      <c r="S29" s="775"/>
      <c r="T29" s="774"/>
      <c r="U29" s="775"/>
      <c r="V29" s="774"/>
      <c r="W29" s="775"/>
      <c r="X29" s="1812"/>
      <c r="Y29" s="3268"/>
      <c r="Z29" s="1813"/>
      <c r="AA29" s="1810">
        <v>1</v>
      </c>
      <c r="AB29" s="1810">
        <v>1</v>
      </c>
      <c r="AC29" s="1810">
        <v>1</v>
      </c>
    </row>
    <row r="30" spans="1:29" ht="16">
      <c r="A30" s="428"/>
      <c r="B30" s="654" t="s">
        <v>2731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8"/>
      <c r="Q30" s="1809" t="str">
        <f t="shared" si="8"/>
        <v>土地级别</v>
      </c>
      <c r="R30" s="774" t="s">
        <v>17</v>
      </c>
      <c r="S30" s="775">
        <f t="shared" si="10"/>
        <v>100</v>
      </c>
      <c r="T30" s="774" t="s">
        <v>17</v>
      </c>
      <c r="U30" s="775">
        <f t="shared" si="11"/>
        <v>100</v>
      </c>
      <c r="V30" s="774" t="s">
        <v>17</v>
      </c>
      <c r="W30" s="775">
        <f t="shared" si="12"/>
        <v>100</v>
      </c>
      <c r="X30" s="1812"/>
      <c r="Y30" s="3268"/>
      <c r="Z30" s="1813" t="str">
        <f t="shared" si="13"/>
        <v>土地级别</v>
      </c>
      <c r="AA30" s="1810">
        <f t="shared" si="3"/>
        <v>1</v>
      </c>
      <c r="AB30" s="1810">
        <f t="shared" si="4"/>
        <v>1</v>
      </c>
      <c r="AC30" s="1810">
        <f t="shared" si="5"/>
        <v>1</v>
      </c>
    </row>
    <row r="31" spans="1:29" ht="16">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8"/>
      <c r="Q31" s="1809">
        <f t="shared" si="8"/>
        <v>111</v>
      </c>
      <c r="R31" s="774" t="s">
        <v>17</v>
      </c>
      <c r="S31" s="775">
        <f t="shared" si="10"/>
        <v>100</v>
      </c>
      <c r="T31" s="774" t="s">
        <v>17</v>
      </c>
      <c r="U31" s="775">
        <f t="shared" si="11"/>
        <v>100</v>
      </c>
      <c r="V31" s="774" t="s">
        <v>17</v>
      </c>
      <c r="W31" s="775">
        <f t="shared" si="12"/>
        <v>100</v>
      </c>
      <c r="X31" s="1812"/>
      <c r="Y31" s="3268"/>
      <c r="Z31" s="1813">
        <f t="shared" si="13"/>
        <v>111</v>
      </c>
      <c r="AA31" s="1810">
        <f t="shared" si="3"/>
        <v>1</v>
      </c>
      <c r="AB31" s="1810">
        <f t="shared" si="4"/>
        <v>1</v>
      </c>
      <c r="AC31" s="1810">
        <f t="shared" si="5"/>
        <v>1</v>
      </c>
    </row>
    <row r="32" spans="1:29" ht="16">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1" t="s">
        <v>2546</v>
      </c>
      <c r="Q32" s="1809">
        <f t="shared" si="8"/>
        <v>111</v>
      </c>
      <c r="R32" s="774" t="s">
        <v>17</v>
      </c>
      <c r="S32" s="775">
        <f t="shared" si="10"/>
        <v>100</v>
      </c>
      <c r="T32" s="774" t="s">
        <v>17</v>
      </c>
      <c r="U32" s="775">
        <f t="shared" si="11"/>
        <v>100</v>
      </c>
      <c r="V32" s="774" t="s">
        <v>17</v>
      </c>
      <c r="W32" s="775">
        <f t="shared" si="12"/>
        <v>100</v>
      </c>
      <c r="X32" s="1812"/>
      <c r="Y32" s="3272" t="s">
        <v>2546</v>
      </c>
      <c r="Z32" s="1813">
        <f t="shared" si="13"/>
        <v>111</v>
      </c>
      <c r="AA32" s="1810">
        <f t="shared" si="3"/>
        <v>1</v>
      </c>
      <c r="AB32" s="1810">
        <f t="shared" si="4"/>
        <v>1</v>
      </c>
      <c r="AC32" s="1810">
        <f t="shared" si="5"/>
        <v>1</v>
      </c>
    </row>
    <row r="33" spans="1:29" s="471" customFormat="1" ht="17"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2"/>
      <c r="Q33" s="1809">
        <f t="shared" si="8"/>
        <v>111</v>
      </c>
      <c r="R33" s="777" t="s">
        <v>17</v>
      </c>
      <c r="S33" s="778">
        <f t="shared" si="10"/>
        <v>100</v>
      </c>
      <c r="T33" s="777" t="s">
        <v>17</v>
      </c>
      <c r="U33" s="778">
        <f t="shared" si="11"/>
        <v>100</v>
      </c>
      <c r="V33" s="777" t="s">
        <v>17</v>
      </c>
      <c r="W33" s="778">
        <f t="shared" si="12"/>
        <v>100</v>
      </c>
      <c r="X33" s="779"/>
      <c r="Y33" s="3272"/>
      <c r="Z33" s="780">
        <f t="shared" si="13"/>
        <v>111</v>
      </c>
      <c r="AA33" s="1810">
        <f t="shared" si="3"/>
        <v>1</v>
      </c>
      <c r="AB33" s="1810">
        <f t="shared" si="4"/>
        <v>1</v>
      </c>
      <c r="AC33" s="1810">
        <f t="shared" si="5"/>
        <v>1</v>
      </c>
    </row>
    <row r="34" spans="1:29" ht="16">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2"/>
      <c r="Q34" s="1809" t="str">
        <f>B34</f>
        <v>宗地面积</v>
      </c>
      <c r="R34" s="774" t="s">
        <v>17</v>
      </c>
      <c r="S34" s="775" t="e">
        <f t="shared" si="10"/>
        <v>#N/A</v>
      </c>
      <c r="T34" s="774" t="s">
        <v>17</v>
      </c>
      <c r="U34" s="775" t="e">
        <f t="shared" si="11"/>
        <v>#N/A</v>
      </c>
      <c r="V34" s="774" t="s">
        <v>17</v>
      </c>
      <c r="W34" s="775" t="e">
        <f t="shared" si="12"/>
        <v>#N/A</v>
      </c>
      <c r="X34" s="1812"/>
      <c r="Y34" s="3272"/>
      <c r="Z34" s="1813" t="str">
        <f t="shared" si="13"/>
        <v>宗地面积</v>
      </c>
      <c r="AA34" s="1810" t="e">
        <f t="shared" si="3"/>
        <v>#N/A</v>
      </c>
      <c r="AB34" s="1810" t="e">
        <f t="shared" si="4"/>
        <v>#N/A</v>
      </c>
      <c r="AC34" s="1810" t="e">
        <f t="shared" si="5"/>
        <v>#N/A</v>
      </c>
    </row>
    <row r="35" spans="1:29" ht="16">
      <c r="A35" s="472"/>
      <c r="B35" s="422" t="s">
        <v>2733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72"/>
      <c r="Q35" s="1809" t="str">
        <f t="shared" ref="Q35:Q40" si="14">B35</f>
        <v>宗地形状</v>
      </c>
      <c r="R35" s="774" t="s">
        <v>17</v>
      </c>
      <c r="S35" s="775">
        <f t="shared" si="10"/>
        <v>100</v>
      </c>
      <c r="T35" s="774" t="s">
        <v>17</v>
      </c>
      <c r="U35" s="775">
        <f t="shared" si="11"/>
        <v>100</v>
      </c>
      <c r="V35" s="774" t="s">
        <v>17</v>
      </c>
      <c r="W35" s="775">
        <f t="shared" si="12"/>
        <v>100</v>
      </c>
      <c r="X35" s="1812"/>
      <c r="Y35" s="3272"/>
      <c r="Z35" s="1813" t="str">
        <f t="shared" si="13"/>
        <v>宗地形状</v>
      </c>
      <c r="AA35" s="1810">
        <f t="shared" si="3"/>
        <v>1</v>
      </c>
      <c r="AB35" s="1810">
        <f t="shared" si="4"/>
        <v>1</v>
      </c>
      <c r="AC35" s="1810">
        <f t="shared" si="5"/>
        <v>1</v>
      </c>
    </row>
    <row r="36" spans="1:29" s="117" customFormat="1" ht="16">
      <c r="A36" s="473"/>
      <c r="B36" s="422" t="s">
        <v>2735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72"/>
      <c r="Q36" s="1809"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6">
      <c r="A37" s="472"/>
      <c r="B37" s="422" t="s">
        <v>2736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72" t="s">
        <v>2546</v>
      </c>
      <c r="Q37" s="1809" t="str">
        <f t="shared" si="14"/>
        <v>工程地质条件</v>
      </c>
      <c r="R37" s="774" t="s">
        <v>17</v>
      </c>
      <c r="S37" s="775">
        <f t="shared" si="10"/>
        <v>100</v>
      </c>
      <c r="T37" s="774" t="s">
        <v>17</v>
      </c>
      <c r="U37" s="775">
        <f t="shared" si="11"/>
        <v>100</v>
      </c>
      <c r="V37" s="774" t="s">
        <v>17</v>
      </c>
      <c r="W37" s="775">
        <f t="shared" si="12"/>
        <v>100</v>
      </c>
      <c r="X37" s="1812"/>
      <c r="Y37" s="3272" t="s">
        <v>2546</v>
      </c>
      <c r="Z37" s="1813" t="str">
        <f t="shared" si="13"/>
        <v>工程地质条件</v>
      </c>
      <c r="AA37" s="1810">
        <f t="shared" si="3"/>
        <v>1</v>
      </c>
      <c r="AB37" s="1810">
        <f t="shared" si="4"/>
        <v>1</v>
      </c>
      <c r="AC37" s="1810">
        <f t="shared" si="5"/>
        <v>1</v>
      </c>
    </row>
    <row r="38" spans="1:29" ht="16">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2"/>
      <c r="Q38" s="1809">
        <f t="shared" si="14"/>
        <v>111</v>
      </c>
      <c r="R38" s="774" t="s">
        <v>17</v>
      </c>
      <c r="S38" s="775">
        <f t="shared" si="10"/>
        <v>100</v>
      </c>
      <c r="T38" s="774" t="s">
        <v>17</v>
      </c>
      <c r="U38" s="775">
        <f t="shared" si="11"/>
        <v>100</v>
      </c>
      <c r="V38" s="774" t="s">
        <v>17</v>
      </c>
      <c r="W38" s="775">
        <f t="shared" si="12"/>
        <v>100</v>
      </c>
      <c r="X38" s="1812"/>
      <c r="Y38" s="3272"/>
      <c r="Z38" s="1813">
        <f t="shared" si="13"/>
        <v>111</v>
      </c>
      <c r="AA38" s="1810">
        <f t="shared" si="3"/>
        <v>1</v>
      </c>
      <c r="AB38" s="1810">
        <f t="shared" si="4"/>
        <v>1</v>
      </c>
      <c r="AC38" s="1810">
        <f t="shared" si="5"/>
        <v>1</v>
      </c>
    </row>
    <row r="39" spans="1:29" ht="16">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2"/>
      <c r="Q39" s="1809">
        <f t="shared" si="14"/>
        <v>111</v>
      </c>
      <c r="R39" s="774" t="s">
        <v>17</v>
      </c>
      <c r="S39" s="775">
        <f t="shared" si="10"/>
        <v>100</v>
      </c>
      <c r="T39" s="774" t="s">
        <v>17</v>
      </c>
      <c r="U39" s="775">
        <f t="shared" si="11"/>
        <v>100</v>
      </c>
      <c r="V39" s="774" t="s">
        <v>17</v>
      </c>
      <c r="W39" s="775">
        <f t="shared" si="12"/>
        <v>100</v>
      </c>
      <c r="X39" s="1812"/>
      <c r="Y39" s="3272"/>
      <c r="Z39" s="1813">
        <f t="shared" si="13"/>
        <v>111</v>
      </c>
      <c r="AA39" s="1810">
        <f t="shared" si="3"/>
        <v>1</v>
      </c>
      <c r="AB39" s="1810">
        <f t="shared" si="4"/>
        <v>1</v>
      </c>
      <c r="AC39" s="1810">
        <f t="shared" si="5"/>
        <v>1</v>
      </c>
    </row>
    <row r="40" spans="1:29" s="471" customFormat="1" ht="17"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2"/>
      <c r="Q40" s="1809">
        <f t="shared" si="14"/>
        <v>111</v>
      </c>
      <c r="R40" s="777" t="s">
        <v>17</v>
      </c>
      <c r="S40" s="778">
        <f t="shared" si="10"/>
        <v>100</v>
      </c>
      <c r="T40" s="777" t="s">
        <v>17</v>
      </c>
      <c r="U40" s="778">
        <f t="shared" si="11"/>
        <v>100</v>
      </c>
      <c r="V40" s="777" t="s">
        <v>17</v>
      </c>
      <c r="W40" s="778">
        <f t="shared" si="12"/>
        <v>100</v>
      </c>
      <c r="X40" s="779"/>
      <c r="Y40" s="3272"/>
      <c r="Z40" s="780">
        <f t="shared" si="13"/>
        <v>111</v>
      </c>
      <c r="AA40" s="1810">
        <f t="shared" si="3"/>
        <v>1</v>
      </c>
      <c r="AB40" s="1810">
        <f t="shared" si="4"/>
        <v>1</v>
      </c>
      <c r="AC40" s="1810">
        <f t="shared" si="5"/>
        <v>1</v>
      </c>
    </row>
    <row r="41" spans="1:29" ht="15">
      <c r="A41" s="479" t="s">
        <v>2701</v>
      </c>
      <c r="B41" s="2702" t="s">
        <v>2781</v>
      </c>
      <c r="C41" s="682" t="s">
        <v>1</v>
      </c>
      <c r="D41" s="481"/>
      <c r="E41" s="482"/>
      <c r="F41" s="483"/>
      <c r="G41" s="484"/>
      <c r="H41" s="485"/>
      <c r="I41" s="482"/>
      <c r="J41" s="485"/>
      <c r="K41" s="783"/>
      <c r="L41" s="1143"/>
      <c r="M41" s="1131"/>
      <c r="N41" s="1131"/>
      <c r="O41" s="1144"/>
      <c r="P41" s="3265" t="str">
        <f>A41</f>
        <v>成交单价</v>
      </c>
      <c r="Q41" s="3265"/>
      <c r="R41" s="3260">
        <f>E41</f>
        <v>0</v>
      </c>
      <c r="S41" s="3260"/>
      <c r="T41" s="3260">
        <f>G41</f>
        <v>0</v>
      </c>
      <c r="U41" s="3260"/>
      <c r="V41" s="3260">
        <f>I41</f>
        <v>0</v>
      </c>
      <c r="W41" s="3260"/>
      <c r="X41" s="759"/>
      <c r="Y41" s="781"/>
      <c r="Z41" s="759"/>
      <c r="AA41" s="759"/>
      <c r="AB41" s="759"/>
      <c r="AC41" s="759"/>
    </row>
    <row r="42" spans="1:29" ht="15" thickBot="1">
      <c r="A42" s="486" t="s">
        <v>2650</v>
      </c>
      <c r="B42" s="683"/>
      <c r="C42" s="490" t="e">
        <f>R43</f>
        <v>#DIV/0!</v>
      </c>
      <c r="D42" s="489"/>
      <c r="E42" s="490" t="e">
        <f>R42</f>
        <v>#DIV/0!</v>
      </c>
      <c r="F42" s="491"/>
      <c r="G42" s="488" t="e">
        <f>T42</f>
        <v>#DIV/0!</v>
      </c>
      <c r="H42" s="489"/>
      <c r="I42" s="490" t="e">
        <f>V42</f>
        <v>#DIV/0!</v>
      </c>
      <c r="J42" s="489"/>
      <c r="K42" s="784"/>
      <c r="L42" s="1143"/>
      <c r="M42" s="1131"/>
      <c r="N42" s="1131"/>
      <c r="O42" s="1144"/>
      <c r="P42" s="3265" t="str">
        <f>A42</f>
        <v>比较价值（元/平方米）</v>
      </c>
      <c r="Q42" s="3265"/>
      <c r="R42" s="3292" t="e">
        <f>ROUND(PRODUCT(R41,AA7:AA40),0)</f>
        <v>#DIV/0!</v>
      </c>
      <c r="S42" s="3292"/>
      <c r="T42" s="3292" t="e">
        <f>ROUND(PRODUCT(T41,AB7:AB40),0)</f>
        <v>#DIV/0!</v>
      </c>
      <c r="U42" s="3292"/>
      <c r="V42" s="3292" t="e">
        <f>ROUND(PRODUCT(V41,AC7:AC40),0)</f>
        <v>#DIV/0!</v>
      </c>
      <c r="W42" s="3292"/>
      <c r="X42" s="759"/>
      <c r="Y42" s="759"/>
      <c r="Z42" s="759"/>
      <c r="AA42" s="759"/>
      <c r="AB42" s="759"/>
      <c r="AC42" s="759"/>
    </row>
    <row r="43" spans="1:29" ht="15" thickBot="1">
      <c r="A43" s="492" t="s">
        <v>2651</v>
      </c>
      <c r="B43" s="493"/>
      <c r="C43" s="494" t="e">
        <f>R43</f>
        <v>#DIV/0!</v>
      </c>
      <c r="D43" s="494"/>
      <c r="E43" s="494"/>
      <c r="F43" s="494"/>
      <c r="G43" s="494"/>
      <c r="H43" s="494"/>
      <c r="I43" s="494"/>
      <c r="J43" s="494"/>
      <c r="K43" s="785"/>
      <c r="L43" s="1143"/>
      <c r="M43" s="1131"/>
      <c r="N43" s="1131"/>
      <c r="O43" s="1144"/>
      <c r="P43" s="3262" t="str">
        <f>A43</f>
        <v>估价对象XX用房的比较价值（楼面单价，元/平方米）</v>
      </c>
      <c r="Q43" s="3263"/>
      <c r="R43" s="3293" t="e">
        <f>ROUND(AVERAGE(R42:V42),0)</f>
        <v>#DIV/0!</v>
      </c>
      <c r="S43" s="3293"/>
      <c r="T43" s="3293"/>
      <c r="U43" s="3293"/>
      <c r="V43" s="3293"/>
      <c r="W43" s="32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30">
      <c r="A50" s="684" t="s">
        <v>2739</v>
      </c>
      <c r="B50" s="685" t="s">
        <v>2740</v>
      </c>
      <c r="C50" s="2703" t="s">
        <v>2741</v>
      </c>
      <c r="D50" s="2704" t="s">
        <v>2742</v>
      </c>
      <c r="E50" s="686" t="s">
        <v>2743</v>
      </c>
      <c r="F50" s="687" t="s">
        <v>2744</v>
      </c>
      <c r="G50" s="3248" t="s">
        <v>2745</v>
      </c>
      <c r="H50" s="3294"/>
      <c r="I50" s="1813" t="s">
        <v>2782</v>
      </c>
      <c r="J50" s="1813">
        <f>项目基本情况!F35</f>
        <v>0</v>
      </c>
      <c r="K50" s="2706" t="s">
        <v>2747</v>
      </c>
      <c r="L50" s="1106"/>
      <c r="M50" s="1144"/>
      <c r="N50" s="1144"/>
      <c r="O50" s="1144"/>
    </row>
    <row r="51" spans="1:17" s="692" customFormat="1">
      <c r="A51" s="688" t="s">
        <v>2748</v>
      </c>
      <c r="B51" s="689" t="e">
        <f>C43</f>
        <v>#DIV/0!</v>
      </c>
      <c r="C51" s="690">
        <v>1</v>
      </c>
      <c r="D51" s="1163">
        <v>1</v>
      </c>
      <c r="E51" s="690">
        <f>'数据-汇总表'!E8+'数据-汇总表'!E9</f>
        <v>15182.239999999998</v>
      </c>
      <c r="F51" s="691" t="e">
        <f t="shared" ref="F51:F60" si="15">ROUND(B51*E51/10000,0)</f>
        <v>#DIV/0!</v>
      </c>
      <c r="G51" s="3247"/>
      <c r="H51" s="3265"/>
      <c r="I51" s="942">
        <v>1</v>
      </c>
      <c r="J51" s="942">
        <v>1</v>
      </c>
      <c r="K51" s="1145"/>
      <c r="L51" s="941"/>
      <c r="M51" s="941"/>
      <c r="N51" s="941"/>
      <c r="O51" s="941"/>
    </row>
    <row r="52" spans="1:17" s="692" customFormat="1">
      <c r="A52" s="693" t="s">
        <v>2749</v>
      </c>
      <c r="B52" s="262" t="e">
        <f>ROUND($C$43*C52*D52,0)</f>
        <v>#DIV/0!</v>
      </c>
      <c r="C52" s="200">
        <f t="shared" ref="C52:C60" si="16">IF($C$50="北京市系数",I52,J52)</f>
        <v>0.7</v>
      </c>
      <c r="D52" s="1164">
        <v>0.25</v>
      </c>
      <c r="E52" s="694"/>
      <c r="F52" s="691" t="e">
        <f t="shared" si="15"/>
        <v>#DIV/0!</v>
      </c>
      <c r="G52" s="3295" t="s">
        <v>2750</v>
      </c>
      <c r="H52" s="1104" t="str">
        <f>项目基本情况!B37</f>
        <v>七级</v>
      </c>
      <c r="I52" s="942">
        <f>SUMIF(修正!A45:A56,H52,修正!B45:B56)</f>
        <v>0.7</v>
      </c>
      <c r="J52" s="943"/>
      <c r="K52" s="1144"/>
      <c r="L52" s="941"/>
      <c r="M52" s="941"/>
      <c r="N52" s="941"/>
      <c r="O52" s="941"/>
    </row>
    <row r="53" spans="1:17" s="692" customFormat="1">
      <c r="A53" s="693" t="s">
        <v>2751</v>
      </c>
      <c r="B53" s="262" t="e">
        <f t="shared" ref="B53:B60" si="17">ROUND($C$43*C53*D53,0)</f>
        <v>#DIV/0!</v>
      </c>
      <c r="C53" s="200">
        <f t="shared" si="16"/>
        <v>0.4</v>
      </c>
      <c r="D53" s="1164">
        <v>0.25</v>
      </c>
      <c r="E53" s="694"/>
      <c r="F53" s="691" t="e">
        <f t="shared" si="15"/>
        <v>#DIV/0!</v>
      </c>
      <c r="G53" s="3295"/>
      <c r="H53" s="1104" t="str">
        <f>项目基本情况!B37</f>
        <v>七级</v>
      </c>
      <c r="I53" s="942">
        <f>SUMIF(修正!A45:A56,H53,修正!C45:C56)</f>
        <v>0.4</v>
      </c>
      <c r="J53" s="943"/>
      <c r="K53" s="1145"/>
      <c r="L53" s="941"/>
      <c r="M53" s="941"/>
      <c r="N53" s="941"/>
      <c r="O53" s="941"/>
    </row>
    <row r="54" spans="1:17" s="692" customFormat="1">
      <c r="A54" s="693" t="s">
        <v>2752</v>
      </c>
      <c r="B54" s="262" t="e">
        <f t="shared" si="17"/>
        <v>#DIV/0!</v>
      </c>
      <c r="C54" s="200">
        <f t="shared" si="16"/>
        <v>0.28000000000000003</v>
      </c>
      <c r="D54" s="1164">
        <v>0.25</v>
      </c>
      <c r="E54" s="694"/>
      <c r="F54" s="691" t="e">
        <f t="shared" si="15"/>
        <v>#DIV/0!</v>
      </c>
      <c r="G54" s="3295"/>
      <c r="H54" s="1104" t="str">
        <f>项目基本情况!B37</f>
        <v>七级</v>
      </c>
      <c r="I54" s="942">
        <f>SUMIF(修正!A45:A56,H54,修正!D45:D56)</f>
        <v>0.28000000000000003</v>
      </c>
      <c r="J54" s="943"/>
      <c r="K54" s="1144"/>
      <c r="L54" s="941"/>
      <c r="M54" s="941"/>
      <c r="N54" s="941"/>
      <c r="O54" s="941"/>
    </row>
    <row r="55" spans="1:17" s="692" customFormat="1">
      <c r="A55" s="693" t="s">
        <v>2753</v>
      </c>
      <c r="B55" s="262" t="e">
        <f t="shared" si="17"/>
        <v>#DIV/0!</v>
      </c>
      <c r="C55" s="200">
        <f t="shared" si="16"/>
        <v>0.25</v>
      </c>
      <c r="D55" s="1164">
        <v>0.25</v>
      </c>
      <c r="E55" s="694"/>
      <c r="F55" s="691" t="e">
        <f t="shared" si="15"/>
        <v>#DIV/0!</v>
      </c>
      <c r="G55" s="3295"/>
      <c r="H55" s="1104" t="str">
        <f>项目基本情况!B37</f>
        <v>七级</v>
      </c>
      <c r="I55" s="942">
        <f>SUMIF(修正!A45:A56,H55,修正!E45:E56)</f>
        <v>0.25</v>
      </c>
      <c r="J55" s="943"/>
      <c r="K55" s="1145"/>
      <c r="L55" s="941"/>
      <c r="M55" s="941"/>
      <c r="N55" s="941"/>
      <c r="O55" s="941"/>
    </row>
    <row r="56" spans="1:17" s="692" customFormat="1">
      <c r="A56" s="693" t="s">
        <v>2754</v>
      </c>
      <c r="B56" s="262" t="e">
        <f t="shared" si="17"/>
        <v>#DIV/0!</v>
      </c>
      <c r="C56" s="200">
        <f t="shared" si="16"/>
        <v>0.25</v>
      </c>
      <c r="D56" s="1164">
        <v>0.25</v>
      </c>
      <c r="E56" s="261">
        <f>'数据-汇总表'!E11</f>
        <v>0</v>
      </c>
      <c r="F56" s="691" t="e">
        <f t="shared" si="15"/>
        <v>#DIV/0!</v>
      </c>
      <c r="G56" s="2707" t="s">
        <v>2755</v>
      </c>
      <c r="H56" s="1104" t="str">
        <f>项目基本情况!C37</f>
        <v>七级</v>
      </c>
      <c r="I56" s="942">
        <f>SUMIF(修正!A45:A56,H56,修正!F45:F56)</f>
        <v>0.25</v>
      </c>
      <c r="J56" s="943"/>
      <c r="K56" s="1144"/>
      <c r="L56" s="941"/>
      <c r="M56" s="941"/>
      <c r="N56" s="941"/>
      <c r="O56" s="941"/>
    </row>
    <row r="57" spans="1:17" s="692" customFormat="1">
      <c r="A57" s="693" t="s">
        <v>2756</v>
      </c>
      <c r="B57" s="262" t="e">
        <f t="shared" si="17"/>
        <v>#DIV/0!</v>
      </c>
      <c r="C57" s="200">
        <f t="shared" si="16"/>
        <v>0.25</v>
      </c>
      <c r="D57" s="1164">
        <v>0.25</v>
      </c>
      <c r="E57" s="261">
        <f>'数据-汇总表'!E12</f>
        <v>0</v>
      </c>
      <c r="F57" s="691"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2758</v>
      </c>
      <c r="B58" s="262" t="e">
        <f t="shared" si="17"/>
        <v>#DIV/0!</v>
      </c>
      <c r="C58" s="200">
        <f t="shared" si="16"/>
        <v>0</v>
      </c>
      <c r="D58" s="1164">
        <v>0.25</v>
      </c>
      <c r="E58" s="261">
        <f>'数据-汇总表'!E13</f>
        <v>0</v>
      </c>
      <c r="F58" s="691"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2760</v>
      </c>
      <c r="B59" s="262" t="e">
        <f t="shared" si="17"/>
        <v>#DIV/0!</v>
      </c>
      <c r="C59" s="200">
        <f t="shared" si="16"/>
        <v>0.2</v>
      </c>
      <c r="D59" s="1164">
        <v>0.25</v>
      </c>
      <c r="E59" s="261">
        <f>'数据-汇总表'!E14</f>
        <v>0</v>
      </c>
      <c r="F59" s="691" t="e">
        <f t="shared" si="15"/>
        <v>#DIV/0!</v>
      </c>
      <c r="G59" s="2707" t="s">
        <v>2750</v>
      </c>
      <c r="H59" s="1104" t="str">
        <f>项目基本情况!B37</f>
        <v>七级</v>
      </c>
      <c r="I59" s="942">
        <f>SUMIF(修正!A45:A56,H59,修正!H45:H56)</f>
        <v>0.2</v>
      </c>
      <c r="J59" s="943"/>
      <c r="K59" s="1145"/>
      <c r="L59" s="941"/>
      <c r="M59" s="941"/>
      <c r="N59" s="941"/>
      <c r="O59" s="941"/>
    </row>
    <row r="60" spans="1:17" s="692" customFormat="1" ht="15" thickBot="1">
      <c r="A60" s="693" t="s">
        <v>2761</v>
      </c>
      <c r="B60" s="262" t="e">
        <f t="shared" si="17"/>
        <v>#DIV/0!</v>
      </c>
      <c r="C60" s="200">
        <f t="shared" si="16"/>
        <v>0.2</v>
      </c>
      <c r="D60" s="1164">
        <v>0.25</v>
      </c>
      <c r="E60" s="261">
        <f>'数据-汇总表'!E15</f>
        <v>0</v>
      </c>
      <c r="F60" s="691" t="e">
        <f t="shared" si="15"/>
        <v>#DIV/0!</v>
      </c>
      <c r="G60" s="2708" t="s">
        <v>2755</v>
      </c>
      <c r="H60" s="1114" t="str">
        <f>项目基本情况!C37</f>
        <v>七级</v>
      </c>
      <c r="I60" s="942">
        <f>SUMIF(修正!A45:A56,H60,修正!H45:H56)</f>
        <v>0.2</v>
      </c>
      <c r="J60" s="943"/>
      <c r="K60" s="1144"/>
      <c r="L60" s="941"/>
      <c r="M60" s="941"/>
      <c r="N60" s="941"/>
      <c r="O60" s="941"/>
    </row>
    <row r="61" spans="1:17" s="692" customFormat="1" ht="15" thickBot="1">
      <c r="A61" s="695" t="s">
        <v>2762</v>
      </c>
      <c r="B61" s="696" t="s">
        <v>28</v>
      </c>
      <c r="C61" s="696" t="s">
        <v>29</v>
      </c>
      <c r="D61" s="696" t="s">
        <v>1025</v>
      </c>
      <c r="E61" s="696">
        <f>IF(B41="楼面地价",SUM(E51:E60),'数据-汇总表'!D3)</f>
        <v>5095.4399999999996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 thickBot="1">
      <c r="A64" s="763" t="s">
        <v>2655</v>
      </c>
      <c r="B64" s="759"/>
      <c r="C64" s="764"/>
      <c r="D64" s="764"/>
      <c r="E64" s="764"/>
      <c r="F64" s="765"/>
      <c r="G64" s="765"/>
      <c r="H64" s="764"/>
      <c r="I64" s="764"/>
      <c r="J64" s="764"/>
      <c r="K64" s="766"/>
      <c r="L64" s="767"/>
      <c r="M64" s="764"/>
      <c r="N64" s="764"/>
      <c r="O64" s="1159"/>
      <c r="P64" s="503"/>
      <c r="Q64" s="504"/>
    </row>
    <row r="65" spans="1:17" s="508" customFormat="1" ht="15">
      <c r="A65" s="2709" t="s">
        <v>2763</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4" t="s">
        <v>2783</v>
      </c>
      <c r="B66" s="332" t="str">
        <f>"北京市平均增长率"&amp;TEXT('基准地价修正-商业'!P24,"0.00%")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1"/>
      <c r="O68" s="1151"/>
      <c r="P68" s="526"/>
      <c r="Q68" s="504"/>
    </row>
    <row r="69" spans="1:17" s="117" customFormat="1" ht="15" thickBot="1">
      <c r="A69" s="521"/>
      <c r="B69" s="510"/>
      <c r="C69" s="639">
        <v>100</v>
      </c>
      <c r="D69" s="512"/>
      <c r="E69" s="512"/>
      <c r="F69" s="512"/>
      <c r="G69" s="512"/>
      <c r="H69" s="512"/>
      <c r="I69" s="512"/>
      <c r="J69" s="512"/>
      <c r="K69" s="512"/>
      <c r="L69" s="512"/>
      <c r="M69" s="514"/>
      <c r="N69" s="1151"/>
      <c r="O69" s="1151"/>
      <c r="P69" s="504"/>
      <c r="Q69" s="504"/>
    </row>
    <row r="70" spans="1:17" ht="15">
      <c r="A70" s="527" t="s">
        <v>2569</v>
      </c>
      <c r="B70" s="528" t="s">
        <v>2535</v>
      </c>
      <c r="C70" s="530"/>
      <c r="D70" s="530"/>
      <c r="E70" s="530"/>
      <c r="F70" s="530"/>
      <c r="G70" s="530"/>
      <c r="H70" s="530"/>
      <c r="I70" s="530"/>
      <c r="J70" s="530"/>
      <c r="K70" s="531"/>
      <c r="L70" s="532"/>
      <c r="M70" s="533"/>
      <c r="N70" s="1152"/>
      <c r="O70" s="1152"/>
      <c r="P70" s="45"/>
      <c r="Q70" s="504"/>
    </row>
    <row r="71" spans="1:17" ht="15" thickBot="1">
      <c r="A71" s="534"/>
      <c r="B71" s="535"/>
      <c r="C71" s="536"/>
      <c r="D71" s="536"/>
      <c r="E71" s="536"/>
      <c r="F71" s="536"/>
      <c r="G71" s="536"/>
      <c r="H71" s="536"/>
      <c r="I71" s="536"/>
      <c r="J71" s="536"/>
      <c r="K71" s="536"/>
      <c r="L71" s="536"/>
      <c r="M71" s="537"/>
      <c r="N71" s="1153"/>
      <c r="O71" s="1153"/>
      <c r="P71" s="45"/>
      <c r="Q71" s="504"/>
    </row>
    <row r="72" spans="1:17" ht="31" thickTop="1">
      <c r="A72" s="534"/>
      <c r="B72" s="538" t="s">
        <v>2538</v>
      </c>
      <c r="C72" s="539"/>
      <c r="D72" s="539"/>
      <c r="E72" s="539"/>
      <c r="F72" s="539"/>
      <c r="G72" s="539"/>
      <c r="H72" s="539"/>
      <c r="I72" s="539"/>
      <c r="J72" s="539"/>
      <c r="K72" s="540"/>
      <c r="L72" s="541"/>
      <c r="M72" s="542"/>
      <c r="N72" s="1152"/>
      <c r="O72" s="1152"/>
      <c r="P72" s="45"/>
      <c r="Q72" s="504"/>
    </row>
    <row r="73" spans="1:17" ht="15" thickBot="1">
      <c r="A73" s="534"/>
      <c r="B73" s="543"/>
      <c r="C73" s="544"/>
      <c r="D73" s="544"/>
      <c r="E73" s="544"/>
      <c r="F73" s="544"/>
      <c r="G73" s="544"/>
      <c r="H73" s="544"/>
      <c r="I73" s="544"/>
      <c r="J73" s="544"/>
      <c r="K73" s="544"/>
      <c r="L73" s="544"/>
      <c r="M73" s="545"/>
      <c r="N73" s="1153"/>
      <c r="O73" s="1153"/>
      <c r="P73" s="45"/>
      <c r="Q73" s="504"/>
    </row>
    <row r="74" spans="1:17" ht="16"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 thickTop="1">
      <c r="A77" s="553"/>
      <c r="B77" s="538">
        <f>B12</f>
        <v>111</v>
      </c>
      <c r="C77" s="554"/>
      <c r="D77" s="554"/>
      <c r="E77" s="554"/>
      <c r="F77" s="554"/>
      <c r="G77" s="554"/>
      <c r="H77" s="555"/>
      <c r="I77" s="555"/>
      <c r="J77" s="555"/>
      <c r="K77" s="555"/>
      <c r="L77" s="556"/>
      <c r="M77" s="557"/>
      <c r="N77" s="1154"/>
      <c r="O77" s="1154"/>
      <c r="P77" s="558"/>
      <c r="Q77" s="559"/>
    </row>
    <row r="78" spans="1:17" s="471" customFormat="1" ht="15" thickBot="1">
      <c r="A78" s="553"/>
      <c r="B78" s="543"/>
      <c r="C78" s="560"/>
      <c r="D78" s="536"/>
      <c r="E78" s="536"/>
      <c r="F78" s="536"/>
      <c r="G78" s="536"/>
      <c r="H78" s="536"/>
      <c r="I78" s="536"/>
      <c r="J78" s="536"/>
      <c r="K78" s="536"/>
      <c r="L78" s="536"/>
      <c r="M78" s="537"/>
      <c r="N78" s="1153"/>
      <c r="O78" s="1153"/>
      <c r="P78" s="558"/>
      <c r="Q78" s="559"/>
    </row>
    <row r="79" spans="1:17" s="471" customFormat="1" ht="15" thickTop="1">
      <c r="A79" s="553"/>
      <c r="B79" s="538">
        <f>B13</f>
        <v>111</v>
      </c>
      <c r="C79" s="554"/>
      <c r="D79" s="554"/>
      <c r="E79" s="554"/>
      <c r="F79" s="554"/>
      <c r="G79" s="554"/>
      <c r="H79" s="555"/>
      <c r="I79" s="555"/>
      <c r="J79" s="555"/>
      <c r="K79" s="555"/>
      <c r="L79" s="556"/>
      <c r="M79" s="557"/>
      <c r="N79" s="1154"/>
      <c r="O79" s="1154"/>
      <c r="P79" s="470"/>
      <c r="Q79" s="561"/>
    </row>
    <row r="80" spans="1:17" s="471" customFormat="1" ht="15" thickBot="1">
      <c r="A80" s="553"/>
      <c r="B80" s="543"/>
      <c r="C80" s="560"/>
      <c r="D80" s="560"/>
      <c r="E80" s="560"/>
      <c r="F80" s="560"/>
      <c r="G80" s="560"/>
      <c r="H80" s="562"/>
      <c r="I80" s="562"/>
      <c r="J80" s="562"/>
      <c r="K80" s="562"/>
      <c r="L80" s="562"/>
      <c r="M80" s="563"/>
      <c r="N80" s="1154"/>
      <c r="O80" s="1154"/>
      <c r="P80" s="558"/>
      <c r="Q80" s="559"/>
    </row>
    <row r="81" spans="1:17" s="471" customFormat="1" ht="15" thickTop="1">
      <c r="A81" s="553"/>
      <c r="B81" s="546">
        <f>B14</f>
        <v>111</v>
      </c>
      <c r="C81" s="523"/>
      <c r="D81" s="523"/>
      <c r="E81" s="523"/>
      <c r="F81" s="523"/>
      <c r="G81" s="523"/>
      <c r="H81" s="564"/>
      <c r="I81" s="564"/>
      <c r="J81" s="564"/>
      <c r="K81" s="564"/>
      <c r="L81" s="565"/>
      <c r="M81" s="566"/>
      <c r="N81" s="1154"/>
      <c r="O81" s="1154"/>
      <c r="P81" s="567"/>
      <c r="Q81" s="559"/>
    </row>
    <row r="82" spans="1:17" s="471" customFormat="1" ht="15" thickBot="1">
      <c r="A82" s="568"/>
      <c r="B82" s="569"/>
      <c r="C82" s="570"/>
      <c r="D82" s="570"/>
      <c r="E82" s="570"/>
      <c r="F82" s="570"/>
      <c r="G82" s="570"/>
      <c r="H82" s="571"/>
      <c r="I82" s="571"/>
      <c r="J82" s="571"/>
      <c r="K82" s="571"/>
      <c r="L82" s="571"/>
      <c r="M82" s="572"/>
      <c r="N82" s="1154"/>
      <c r="O82" s="1154"/>
      <c r="P82" s="558"/>
      <c r="Q82" s="559"/>
    </row>
    <row r="83" spans="1:17" ht="15">
      <c r="A83" s="527" t="s">
        <v>2540</v>
      </c>
      <c r="B83" s="528" t="s">
        <v>2686</v>
      </c>
      <c r="C83" s="573" t="s">
        <v>2578</v>
      </c>
      <c r="D83" s="573" t="s">
        <v>2579</v>
      </c>
      <c r="E83" s="573" t="s">
        <v>2580</v>
      </c>
      <c r="F83" s="573" t="s">
        <v>2581</v>
      </c>
      <c r="G83" s="573" t="s">
        <v>2582</v>
      </c>
      <c r="H83" s="529"/>
      <c r="I83" s="529"/>
      <c r="J83" s="529"/>
      <c r="K83" s="574"/>
      <c r="L83" s="575"/>
      <c r="M83" s="576"/>
      <c r="N83" s="1152"/>
      <c r="O83" s="1152"/>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6" thickTop="1">
      <c r="A85" s="534"/>
      <c r="B85" s="538" t="s">
        <v>2583</v>
      </c>
      <c r="C85" s="578" t="s">
        <v>2578</v>
      </c>
      <c r="D85" s="578" t="s">
        <v>2579</v>
      </c>
      <c r="E85" s="578" t="s">
        <v>2580</v>
      </c>
      <c r="F85" s="578" t="s">
        <v>2581</v>
      </c>
      <c r="G85" s="578" t="s">
        <v>2582</v>
      </c>
      <c r="H85" s="539"/>
      <c r="I85" s="539"/>
      <c r="J85" s="539"/>
      <c r="K85" s="540"/>
      <c r="L85" s="541"/>
      <c r="M85" s="542"/>
      <c r="N85" s="1152"/>
      <c r="O85" s="1152"/>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6" thickTop="1">
      <c r="A87" s="579"/>
      <c r="B87" s="538" t="s">
        <v>2766</v>
      </c>
      <c r="C87" s="573" t="s">
        <v>2578</v>
      </c>
      <c r="D87" s="573" t="s">
        <v>2579</v>
      </c>
      <c r="E87" s="573" t="s">
        <v>2580</v>
      </c>
      <c r="F87" s="573" t="s">
        <v>2581</v>
      </c>
      <c r="G87" s="573" t="s">
        <v>2582</v>
      </c>
      <c r="H87" s="578"/>
      <c r="I87" s="578"/>
      <c r="J87" s="578"/>
      <c r="K87" s="578"/>
      <c r="L87" s="698"/>
      <c r="M87" s="622"/>
      <c r="N87" s="1151"/>
      <c r="O87" s="1151"/>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31" thickTop="1">
      <c r="A89" s="579"/>
      <c r="B89" s="538" t="s">
        <v>2767</v>
      </c>
      <c r="C89" s="573" t="s">
        <v>2578</v>
      </c>
      <c r="D89" s="573" t="s">
        <v>2579</v>
      </c>
      <c r="E89" s="573" t="s">
        <v>2580</v>
      </c>
      <c r="F89" s="573" t="s">
        <v>2581</v>
      </c>
      <c r="G89" s="573" t="s">
        <v>2582</v>
      </c>
      <c r="H89" s="578"/>
      <c r="I89" s="578"/>
      <c r="J89" s="578"/>
      <c r="K89" s="578"/>
      <c r="L89" s="578"/>
      <c r="M89" s="622"/>
      <c r="N89" s="1151"/>
      <c r="O89" s="1151"/>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6" thickTop="1">
      <c r="A91" s="553"/>
      <c r="B91" s="538" t="s">
        <v>2635</v>
      </c>
      <c r="C91" s="573" t="s">
        <v>2578</v>
      </c>
      <c r="D91" s="573" t="s">
        <v>2579</v>
      </c>
      <c r="E91" s="573" t="s">
        <v>2580</v>
      </c>
      <c r="F91" s="573" t="s">
        <v>2581</v>
      </c>
      <c r="G91" s="573" t="s">
        <v>2582</v>
      </c>
      <c r="H91" s="600"/>
      <c r="I91" s="600"/>
      <c r="J91" s="600"/>
      <c r="K91" s="600"/>
      <c r="L91" s="601"/>
      <c r="M91" s="602"/>
      <c r="N91" s="1154"/>
      <c r="O91" s="1154"/>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6" thickTop="1">
      <c r="A93" s="553"/>
      <c r="B93" s="546" t="s">
        <v>2784</v>
      </c>
      <c r="C93" s="660" t="s">
        <v>2656</v>
      </c>
      <c r="D93" s="660" t="s">
        <v>2657</v>
      </c>
      <c r="E93" s="660" t="s">
        <v>2658</v>
      </c>
      <c r="F93" s="660" t="s">
        <v>2659</v>
      </c>
      <c r="G93" s="660" t="s">
        <v>2660</v>
      </c>
      <c r="H93" s="600"/>
      <c r="I93" s="600"/>
      <c r="J93" s="600"/>
      <c r="K93" s="600"/>
      <c r="L93" s="600"/>
      <c r="M93" s="602"/>
      <c r="N93" s="1154"/>
      <c r="O93" s="1154"/>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6" thickTop="1">
      <c r="A95" s="534"/>
      <c r="B95" s="538" t="str">
        <f>B27</f>
        <v>临街状况</v>
      </c>
      <c r="C95" s="539" t="s">
        <v>2768</v>
      </c>
      <c r="D95" s="539" t="s">
        <v>2769</v>
      </c>
      <c r="E95" s="539" t="s">
        <v>2770</v>
      </c>
      <c r="F95" s="539" t="s">
        <v>2771</v>
      </c>
      <c r="G95" s="539"/>
      <c r="H95" s="539"/>
      <c r="I95" s="539"/>
      <c r="J95" s="539"/>
      <c r="K95" s="540"/>
      <c r="L95" s="541"/>
      <c r="M95" s="542"/>
      <c r="N95" s="1152"/>
      <c r="O95" s="1152"/>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31" thickTop="1">
      <c r="A97" s="534"/>
      <c r="B97" s="538" t="s">
        <v>2672</v>
      </c>
      <c r="C97" s="554"/>
      <c r="D97" s="554"/>
      <c r="E97" s="554"/>
      <c r="F97" s="554"/>
      <c r="G97" s="554"/>
      <c r="H97" s="583"/>
      <c r="I97" s="583"/>
      <c r="J97" s="583"/>
      <c r="K97" s="584"/>
      <c r="L97" s="585"/>
      <c r="M97" s="586"/>
      <c r="N97" s="1152"/>
      <c r="O97" s="1152"/>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6" thickTop="1">
      <c r="A99" s="534"/>
      <c r="B99" s="538" t="s">
        <v>2731</v>
      </c>
      <c r="C99" s="583"/>
      <c r="D99" s="583"/>
      <c r="E99" s="583"/>
      <c r="F99" s="583"/>
      <c r="G99" s="583"/>
      <c r="H99" s="583"/>
      <c r="I99" s="583"/>
      <c r="J99" s="583"/>
      <c r="K99" s="584"/>
      <c r="L99" s="585"/>
      <c r="M99" s="586"/>
      <c r="N99" s="1152"/>
      <c r="O99" s="1152"/>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 thickTop="1">
      <c r="A101" s="534"/>
      <c r="B101" s="546">
        <f>B31</f>
        <v>111</v>
      </c>
      <c r="C101" s="554"/>
      <c r="D101" s="554"/>
      <c r="E101" s="554"/>
      <c r="F101" s="554"/>
      <c r="G101" s="587"/>
      <c r="H101" s="587"/>
      <c r="I101" s="587"/>
      <c r="J101" s="587"/>
      <c r="K101" s="588"/>
      <c r="L101" s="589"/>
      <c r="M101" s="590"/>
      <c r="N101" s="1152"/>
      <c r="O101" s="1152"/>
      <c r="P101" s="45"/>
      <c r="Q101" s="504"/>
    </row>
    <row r="102" spans="1:17" ht="1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 thickBot="1">
      <c r="A106" s="553"/>
      <c r="B106" s="546"/>
      <c r="C106" s="570"/>
      <c r="D106" s="570"/>
      <c r="E106" s="570"/>
      <c r="F106" s="570"/>
      <c r="G106" s="677"/>
      <c r="H106" s="677"/>
      <c r="I106" s="677"/>
      <c r="J106" s="677"/>
      <c r="K106" s="677"/>
      <c r="L106" s="677"/>
      <c r="M106" s="699"/>
      <c r="N106" s="1153"/>
      <c r="O106" s="1153"/>
      <c r="P106" s="558"/>
      <c r="Q106" s="559"/>
    </row>
    <row r="107" spans="1:17" ht="15">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5" thickBot="1">
      <c r="A109" s="534"/>
      <c r="B109" s="543"/>
      <c r="C109" s="570"/>
      <c r="D109" s="591"/>
      <c r="E109" s="591"/>
      <c r="F109" s="591"/>
      <c r="G109" s="591"/>
      <c r="H109" s="591"/>
      <c r="I109" s="591"/>
      <c r="J109" s="591"/>
      <c r="K109" s="591"/>
      <c r="L109" s="591"/>
      <c r="M109" s="592"/>
      <c r="N109" s="1153"/>
      <c r="O109" s="1153"/>
      <c r="P109" s="45"/>
      <c r="Q109" s="504"/>
    </row>
    <row r="110" spans="1:17" ht="16" thickTop="1">
      <c r="A110" s="599"/>
      <c r="B110" s="538" t="s">
        <v>2773</v>
      </c>
      <c r="C110" s="583"/>
      <c r="D110" s="583"/>
      <c r="E110" s="583"/>
      <c r="F110" s="583"/>
      <c r="G110" s="583"/>
      <c r="H110" s="583"/>
      <c r="I110" s="583"/>
      <c r="J110" s="583"/>
      <c r="K110" s="584"/>
      <c r="L110" s="585"/>
      <c r="M110" s="586"/>
      <c r="N110" s="1152"/>
      <c r="O110" s="1152"/>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6" thickTop="1">
      <c r="A112" s="593"/>
      <c r="B112" s="538" t="s">
        <v>2775</v>
      </c>
      <c r="C112" s="554"/>
      <c r="D112" s="554"/>
      <c r="E112" s="554"/>
      <c r="F112" s="554"/>
      <c r="G112" s="554"/>
      <c r="H112" s="583"/>
      <c r="I112" s="583"/>
      <c r="J112" s="583"/>
      <c r="K112" s="584"/>
      <c r="L112" s="585"/>
      <c r="M112" s="586"/>
      <c r="N112" s="1154"/>
      <c r="O112" s="1154"/>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6" thickTop="1">
      <c r="A114" s="599"/>
      <c r="B114" s="538" t="s">
        <v>2776</v>
      </c>
      <c r="C114" s="554"/>
      <c r="D114" s="554"/>
      <c r="E114" s="583"/>
      <c r="F114" s="583"/>
      <c r="G114" s="583"/>
      <c r="H114" s="583"/>
      <c r="I114" s="583"/>
      <c r="J114" s="583"/>
      <c r="K114" s="584"/>
      <c r="L114" s="585"/>
      <c r="M114" s="586"/>
      <c r="N114" s="1152"/>
      <c r="O114" s="1152"/>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baseColWidth="10" defaultColWidth="8.1640625" defaultRowHeight="19.5" customHeight="1"/>
  <cols>
    <col min="1" max="1" width="13.6640625" style="816" customWidth="1"/>
    <col min="2" max="9" width="8.1640625" style="878" customWidth="1"/>
    <col min="10" max="13" width="8.1640625" style="816"/>
    <col min="14" max="14" width="10" style="816" customWidth="1"/>
    <col min="15" max="16" width="8.1640625" style="816"/>
    <col min="17" max="17" width="34.1640625" style="816" customWidth="1"/>
    <col min="18" max="18" width="8.1640625" style="816" customWidth="1"/>
    <col min="19" max="19" width="8.1640625" style="816"/>
    <col min="20" max="20" width="11.6640625" style="816" customWidth="1"/>
    <col min="21" max="16384" width="8.1640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30">
      <c r="A61" s="882">
        <v>1</v>
      </c>
      <c r="B61" s="3300" t="s">
        <v>614</v>
      </c>
      <c r="C61" s="818" t="s">
        <v>615</v>
      </c>
      <c r="D61" s="818" t="s">
        <v>616</v>
      </c>
      <c r="E61" s="895">
        <v>0.5</v>
      </c>
      <c r="F61" s="882">
        <v>80</v>
      </c>
    </row>
    <row r="62" spans="1:8" s="878" customFormat="1" ht="30">
      <c r="A62" s="882">
        <v>2</v>
      </c>
      <c r="B62" s="3300"/>
      <c r="C62" s="818" t="s">
        <v>617</v>
      </c>
      <c r="D62" s="818" t="s">
        <v>618</v>
      </c>
      <c r="E62" s="895">
        <v>0.5</v>
      </c>
      <c r="F62" s="882">
        <v>80</v>
      </c>
    </row>
    <row r="63" spans="1:8" s="878" customFormat="1" ht="45">
      <c r="A63" s="882">
        <v>3</v>
      </c>
      <c r="B63" s="3300"/>
      <c r="C63" s="818" t="s">
        <v>619</v>
      </c>
      <c r="D63" s="818" t="s">
        <v>620</v>
      </c>
      <c r="E63" s="895">
        <v>0.5</v>
      </c>
      <c r="F63" s="882">
        <v>80</v>
      </c>
    </row>
    <row r="64" spans="1:8" s="878" customFormat="1" ht="45">
      <c r="A64" s="882">
        <v>4</v>
      </c>
      <c r="B64" s="3300"/>
      <c r="C64" s="818" t="s">
        <v>621</v>
      </c>
      <c r="D64" s="818" t="s">
        <v>622</v>
      </c>
      <c r="E64" s="895">
        <v>0.4</v>
      </c>
      <c r="F64" s="882">
        <v>60</v>
      </c>
    </row>
    <row r="65" spans="1:6" s="878" customFormat="1" ht="45">
      <c r="A65" s="882">
        <v>5</v>
      </c>
      <c r="B65" s="3300"/>
      <c r="C65" s="818" t="s">
        <v>623</v>
      </c>
      <c r="D65" s="818" t="s">
        <v>624</v>
      </c>
      <c r="E65" s="895">
        <v>0.2</v>
      </c>
      <c r="F65" s="882">
        <v>30</v>
      </c>
    </row>
    <row r="66" spans="1:6" s="878" customFormat="1" ht="45">
      <c r="A66" s="882">
        <v>6</v>
      </c>
      <c r="B66" s="3300"/>
      <c r="C66" s="818" t="s">
        <v>625</v>
      </c>
      <c r="D66" s="818" t="s">
        <v>626</v>
      </c>
      <c r="E66" s="895">
        <v>0.3</v>
      </c>
      <c r="F66" s="882">
        <v>50</v>
      </c>
    </row>
    <row r="67" spans="1:6" s="878" customFormat="1" ht="45">
      <c r="A67" s="882">
        <v>7</v>
      </c>
      <c r="B67" s="3300"/>
      <c r="C67" s="818" t="s">
        <v>627</v>
      </c>
      <c r="D67" s="818" t="s">
        <v>628</v>
      </c>
      <c r="E67" s="895">
        <v>0.2</v>
      </c>
      <c r="F67" s="882">
        <v>30</v>
      </c>
    </row>
    <row r="68" spans="1:6" s="878" customFormat="1" ht="45">
      <c r="A68" s="882">
        <v>8</v>
      </c>
      <c r="B68" s="3300"/>
      <c r="C68" s="818" t="s">
        <v>629</v>
      </c>
      <c r="D68" s="818" t="s">
        <v>630</v>
      </c>
      <c r="E68" s="895">
        <v>0.2</v>
      </c>
      <c r="F68" s="882">
        <v>30</v>
      </c>
    </row>
    <row r="69" spans="1:6" s="878" customFormat="1" ht="45">
      <c r="A69" s="882">
        <v>9</v>
      </c>
      <c r="B69" s="3300"/>
      <c r="C69" s="818" t="s">
        <v>631</v>
      </c>
      <c r="D69" s="818" t="s">
        <v>632</v>
      </c>
      <c r="E69" s="895">
        <v>0.2</v>
      </c>
      <c r="F69" s="882">
        <v>30</v>
      </c>
    </row>
    <row r="70" spans="1:6" s="878" customFormat="1" ht="60">
      <c r="A70" s="882">
        <v>10</v>
      </c>
      <c r="B70" s="3300"/>
      <c r="C70" s="818" t="s">
        <v>633</v>
      </c>
      <c r="D70" s="818" t="s">
        <v>634</v>
      </c>
      <c r="E70" s="895">
        <v>0.2</v>
      </c>
      <c r="F70" s="882">
        <v>30</v>
      </c>
    </row>
    <row r="71" spans="1:6" s="878" customFormat="1" ht="60">
      <c r="A71" s="882">
        <v>11</v>
      </c>
      <c r="B71" s="3300"/>
      <c r="C71" s="818" t="s">
        <v>635</v>
      </c>
      <c r="D71" s="818" t="s">
        <v>636</v>
      </c>
      <c r="E71" s="895">
        <v>0.2</v>
      </c>
      <c r="F71" s="882">
        <v>30</v>
      </c>
    </row>
    <row r="72" spans="1:6" s="878" customFormat="1" ht="45">
      <c r="A72" s="882">
        <v>12</v>
      </c>
      <c r="B72" s="3300"/>
      <c r="C72" s="818" t="s">
        <v>637</v>
      </c>
      <c r="D72" s="818" t="s">
        <v>638</v>
      </c>
      <c r="E72" s="895">
        <v>0.5</v>
      </c>
      <c r="F72" s="882">
        <v>80</v>
      </c>
    </row>
    <row r="73" spans="1:6" s="878" customFormat="1" ht="30">
      <c r="A73" s="882">
        <v>13</v>
      </c>
      <c r="B73" s="3300"/>
      <c r="C73" s="818" t="s">
        <v>639</v>
      </c>
      <c r="D73" s="818" t="s">
        <v>640</v>
      </c>
      <c r="E73" s="895">
        <v>0.4</v>
      </c>
      <c r="F73" s="882">
        <v>60</v>
      </c>
    </row>
    <row r="74" spans="1:6" s="878" customFormat="1" ht="30">
      <c r="A74" s="882">
        <v>14</v>
      </c>
      <c r="B74" s="3300"/>
      <c r="C74" s="818" t="s">
        <v>641</v>
      </c>
      <c r="D74" s="818" t="s">
        <v>642</v>
      </c>
      <c r="E74" s="895">
        <v>0.2</v>
      </c>
      <c r="F74" s="882">
        <v>30</v>
      </c>
    </row>
    <row r="75" spans="1:6" s="878" customFormat="1" ht="30">
      <c r="A75" s="882">
        <v>15</v>
      </c>
      <c r="B75" s="3300"/>
      <c r="C75" s="818" t="s">
        <v>643</v>
      </c>
      <c r="D75" s="818" t="s">
        <v>644</v>
      </c>
      <c r="E75" s="895">
        <v>0.2</v>
      </c>
      <c r="F75" s="882">
        <v>30</v>
      </c>
    </row>
    <row r="76" spans="1:6" s="878" customFormat="1" ht="30">
      <c r="A76" s="882">
        <v>16</v>
      </c>
      <c r="B76" s="3300" t="s">
        <v>645</v>
      </c>
      <c r="C76" s="818" t="s">
        <v>646</v>
      </c>
      <c r="D76" s="818" t="s">
        <v>647</v>
      </c>
      <c r="E76" s="895">
        <v>0.5</v>
      </c>
      <c r="F76" s="882">
        <v>80</v>
      </c>
    </row>
    <row r="77" spans="1:6" s="878" customFormat="1" ht="30">
      <c r="A77" s="882">
        <v>17</v>
      </c>
      <c r="B77" s="3300"/>
      <c r="C77" s="818" t="s">
        <v>648</v>
      </c>
      <c r="D77" s="818" t="s">
        <v>649</v>
      </c>
      <c r="E77" s="895">
        <v>0.5</v>
      </c>
      <c r="F77" s="882">
        <v>80</v>
      </c>
    </row>
    <row r="78" spans="1:6" s="878" customFormat="1" ht="30">
      <c r="A78" s="882">
        <v>18</v>
      </c>
      <c r="B78" s="3300"/>
      <c r="C78" s="818" t="s">
        <v>650</v>
      </c>
      <c r="D78" s="818" t="s">
        <v>651</v>
      </c>
      <c r="E78" s="895">
        <v>0.2</v>
      </c>
      <c r="F78" s="882">
        <v>30</v>
      </c>
    </row>
    <row r="79" spans="1:6" s="878" customFormat="1" ht="30">
      <c r="A79" s="882">
        <v>19</v>
      </c>
      <c r="B79" s="3300"/>
      <c r="C79" s="818" t="s">
        <v>652</v>
      </c>
      <c r="D79" s="818" t="s">
        <v>653</v>
      </c>
      <c r="E79" s="895">
        <v>0.5</v>
      </c>
      <c r="F79" s="882">
        <v>80</v>
      </c>
    </row>
    <row r="80" spans="1:6" s="878" customFormat="1" ht="45">
      <c r="A80" s="882">
        <v>20</v>
      </c>
      <c r="B80" s="3300"/>
      <c r="C80" s="818" t="s">
        <v>654</v>
      </c>
      <c r="D80" s="818" t="s">
        <v>655</v>
      </c>
      <c r="E80" s="895">
        <v>0.2</v>
      </c>
      <c r="F80" s="882">
        <v>30</v>
      </c>
    </row>
    <row r="81" spans="1:6" s="878" customFormat="1" ht="45">
      <c r="A81" s="882">
        <v>21</v>
      </c>
      <c r="B81" s="3300"/>
      <c r="C81" s="818" t="s">
        <v>656</v>
      </c>
      <c r="D81" s="818" t="s">
        <v>657</v>
      </c>
      <c r="E81" s="895">
        <v>0.2</v>
      </c>
      <c r="F81" s="882">
        <v>30</v>
      </c>
    </row>
    <row r="82" spans="1:6" s="878" customFormat="1" ht="60">
      <c r="A82" s="882">
        <v>22</v>
      </c>
      <c r="B82" s="3300"/>
      <c r="C82" s="818" t="s">
        <v>658</v>
      </c>
      <c r="D82" s="818" t="s">
        <v>659</v>
      </c>
      <c r="E82" s="895">
        <v>0.2</v>
      </c>
      <c r="F82" s="882">
        <v>30</v>
      </c>
    </row>
    <row r="83" spans="1:6" s="878" customFormat="1" ht="60">
      <c r="A83" s="882">
        <v>23</v>
      </c>
      <c r="B83" s="3300"/>
      <c r="C83" s="818" t="s">
        <v>660</v>
      </c>
      <c r="D83" s="818" t="s">
        <v>661</v>
      </c>
      <c r="E83" s="895">
        <v>0.2</v>
      </c>
      <c r="F83" s="882">
        <v>30</v>
      </c>
    </row>
    <row r="84" spans="1:6" s="878" customFormat="1" ht="45">
      <c r="A84" s="882">
        <v>24</v>
      </c>
      <c r="B84" s="3300"/>
      <c r="C84" s="818" t="s">
        <v>662</v>
      </c>
      <c r="D84" s="818" t="s">
        <v>663</v>
      </c>
      <c r="E84" s="895">
        <v>0.2</v>
      </c>
      <c r="F84" s="882">
        <v>30</v>
      </c>
    </row>
    <row r="85" spans="1:6" s="878" customFormat="1" ht="45">
      <c r="A85" s="882">
        <v>25</v>
      </c>
      <c r="B85" s="3300"/>
      <c r="C85" s="818" t="s">
        <v>664</v>
      </c>
      <c r="D85" s="818" t="s">
        <v>665</v>
      </c>
      <c r="E85" s="895">
        <v>0.5</v>
      </c>
      <c r="F85" s="882">
        <v>80</v>
      </c>
    </row>
    <row r="86" spans="1:6" s="878" customFormat="1" ht="45">
      <c r="A86" s="882">
        <v>26</v>
      </c>
      <c r="B86" s="3300"/>
      <c r="C86" s="818" t="s">
        <v>666</v>
      </c>
      <c r="D86" s="818" t="s">
        <v>667</v>
      </c>
      <c r="E86" s="895">
        <v>0.2</v>
      </c>
      <c r="F86" s="882">
        <v>30</v>
      </c>
    </row>
    <row r="87" spans="1:6" s="878" customFormat="1" ht="45">
      <c r="A87" s="882">
        <v>27</v>
      </c>
      <c r="B87" s="3300"/>
      <c r="C87" s="818" t="s">
        <v>668</v>
      </c>
      <c r="D87" s="818" t="s">
        <v>669</v>
      </c>
      <c r="E87" s="895">
        <v>0.2</v>
      </c>
      <c r="F87" s="882">
        <v>30</v>
      </c>
    </row>
    <row r="88" spans="1:6" s="878" customFormat="1" ht="45">
      <c r="A88" s="882">
        <v>28</v>
      </c>
      <c r="B88" s="3300"/>
      <c r="C88" s="818" t="s">
        <v>670</v>
      </c>
      <c r="D88" s="818" t="s">
        <v>671</v>
      </c>
      <c r="E88" s="895">
        <v>0.2</v>
      </c>
      <c r="F88" s="882">
        <v>30</v>
      </c>
    </row>
    <row r="89" spans="1:6" s="878" customFormat="1" ht="30">
      <c r="A89" s="882">
        <v>29</v>
      </c>
      <c r="B89" s="3300"/>
      <c r="C89" s="818" t="s">
        <v>672</v>
      </c>
      <c r="D89" s="818" t="s">
        <v>673</v>
      </c>
      <c r="E89" s="895">
        <v>0.2</v>
      </c>
      <c r="F89" s="882">
        <v>30</v>
      </c>
    </row>
    <row r="90" spans="1:6" s="878" customFormat="1" ht="30">
      <c r="A90" s="882">
        <v>30</v>
      </c>
      <c r="B90" s="3300"/>
      <c r="C90" s="818" t="s">
        <v>674</v>
      </c>
      <c r="D90" s="818" t="s">
        <v>675</v>
      </c>
      <c r="E90" s="895">
        <v>0.2</v>
      </c>
      <c r="F90" s="882">
        <v>30</v>
      </c>
    </row>
    <row r="91" spans="1:6" s="878" customFormat="1" ht="45">
      <c r="A91" s="882">
        <v>31</v>
      </c>
      <c r="B91" s="3300"/>
      <c r="C91" s="818" t="s">
        <v>676</v>
      </c>
      <c r="D91" s="818" t="s">
        <v>677</v>
      </c>
      <c r="E91" s="895">
        <v>0.2</v>
      </c>
      <c r="F91" s="882">
        <v>30</v>
      </c>
    </row>
    <row r="92" spans="1:6" s="878" customFormat="1" ht="30">
      <c r="A92" s="882">
        <v>32</v>
      </c>
      <c r="B92" s="3300" t="s">
        <v>678</v>
      </c>
      <c r="C92" s="882" t="s">
        <v>679</v>
      </c>
      <c r="D92" s="818" t="s">
        <v>680</v>
      </c>
      <c r="E92" s="895">
        <v>0.2</v>
      </c>
      <c r="F92" s="882">
        <v>30</v>
      </c>
    </row>
    <row r="93" spans="1:6" s="878" customFormat="1" ht="45">
      <c r="A93" s="882">
        <v>33</v>
      </c>
      <c r="B93" s="3300"/>
      <c r="C93" s="882" t="s">
        <v>681</v>
      </c>
      <c r="D93" s="818" t="s">
        <v>682</v>
      </c>
      <c r="E93" s="895">
        <v>0.2</v>
      </c>
      <c r="F93" s="882">
        <v>30</v>
      </c>
    </row>
    <row r="94" spans="1:6" s="878" customFormat="1" ht="60">
      <c r="A94" s="882">
        <v>34</v>
      </c>
      <c r="B94" s="3300"/>
      <c r="C94" s="882" t="s">
        <v>683</v>
      </c>
      <c r="D94" s="818" t="s">
        <v>684</v>
      </c>
      <c r="E94" s="895">
        <v>0.2</v>
      </c>
      <c r="F94" s="882">
        <v>30</v>
      </c>
    </row>
    <row r="95" spans="1:6" s="878" customFormat="1" ht="45">
      <c r="A95" s="882">
        <v>35</v>
      </c>
      <c r="B95" s="3300"/>
      <c r="C95" s="882" t="s">
        <v>685</v>
      </c>
      <c r="D95" s="818" t="s">
        <v>686</v>
      </c>
      <c r="E95" s="895">
        <v>0.2</v>
      </c>
      <c r="F95" s="882">
        <v>30</v>
      </c>
    </row>
    <row r="96" spans="1:6" s="878" customFormat="1" ht="60">
      <c r="A96" s="882">
        <v>36</v>
      </c>
      <c r="B96" s="3300"/>
      <c r="C96" s="818" t="s">
        <v>687</v>
      </c>
      <c r="D96" s="818" t="s">
        <v>688</v>
      </c>
      <c r="E96" s="895">
        <v>0.2</v>
      </c>
      <c r="F96" s="882">
        <v>30</v>
      </c>
    </row>
    <row r="97" spans="1:6" s="878" customFormat="1" ht="45">
      <c r="A97" s="882">
        <v>37</v>
      </c>
      <c r="B97" s="3300"/>
      <c r="C97" s="882" t="s">
        <v>689</v>
      </c>
      <c r="D97" s="818" t="s">
        <v>690</v>
      </c>
      <c r="E97" s="895">
        <v>0.2</v>
      </c>
      <c r="F97" s="882">
        <v>30</v>
      </c>
    </row>
    <row r="98" spans="1:6" s="878" customFormat="1" ht="45">
      <c r="A98" s="882">
        <v>38</v>
      </c>
      <c r="B98" s="3300"/>
      <c r="C98" s="882" t="s">
        <v>691</v>
      </c>
      <c r="D98" s="818" t="s">
        <v>692</v>
      </c>
      <c r="E98" s="895">
        <v>0.2</v>
      </c>
      <c r="F98" s="882">
        <v>30</v>
      </c>
    </row>
    <row r="99" spans="1:6" s="878" customFormat="1" ht="45">
      <c r="A99" s="882">
        <v>39</v>
      </c>
      <c r="B99" s="3300" t="s">
        <v>693</v>
      </c>
      <c r="C99" s="882" t="s">
        <v>694</v>
      </c>
      <c r="D99" s="818" t="s">
        <v>695</v>
      </c>
      <c r="E99" s="895">
        <v>0.3</v>
      </c>
      <c r="F99" s="882">
        <v>50</v>
      </c>
    </row>
    <row r="100" spans="1:6" s="878" customFormat="1" ht="30">
      <c r="A100" s="882">
        <v>40</v>
      </c>
      <c r="B100" s="3300"/>
      <c r="C100" s="882" t="s">
        <v>696</v>
      </c>
      <c r="D100" s="818" t="s">
        <v>697</v>
      </c>
      <c r="E100" s="895">
        <v>0.2</v>
      </c>
      <c r="F100" s="882">
        <v>30</v>
      </c>
    </row>
    <row r="101" spans="1:6" s="878" customFormat="1" ht="45">
      <c r="A101" s="882">
        <v>41</v>
      </c>
      <c r="B101" s="3300"/>
      <c r="C101" s="882" t="s">
        <v>698</v>
      </c>
      <c r="D101" s="818" t="s">
        <v>695</v>
      </c>
      <c r="E101" s="895">
        <v>0.2</v>
      </c>
      <c r="F101" s="882">
        <v>30</v>
      </c>
    </row>
    <row r="102" spans="1:6" s="878" customFormat="1" ht="60">
      <c r="A102" s="882">
        <v>42</v>
      </c>
      <c r="B102" s="882" t="s">
        <v>699</v>
      </c>
      <c r="C102" s="818" t="s">
        <v>700</v>
      </c>
      <c r="D102" s="818" t="s">
        <v>701</v>
      </c>
      <c r="E102" s="895">
        <v>0.2</v>
      </c>
      <c r="F102" s="882">
        <v>30</v>
      </c>
    </row>
    <row r="103" spans="1:6" s="878" customFormat="1" ht="30">
      <c r="A103" s="882">
        <v>43</v>
      </c>
      <c r="B103" s="882" t="s">
        <v>702</v>
      </c>
      <c r="C103" s="882" t="s">
        <v>703</v>
      </c>
      <c r="D103" s="818" t="s">
        <v>704</v>
      </c>
      <c r="E103" s="895">
        <v>0.2</v>
      </c>
      <c r="F103" s="882">
        <v>30</v>
      </c>
    </row>
    <row r="104" spans="1:6" s="878" customFormat="1" ht="45">
      <c r="A104" s="882">
        <v>44</v>
      </c>
      <c r="B104" s="882" t="s">
        <v>705</v>
      </c>
      <c r="C104" s="882" t="s">
        <v>706</v>
      </c>
      <c r="D104" s="818" t="s">
        <v>707</v>
      </c>
      <c r="E104" s="895">
        <v>0.2</v>
      </c>
      <c r="F104" s="882">
        <v>30</v>
      </c>
    </row>
    <row r="105" spans="1:6" s="878" customFormat="1" ht="45">
      <c r="A105" s="882">
        <v>45</v>
      </c>
      <c r="B105" s="3300" t="s">
        <v>708</v>
      </c>
      <c r="C105" s="882" t="s">
        <v>709</v>
      </c>
      <c r="D105" s="818" t="s">
        <v>710</v>
      </c>
      <c r="E105" s="895">
        <v>0.2</v>
      </c>
      <c r="F105" s="882">
        <v>30</v>
      </c>
    </row>
    <row r="106" spans="1:6" s="878" customFormat="1" ht="45">
      <c r="A106" s="882">
        <v>46</v>
      </c>
      <c r="B106" s="3300"/>
      <c r="C106" s="882" t="s">
        <v>711</v>
      </c>
      <c r="D106" s="818" t="s">
        <v>712</v>
      </c>
      <c r="E106" s="895">
        <v>0.2</v>
      </c>
      <c r="F106" s="882">
        <v>30</v>
      </c>
    </row>
    <row r="107" spans="1:6" s="878" customFormat="1" ht="45">
      <c r="A107" s="882">
        <v>47</v>
      </c>
      <c r="B107" s="3300" t="s">
        <v>713</v>
      </c>
      <c r="C107" s="882" t="s">
        <v>714</v>
      </c>
      <c r="D107" s="818" t="s">
        <v>715</v>
      </c>
      <c r="E107" s="895">
        <v>0.3</v>
      </c>
      <c r="F107" s="882">
        <v>50</v>
      </c>
    </row>
    <row r="108" spans="1:6" s="878" customFormat="1" ht="45">
      <c r="A108" s="882">
        <v>48</v>
      </c>
      <c r="B108" s="3300"/>
      <c r="C108" s="882" t="s">
        <v>716</v>
      </c>
      <c r="D108" s="818" t="s">
        <v>717</v>
      </c>
      <c r="E108" s="895">
        <v>0.2</v>
      </c>
      <c r="F108" s="882">
        <v>30</v>
      </c>
    </row>
    <row r="109" spans="1:6" s="878" customFormat="1" ht="45">
      <c r="A109" s="882">
        <v>49</v>
      </c>
      <c r="B109" s="882" t="s">
        <v>718</v>
      </c>
      <c r="C109" s="882" t="s">
        <v>719</v>
      </c>
      <c r="D109" s="818" t="s">
        <v>720</v>
      </c>
      <c r="E109" s="895">
        <v>0.2</v>
      </c>
      <c r="F109" s="882">
        <v>30</v>
      </c>
    </row>
    <row r="110" spans="1:6" s="878" customFormat="1" ht="45">
      <c r="A110" s="882">
        <v>50</v>
      </c>
      <c r="B110" s="882" t="s">
        <v>721</v>
      </c>
      <c r="C110" s="882" t="s">
        <v>722</v>
      </c>
      <c r="D110" s="818" t="s">
        <v>723</v>
      </c>
      <c r="E110" s="895">
        <v>0.2</v>
      </c>
      <c r="F110" s="882">
        <v>30</v>
      </c>
    </row>
    <row r="111" spans="1:6" s="878" customFormat="1" ht="45">
      <c r="A111" s="882">
        <v>51</v>
      </c>
      <c r="B111" s="3300" t="s">
        <v>724</v>
      </c>
      <c r="C111" s="882" t="s">
        <v>725</v>
      </c>
      <c r="D111" s="818" t="s">
        <v>726</v>
      </c>
      <c r="E111" s="895">
        <v>0.2</v>
      </c>
      <c r="F111" s="882">
        <v>30</v>
      </c>
    </row>
    <row r="112" spans="1:6" s="878" customFormat="1" ht="30">
      <c r="A112" s="882">
        <v>52</v>
      </c>
      <c r="B112" s="3300"/>
      <c r="C112" s="882" t="s">
        <v>727</v>
      </c>
      <c r="D112" s="818" t="s">
        <v>728</v>
      </c>
      <c r="E112" s="895">
        <v>0.2</v>
      </c>
      <c r="F112" s="882">
        <v>30</v>
      </c>
    </row>
    <row r="113" spans="1:6" s="878" customFormat="1" ht="30">
      <c r="A113" s="882">
        <v>53</v>
      </c>
      <c r="B113" s="3300"/>
      <c r="C113" s="882" t="s">
        <v>729</v>
      </c>
      <c r="D113" s="818" t="s">
        <v>730</v>
      </c>
      <c r="E113" s="895">
        <v>0.2</v>
      </c>
      <c r="F113" s="882">
        <v>30</v>
      </c>
    </row>
    <row r="114" spans="1:6" ht="45">
      <c r="A114" s="882">
        <v>54</v>
      </c>
      <c r="B114" s="882" t="s">
        <v>731</v>
      </c>
      <c r="C114" s="882" t="s">
        <v>732</v>
      </c>
      <c r="D114" s="818" t="s">
        <v>733</v>
      </c>
      <c r="E114" s="895">
        <v>0.2</v>
      </c>
      <c r="F114" s="882">
        <v>30</v>
      </c>
    </row>
    <row r="115" spans="1:6" ht="30">
      <c r="A115" s="882">
        <v>55</v>
      </c>
      <c r="B115" s="882" t="s">
        <v>734</v>
      </c>
      <c r="C115" s="882" t="s">
        <v>735</v>
      </c>
      <c r="D115" s="818" t="s">
        <v>736</v>
      </c>
      <c r="E115" s="895">
        <v>0.2</v>
      </c>
      <c r="F115" s="882">
        <v>30</v>
      </c>
    </row>
    <row r="116" spans="1:6" ht="30">
      <c r="A116" s="882">
        <v>56</v>
      </c>
      <c r="B116" s="3300" t="s">
        <v>737</v>
      </c>
      <c r="C116" s="882" t="s">
        <v>738</v>
      </c>
      <c r="D116" s="818" t="s">
        <v>739</v>
      </c>
      <c r="E116" s="895">
        <v>0.2</v>
      </c>
      <c r="F116" s="882">
        <v>30</v>
      </c>
    </row>
    <row r="117" spans="1:6" ht="45">
      <c r="A117" s="882">
        <v>57</v>
      </c>
      <c r="B117" s="3300"/>
      <c r="C117" s="882" t="s">
        <v>740</v>
      </c>
      <c r="D117" s="818" t="s">
        <v>741</v>
      </c>
      <c r="E117" s="895">
        <v>0.2</v>
      </c>
      <c r="F117" s="882">
        <v>30</v>
      </c>
    </row>
    <row r="118" spans="1:6" ht="45">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baseColWidth="10"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ht="15">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ht="15">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ht="15">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E13"/>
  <sheetViews>
    <sheetView workbookViewId="0">
      <selection activeCell="U43" sqref="U43"/>
    </sheetView>
  </sheetViews>
  <sheetFormatPr baseColWidth="10" defaultColWidth="9" defaultRowHeight="14"/>
  <cols>
    <col min="1" max="1" width="23.33203125" style="1943" customWidth="1"/>
    <col min="2" max="2" width="12.5" style="1943" customWidth="1"/>
    <col min="3" max="3" width="12.1640625" style="1943" customWidth="1"/>
    <col min="4" max="4" width="14.1640625" style="1943" customWidth="1"/>
    <col min="5" max="5" width="12.5" style="1943" customWidth="1"/>
    <col min="6" max="16384" width="9" style="1943"/>
  </cols>
  <sheetData>
    <row r="1" spans="1:5" ht="20">
      <c r="A1" s="2559" t="s">
        <v>2983</v>
      </c>
    </row>
    <row r="2" spans="1:5" ht="16">
      <c r="A2" s="2899" t="s">
        <v>2975</v>
      </c>
      <c r="B2" s="2900">
        <f ca="1">SUMIF(B6:B13,"&lt;&gt;#ref!",B6:B13)</f>
        <v>0</v>
      </c>
      <c r="C2" s="2899" t="s">
        <v>2976</v>
      </c>
      <c r="D2" s="2899" t="s">
        <v>2977</v>
      </c>
      <c r="E2" s="2900">
        <f ca="1">SUMIF(E6:E13,"&lt;&gt;#ref!",E6:E13)</f>
        <v>0</v>
      </c>
    </row>
    <row r="3" spans="1:5" ht="16">
      <c r="A3" s="2899" t="s">
        <v>2978</v>
      </c>
      <c r="B3" s="2900" t="e">
        <f ca="1">ROUND(B2*10000/E2,0)</f>
        <v>#DIV/0!</v>
      </c>
      <c r="C3" s="2899" t="s">
        <v>2984</v>
      </c>
      <c r="D3" s="2901"/>
      <c r="E3" s="2901"/>
    </row>
    <row r="4" spans="1:5" ht="16">
      <c r="A4" s="2902"/>
      <c r="B4" s="2901"/>
      <c r="C4" s="2901"/>
      <c r="D4" s="2901"/>
      <c r="E4" s="2901"/>
    </row>
    <row r="5" spans="1:5" ht="32">
      <c r="A5" s="2903" t="s">
        <v>2979</v>
      </c>
      <c r="B5" s="2899" t="s">
        <v>2980</v>
      </c>
      <c r="C5" s="2900"/>
      <c r="D5" s="2901"/>
      <c r="E5" s="2899" t="s">
        <v>2981</v>
      </c>
    </row>
    <row r="6" spans="1:5" ht="16">
      <c r="A6" s="2904" t="s">
        <v>2982</v>
      </c>
      <c r="B6" s="2900" t="e">
        <f ca="1">SUMIF(INDIRECT("'"&amp;A6&amp;"'"&amp;"!A:A"),"总价",INDIRECT("'"&amp;A6&amp;"'"&amp;"!B:B"))</f>
        <v>#REF!</v>
      </c>
      <c r="C6" s="2899" t="s">
        <v>2976</v>
      </c>
      <c r="D6" s="2901"/>
      <c r="E6" s="2573" t="e">
        <f ca="1">SUMIF(INDIRECT("'"&amp;A6&amp;"'"&amp;"!C:C"),"建筑面积",INDIRECT("'"&amp;A6&amp;"'"&amp;"!D:D"))</f>
        <v>#REF!</v>
      </c>
    </row>
    <row r="7" spans="1:5" ht="16">
      <c r="A7" s="2904"/>
      <c r="B7" s="2900" t="e">
        <f ca="1">SUMIF(INDIRECT("'"&amp;A7&amp;"'"&amp;"!A:A"),"总价",INDIRECT("'"&amp;A7&amp;"'"&amp;"!B:B"))</f>
        <v>#REF!</v>
      </c>
      <c r="C7" s="2899" t="s">
        <v>2976</v>
      </c>
      <c r="D7" s="2901"/>
      <c r="E7" s="2573" t="e">
        <f t="shared" ref="E7:E13" ca="1" si="0">SUMIF(INDIRECT("'"&amp;A7&amp;"'"&amp;"!C:C"),"建筑面积",INDIRECT("'"&amp;A7&amp;"'"&amp;"!D:D"))</f>
        <v>#REF!</v>
      </c>
    </row>
    <row r="8" spans="1:5" ht="16">
      <c r="A8" s="2904"/>
      <c r="B8" s="2900" t="e">
        <f t="shared" ref="B8:B13" ca="1" si="1">SUMIF(INDIRECT("'"&amp;A8&amp;"'"&amp;"!A:A"),"总价",INDIRECT("'"&amp;A8&amp;"'"&amp;"!B:B"))</f>
        <v>#REF!</v>
      </c>
      <c r="C8" s="2899" t="s">
        <v>2976</v>
      </c>
      <c r="D8" s="2901"/>
      <c r="E8" s="2573" t="e">
        <f t="shared" ca="1" si="0"/>
        <v>#REF!</v>
      </c>
    </row>
    <row r="9" spans="1:5" ht="16">
      <c r="A9" s="2904"/>
      <c r="B9" s="2900" t="e">
        <f t="shared" ca="1" si="1"/>
        <v>#REF!</v>
      </c>
      <c r="C9" s="2899" t="s">
        <v>2976</v>
      </c>
      <c r="D9" s="2901"/>
      <c r="E9" s="2573" t="e">
        <f t="shared" ca="1" si="0"/>
        <v>#REF!</v>
      </c>
    </row>
    <row r="10" spans="1:5" ht="16">
      <c r="A10" s="2904"/>
      <c r="B10" s="2900" t="e">
        <f t="shared" ca="1" si="1"/>
        <v>#REF!</v>
      </c>
      <c r="C10" s="2899" t="s">
        <v>2976</v>
      </c>
      <c r="D10" s="2901"/>
      <c r="E10" s="2573" t="e">
        <f t="shared" ca="1" si="0"/>
        <v>#REF!</v>
      </c>
    </row>
    <row r="11" spans="1:5" ht="16">
      <c r="A11" s="2904"/>
      <c r="B11" s="2900" t="e">
        <f t="shared" ca="1" si="1"/>
        <v>#REF!</v>
      </c>
      <c r="C11" s="2899" t="s">
        <v>2976</v>
      </c>
      <c r="D11" s="2901"/>
      <c r="E11" s="2573" t="e">
        <f t="shared" ca="1" si="0"/>
        <v>#REF!</v>
      </c>
    </row>
    <row r="12" spans="1:5" ht="16">
      <c r="A12" s="2904"/>
      <c r="B12" s="2900" t="e">
        <f t="shared" ca="1" si="1"/>
        <v>#REF!</v>
      </c>
      <c r="C12" s="2899" t="s">
        <v>2976</v>
      </c>
      <c r="D12" s="2901"/>
      <c r="E12" s="2573" t="e">
        <f t="shared" ca="1" si="0"/>
        <v>#REF!</v>
      </c>
    </row>
    <row r="13" spans="1:5" ht="16">
      <c r="A13" s="2904"/>
      <c r="B13" s="2900" t="e">
        <f t="shared" ca="1" si="1"/>
        <v>#REF!</v>
      </c>
      <c r="C13" s="2899" t="s">
        <v>2976</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2"/>
  <sheetViews>
    <sheetView zoomScale="80" zoomScaleNormal="80" workbookViewId="0">
      <selection activeCell="I3" sqref="I3"/>
    </sheetView>
  </sheetViews>
  <sheetFormatPr baseColWidth="10" defaultColWidth="9" defaultRowHeight="13"/>
  <cols>
    <col min="1" max="1" width="9" style="1470"/>
    <col min="2" max="6" width="9" style="1470" customWidth="1"/>
    <col min="7" max="7" width="9" style="1485"/>
    <col min="8" max="8" width="9" style="1470"/>
    <col min="9" max="12" width="9" style="1470" customWidth="1"/>
    <col min="13" max="13" width="2.1640625" style="1470" customWidth="1"/>
    <col min="14" max="14" width="9" style="1485" customWidth="1"/>
    <col min="15" max="17" width="9" style="1470" customWidth="1"/>
    <col min="18" max="18" width="2.33203125" style="1470" customWidth="1"/>
    <col min="19" max="19" width="7.1640625" style="1485" customWidth="1"/>
    <col min="20" max="22" width="7.1640625" style="1470" customWidth="1"/>
    <col min="23" max="23" width="24.1640625" style="1470" customWidth="1"/>
    <col min="24" max="25" width="9" style="1470"/>
    <col min="26" max="27" width="11.6640625" style="1470" customWidth="1"/>
    <col min="28" max="28" width="9" style="1470"/>
    <col min="29" max="29" width="2" style="1470" customWidth="1"/>
    <col min="30" max="16384" width="9" style="1470"/>
  </cols>
  <sheetData>
    <row r="1" spans="1:34" s="1444" customFormat="1" ht="14">
      <c r="B1" s="3306" t="s">
        <v>1145</v>
      </c>
      <c r="C1" s="3306"/>
      <c r="D1" s="3306"/>
      <c r="E1" s="3306"/>
      <c r="F1" s="3306"/>
      <c r="G1" s="3302" t="s">
        <v>1146</v>
      </c>
      <c r="H1" s="3302"/>
      <c r="I1" s="3302"/>
      <c r="J1" s="3302"/>
      <c r="K1" s="3302"/>
      <c r="L1" s="3302"/>
      <c r="N1" s="3302" t="s">
        <v>1147</v>
      </c>
      <c r="O1" s="3302"/>
      <c r="P1" s="3302"/>
      <c r="Q1" s="3302"/>
      <c r="R1" s="1445"/>
      <c r="S1" s="3302" t="s">
        <v>1148</v>
      </c>
      <c r="T1" s="3302"/>
      <c r="U1" s="3302"/>
      <c r="V1" s="3302"/>
      <c r="X1" s="3301" t="s">
        <v>1149</v>
      </c>
      <c r="Y1" s="3302"/>
      <c r="Z1" s="3302"/>
      <c r="AA1" s="3302"/>
      <c r="AB1" s="3302"/>
      <c r="AD1" s="3301" t="s">
        <v>1150</v>
      </c>
      <c r="AE1" s="3302"/>
      <c r="AF1" s="3302"/>
      <c r="AG1" s="3302"/>
      <c r="AH1" s="3302"/>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
      <c r="A3" s="2924" t="s">
        <v>3018</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4">
      <c r="A5" s="1728" t="s">
        <v>3037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8">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3019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ht="14">
      <c r="A6" s="1460" t="s">
        <v>3036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8">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5" thickBot="1">
      <c r="A7" s="1460" t="s">
        <v>3032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7">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ht="14">
      <c r="A8" s="1460" t="s">
        <v>3030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3">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5" thickBot="1">
      <c r="A9" s="1460" t="s">
        <v>3028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ht="14">
      <c r="A10" s="1460" t="s">
        <v>3031</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304">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5" customHeight="1">
      <c r="A11" s="1460" t="s">
        <v>3025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04"/>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5" customHeight="1">
      <c r="A12" s="1460" t="s">
        <v>3024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04"/>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3017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11"/>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ht="14">
      <c r="A14" s="1460" t="s">
        <v>3014</v>
      </c>
      <c r="B14" s="1468">
        <v>439</v>
      </c>
      <c r="C14" s="1468">
        <v>327</v>
      </c>
      <c r="D14" s="1468">
        <f>C14</f>
        <v>327</v>
      </c>
      <c r="E14" s="1468">
        <v>627</v>
      </c>
      <c r="F14" s="1469">
        <v>283</v>
      </c>
      <c r="G14" s="3307">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5" customHeight="1">
      <c r="A15" s="1460" t="s">
        <v>3015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04"/>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04"/>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11"/>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ht="14">
      <c r="A18" s="1460" t="s">
        <v>154</v>
      </c>
      <c r="B18" s="1468">
        <v>392</v>
      </c>
      <c r="C18" s="1468">
        <v>302</v>
      </c>
      <c r="D18" s="1468">
        <f>C18</f>
        <v>302</v>
      </c>
      <c r="E18" s="1468">
        <v>553</v>
      </c>
      <c r="F18" s="1469">
        <v>266</v>
      </c>
      <c r="G18" s="3307">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ht="1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04"/>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ht="1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04"/>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05"/>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5" thickBot="1">
      <c r="A22" s="1460" t="s">
        <v>151</v>
      </c>
      <c r="B22" s="1468">
        <v>333</v>
      </c>
      <c r="C22" s="1468">
        <v>277</v>
      </c>
      <c r="D22" s="1468">
        <f t="shared" si="119"/>
        <v>277</v>
      </c>
      <c r="E22" s="1468">
        <v>459</v>
      </c>
      <c r="F22" s="1469">
        <v>249</v>
      </c>
      <c r="G22" s="3303">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ht="1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04"/>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ht="1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04"/>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ht="1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05"/>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5" thickBot="1">
      <c r="A26" s="1460" t="s">
        <v>147</v>
      </c>
      <c r="B26" s="1489">
        <v>318</v>
      </c>
      <c r="C26" s="1489">
        <v>268</v>
      </c>
      <c r="D26" s="1489">
        <f t="shared" si="119"/>
        <v>268</v>
      </c>
      <c r="E26" s="1489">
        <v>437</v>
      </c>
      <c r="F26" s="1490">
        <v>237</v>
      </c>
      <c r="G26" s="3303">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ht="1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04"/>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04"/>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05"/>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5" thickBot="1">
      <c r="A30" s="1460" t="s">
        <v>1158</v>
      </c>
      <c r="B30" s="1468">
        <v>299</v>
      </c>
      <c r="C30" s="1468">
        <v>252</v>
      </c>
      <c r="D30" s="1468">
        <f t="shared" si="119"/>
        <v>252</v>
      </c>
      <c r="E30" s="1468">
        <v>409</v>
      </c>
      <c r="F30" s="1469">
        <v>227</v>
      </c>
      <c r="G30" s="3308">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ht="1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09"/>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ht="1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09"/>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ht="14">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10"/>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5" thickBot="1">
      <c r="A34" s="1460" t="s">
        <v>1162</v>
      </c>
      <c r="B34" s="1510">
        <v>278</v>
      </c>
      <c r="C34" s="1510">
        <v>234</v>
      </c>
      <c r="D34" s="1510">
        <f t="shared" si="119"/>
        <v>234</v>
      </c>
      <c r="E34" s="1510">
        <v>379</v>
      </c>
      <c r="F34" s="1511">
        <v>220</v>
      </c>
      <c r="G34" s="3303">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ht="14">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04"/>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ht="14">
      <c r="A36" s="1460" t="s">
        <v>1164</v>
      </c>
      <c r="B36" s="1476">
        <f>B35/(1+N35)</f>
        <v>275.24529281292263</v>
      </c>
      <c r="C36" s="1476">
        <f>C35/(1+O35)</f>
        <v>231.74747938962707</v>
      </c>
      <c r="D36" s="1476">
        <f t="shared" si="119"/>
        <v>231.74747938962707</v>
      </c>
      <c r="E36" s="1476">
        <f t="shared" si="130"/>
        <v>375.35938184826603</v>
      </c>
      <c r="F36" s="1476">
        <f t="shared" si="130"/>
        <v>216.78033510692495</v>
      </c>
      <c r="G36" s="3304"/>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5" thickBot="1">
      <c r="A37" s="1460" t="s">
        <v>1165</v>
      </c>
      <c r="B37" s="1476">
        <f>B36/(1+N36)</f>
        <v>275.19025476197027</v>
      </c>
      <c r="C37" s="1512">
        <v>232</v>
      </c>
      <c r="D37" s="1512">
        <f t="shared" si="119"/>
        <v>232</v>
      </c>
      <c r="E37" s="1476">
        <f t="shared" si="130"/>
        <v>375.65990977608692</v>
      </c>
      <c r="F37" s="1476">
        <f t="shared" si="130"/>
        <v>214.12518283971252</v>
      </c>
      <c r="G37" s="3305"/>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5" thickBot="1">
      <c r="A38" s="1460" t="s">
        <v>1166</v>
      </c>
      <c r="B38" s="1468">
        <v>275</v>
      </c>
      <c r="C38" s="1468">
        <v>232</v>
      </c>
      <c r="D38" s="1468">
        <f t="shared" si="119"/>
        <v>232</v>
      </c>
      <c r="E38" s="1468">
        <v>376</v>
      </c>
      <c r="F38" s="1469">
        <v>213</v>
      </c>
      <c r="G38" s="3303">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ht="14">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04">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ht="14">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04">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05">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5" thickBot="1">
      <c r="A42" s="1460" t="s">
        <v>1170</v>
      </c>
      <c r="B42" s="1468">
        <v>269</v>
      </c>
      <c r="C42" s="1468">
        <v>221</v>
      </c>
      <c r="D42" s="1468">
        <f t="shared" si="119"/>
        <v>221</v>
      </c>
      <c r="E42" s="1468">
        <v>373</v>
      </c>
      <c r="F42" s="1469">
        <v>196</v>
      </c>
      <c r="G42" s="3303">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ht="14">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04">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ht="14">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04">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05">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5" thickBot="1">
      <c r="A46" s="1460" t="s">
        <v>1174</v>
      </c>
      <c r="B46" s="1468">
        <v>220</v>
      </c>
      <c r="C46" s="1468">
        <v>187</v>
      </c>
      <c r="D46" s="1468">
        <f t="shared" si="119"/>
        <v>187</v>
      </c>
      <c r="E46" s="1468">
        <v>301</v>
      </c>
      <c r="F46" s="1469">
        <v>168</v>
      </c>
      <c r="G46" s="3303">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ht="14">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04">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ht="14">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04">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ht="14">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05">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5" thickBot="1">
      <c r="A50" s="1460" t="s">
        <v>1178</v>
      </c>
      <c r="B50" s="1510">
        <v>214</v>
      </c>
      <c r="C50" s="1510">
        <v>188</v>
      </c>
      <c r="D50" s="1510">
        <f t="shared" si="119"/>
        <v>188</v>
      </c>
      <c r="E50" s="1510">
        <v>289</v>
      </c>
      <c r="F50" s="1511">
        <v>166</v>
      </c>
      <c r="G50" s="3303">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ht="14">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04">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ht="14">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04">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05">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5" thickBot="1">
      <c r="A54" s="1460" t="s">
        <v>1182</v>
      </c>
      <c r="B54" s="1468">
        <v>188</v>
      </c>
      <c r="C54" s="1468">
        <v>165</v>
      </c>
      <c r="D54" s="1468">
        <f t="shared" si="119"/>
        <v>165</v>
      </c>
      <c r="E54" s="1468">
        <v>254</v>
      </c>
      <c r="F54" s="1469">
        <v>148</v>
      </c>
      <c r="G54" s="3303">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ht="14">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04">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ht="14">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04">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ht="14">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05">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5" thickBot="1">
      <c r="A58" s="1460" t="s">
        <v>1186</v>
      </c>
      <c r="B58" s="1489">
        <v>159</v>
      </c>
      <c r="C58" s="1489">
        <v>141</v>
      </c>
      <c r="D58" s="1489">
        <f t="shared" si="119"/>
        <v>141</v>
      </c>
      <c r="E58" s="1489">
        <v>195</v>
      </c>
      <c r="F58" s="1490">
        <v>122</v>
      </c>
      <c r="G58" s="3303">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ht="14">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04">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ht="14">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04">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ht="14">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05">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5" thickBot="1">
      <c r="A62" s="1460" t="s">
        <v>1190</v>
      </c>
      <c r="B62" s="1489">
        <v>138</v>
      </c>
      <c r="C62" s="1489">
        <v>131</v>
      </c>
      <c r="D62" s="1489">
        <f t="shared" si="119"/>
        <v>131</v>
      </c>
      <c r="E62" s="1489">
        <v>155</v>
      </c>
      <c r="F62" s="1490">
        <v>114</v>
      </c>
      <c r="G62" s="3303">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ht="14">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04">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ht="14">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04">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ht="14">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05">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5" thickBot="1">
      <c r="A66" s="1460" t="s">
        <v>1194</v>
      </c>
      <c r="B66" s="1510">
        <v>121</v>
      </c>
      <c r="C66" s="1510">
        <v>122</v>
      </c>
      <c r="D66" s="1510">
        <f t="shared" si="119"/>
        <v>122</v>
      </c>
      <c r="E66" s="1510">
        <v>124</v>
      </c>
      <c r="F66" s="1511">
        <v>107</v>
      </c>
      <c r="G66" s="3303">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ht="14">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04">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ht="14">
      <c r="A68" s="1460" t="s">
        <v>1196</v>
      </c>
      <c r="B68" s="1476">
        <f t="shared" si="153"/>
        <v>116.99099099099099</v>
      </c>
      <c r="C68" s="1476">
        <f t="shared" si="153"/>
        <v>118.84848484848486</v>
      </c>
      <c r="D68" s="1476">
        <f t="shared" si="119"/>
        <v>118.84848484848486</v>
      </c>
      <c r="E68" s="1476">
        <f t="shared" si="154"/>
        <v>117.60960960960961</v>
      </c>
      <c r="F68" s="1476">
        <f t="shared" si="154"/>
        <v>104</v>
      </c>
      <c r="G68" s="3304">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05">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5" thickBot="1">
      <c r="A70" s="1460" t="s">
        <v>1198</v>
      </c>
      <c r="B70" s="1531">
        <v>111</v>
      </c>
      <c r="C70" s="1531">
        <v>114</v>
      </c>
      <c r="D70" s="1531">
        <f t="shared" si="119"/>
        <v>114</v>
      </c>
      <c r="E70" s="1531">
        <v>108</v>
      </c>
      <c r="F70" s="1532">
        <v>104</v>
      </c>
      <c r="G70" s="3303">
        <v>2003</v>
      </c>
      <c r="H70" s="1521">
        <v>4</v>
      </c>
      <c r="I70" s="1533"/>
      <c r="J70" s="1533"/>
      <c r="K70" s="1533"/>
      <c r="L70" s="1533"/>
      <c r="N70" s="1534"/>
      <c r="O70" s="1533"/>
      <c r="P70" s="1533"/>
      <c r="Q70" s="1533"/>
      <c r="S70" s="1534"/>
      <c r="T70" s="1533"/>
      <c r="U70" s="1533"/>
      <c r="V70" s="1533"/>
      <c r="X70" s="1525"/>
      <c r="Y70" s="1525"/>
      <c r="Z70" s="1525"/>
    </row>
    <row r="71" spans="1:26" ht="14">
      <c r="A71" s="1460" t="s">
        <v>1199</v>
      </c>
      <c r="B71" s="1535">
        <f t="shared" ref="B71:C73" si="155">B72+(B$70-B$74)/4</f>
        <v>109.75</v>
      </c>
      <c r="C71" s="1535">
        <f t="shared" si="155"/>
        <v>112.25</v>
      </c>
      <c r="D71" s="1535">
        <f t="shared" si="119"/>
        <v>112.25</v>
      </c>
      <c r="E71" s="1535">
        <f t="shared" ref="E71:F73" si="156">E72+(E$70-E$74)/4</f>
        <v>107.25</v>
      </c>
      <c r="F71" s="1535">
        <f t="shared" si="156"/>
        <v>103.5</v>
      </c>
      <c r="G71" s="3304">
        <v>2003</v>
      </c>
      <c r="H71" s="1486">
        <v>3</v>
      </c>
      <c r="I71" s="1533"/>
      <c r="J71" s="1533"/>
      <c r="K71" s="1533"/>
      <c r="L71" s="1533"/>
      <c r="X71" s="1525"/>
      <c r="Y71" s="1525"/>
      <c r="Z71" s="1525"/>
    </row>
    <row r="72" spans="1:26" ht="14">
      <c r="A72" s="1460" t="s">
        <v>1200</v>
      </c>
      <c r="B72" s="1535">
        <f t="shared" si="155"/>
        <v>108.5</v>
      </c>
      <c r="C72" s="1535">
        <f t="shared" si="155"/>
        <v>110.5</v>
      </c>
      <c r="D72" s="1535">
        <f t="shared" si="119"/>
        <v>110.5</v>
      </c>
      <c r="E72" s="1535">
        <f t="shared" si="156"/>
        <v>106.5</v>
      </c>
      <c r="F72" s="1535">
        <f t="shared" si="156"/>
        <v>103</v>
      </c>
      <c r="G72" s="3304">
        <v>2003</v>
      </c>
      <c r="H72" s="1464">
        <v>2</v>
      </c>
      <c r="I72" s="1533"/>
      <c r="J72" s="1533"/>
      <c r="K72" s="1533"/>
      <c r="L72" s="1533"/>
      <c r="X72" s="1525"/>
      <c r="Y72" s="1525"/>
      <c r="Z72" s="1525"/>
    </row>
    <row r="73" spans="1:26" ht="15" thickBot="1">
      <c r="A73" s="1460" t="s">
        <v>1201</v>
      </c>
      <c r="B73" s="1535">
        <f t="shared" si="155"/>
        <v>107.25</v>
      </c>
      <c r="C73" s="1535">
        <f t="shared" si="155"/>
        <v>108.75</v>
      </c>
      <c r="D73" s="1535">
        <f t="shared" si="119"/>
        <v>108.75</v>
      </c>
      <c r="E73" s="1535">
        <f t="shared" si="156"/>
        <v>105.75</v>
      </c>
      <c r="F73" s="1535">
        <f t="shared" si="156"/>
        <v>102.5</v>
      </c>
      <c r="G73" s="3305">
        <v>2003</v>
      </c>
      <c r="H73" s="1536">
        <v>1</v>
      </c>
      <c r="I73" s="1533"/>
      <c r="J73" s="1533"/>
      <c r="K73" s="1533"/>
      <c r="L73" s="1533"/>
      <c r="S73" s="1471"/>
      <c r="T73" s="1472"/>
      <c r="U73" s="1472"/>
      <c r="X73" s="1525"/>
      <c r="Y73" s="1525"/>
      <c r="Z73" s="1525"/>
    </row>
    <row r="74" spans="1:26" ht="15" thickBot="1">
      <c r="A74" s="1460" t="s">
        <v>1202</v>
      </c>
      <c r="B74" s="1537">
        <v>106</v>
      </c>
      <c r="C74" s="1537">
        <v>107</v>
      </c>
      <c r="D74" s="1537">
        <f t="shared" si="119"/>
        <v>107</v>
      </c>
      <c r="E74" s="1537">
        <v>105</v>
      </c>
      <c r="F74" s="1538">
        <v>102</v>
      </c>
      <c r="G74" s="3303">
        <v>2002</v>
      </c>
      <c r="H74" s="1481">
        <v>4</v>
      </c>
      <c r="I74" s="1533"/>
      <c r="J74" s="1533"/>
      <c r="K74" s="1533"/>
      <c r="L74" s="1533"/>
      <c r="N74" s="1534"/>
      <c r="O74" s="1533"/>
      <c r="P74" s="1533"/>
      <c r="Q74" s="1533"/>
      <c r="S74" s="1534"/>
      <c r="T74" s="1533"/>
      <c r="U74" s="1533"/>
      <c r="V74" s="1533"/>
      <c r="X74" s="1525"/>
      <c r="Y74" s="1525"/>
      <c r="Z74" s="1525"/>
    </row>
    <row r="75" spans="1:26" ht="14">
      <c r="A75" s="1460" t="s">
        <v>1203</v>
      </c>
      <c r="B75" s="1535">
        <f t="shared" ref="B75:C77" si="157">B76+(B$74-B$78)/4</f>
        <v>105</v>
      </c>
      <c r="C75" s="1535">
        <f t="shared" si="157"/>
        <v>106</v>
      </c>
      <c r="D75" s="1535">
        <f t="shared" si="119"/>
        <v>106</v>
      </c>
      <c r="E75" s="1535">
        <f t="shared" ref="E75:F77" si="158">E76+(E$74-E$78)/4</f>
        <v>104.5</v>
      </c>
      <c r="F75" s="1535">
        <f t="shared" si="158"/>
        <v>101.5</v>
      </c>
      <c r="G75" s="3304">
        <v>2002</v>
      </c>
      <c r="H75" s="1486">
        <v>3</v>
      </c>
      <c r="I75" s="1533"/>
      <c r="J75" s="1533"/>
      <c r="K75" s="1533"/>
      <c r="L75" s="1533"/>
      <c r="X75" s="1525"/>
      <c r="Y75" s="1525"/>
      <c r="Z75" s="1525"/>
    </row>
    <row r="76" spans="1:26" ht="14">
      <c r="A76" s="1460" t="s">
        <v>1204</v>
      </c>
      <c r="B76" s="1535">
        <f t="shared" si="157"/>
        <v>104</v>
      </c>
      <c r="C76" s="1535">
        <f t="shared" si="157"/>
        <v>105</v>
      </c>
      <c r="D76" s="1535">
        <f t="shared" si="119"/>
        <v>105</v>
      </c>
      <c r="E76" s="1535">
        <f t="shared" si="158"/>
        <v>104</v>
      </c>
      <c r="F76" s="1535">
        <f t="shared" si="158"/>
        <v>101</v>
      </c>
      <c r="G76" s="3304">
        <v>2002</v>
      </c>
      <c r="H76" s="1464">
        <v>2</v>
      </c>
      <c r="I76" s="1533"/>
      <c r="J76" s="1533"/>
      <c r="K76" s="1533"/>
      <c r="L76" s="1533"/>
      <c r="X76" s="1525"/>
      <c r="Y76" s="1525"/>
      <c r="Z76" s="1525"/>
    </row>
    <row r="77" spans="1:26" s="1497" customFormat="1" ht="15" thickBot="1">
      <c r="A77" s="1493" t="s">
        <v>1205</v>
      </c>
      <c r="B77" s="1539">
        <f t="shared" si="157"/>
        <v>103</v>
      </c>
      <c r="C77" s="1539">
        <f t="shared" si="157"/>
        <v>104</v>
      </c>
      <c r="D77" s="1539">
        <f t="shared" si="119"/>
        <v>104</v>
      </c>
      <c r="E77" s="1539">
        <f t="shared" si="158"/>
        <v>103.5</v>
      </c>
      <c r="F77" s="1539">
        <f t="shared" si="158"/>
        <v>100.5</v>
      </c>
      <c r="G77" s="3305">
        <v>2002</v>
      </c>
      <c r="H77" s="1540">
        <v>1</v>
      </c>
      <c r="I77" s="1541"/>
      <c r="J77" s="1541"/>
      <c r="K77" s="1541"/>
      <c r="L77" s="1541"/>
      <c r="N77" s="1542"/>
      <c r="S77" s="1542"/>
      <c r="X77" s="1543"/>
      <c r="Y77" s="1543"/>
      <c r="Z77" s="1543"/>
    </row>
    <row r="78" spans="1:26" ht="14"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ht="14">
      <c r="A80" s="1547" t="s">
        <v>1206</v>
      </c>
      <c r="G80" s="1549"/>
      <c r="N80" s="1549"/>
      <c r="S80" s="1549"/>
    </row>
    <row r="81" spans="1:22" s="1548" customFormat="1" ht="14">
      <c r="A81" s="1548" t="s">
        <v>1207</v>
      </c>
      <c r="G81" s="1549"/>
      <c r="N81" s="1549"/>
      <c r="S81" s="1549"/>
    </row>
    <row r="82" spans="1:22" s="1548" customFormat="1" ht="14">
      <c r="A82" s="1548" t="s">
        <v>1208</v>
      </c>
      <c r="G82" s="1549"/>
      <c r="I82" s="1550"/>
      <c r="J82" s="1550"/>
      <c r="K82" s="1550"/>
      <c r="L82" s="1550"/>
      <c r="N82" s="1551"/>
      <c r="O82" s="1550"/>
      <c r="P82" s="1550"/>
      <c r="Q82" s="1550"/>
      <c r="S82" s="1551"/>
      <c r="T82" s="1550"/>
      <c r="U82" s="1550"/>
      <c r="V82" s="1550"/>
    </row>
    <row r="83" spans="1:22" s="1548" customFormat="1" ht="14">
      <c r="A83" s="1548" t="s">
        <v>1209</v>
      </c>
      <c r="G83" s="1549"/>
      <c r="N83" s="1549"/>
      <c r="S83" s="1549"/>
    </row>
    <row r="90" spans="1:22" ht="14" thickBot="1"/>
    <row r="91" spans="1:22" ht="15">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4"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58" customWidth="1"/>
    <col min="2" max="2" width="37.1640625" style="1958" customWidth="1"/>
    <col min="3" max="3" width="11.33203125" style="1958" customWidth="1"/>
    <col min="4" max="4" width="31.6640625" style="1958" customWidth="1"/>
    <col min="5" max="5" width="0.5" style="1958" customWidth="1"/>
    <col min="6" max="7" width="13" style="1958" customWidth="1"/>
    <col min="8" max="16384" width="9" style="1958"/>
  </cols>
  <sheetData>
    <row r="1" spans="1:5" ht="18">
      <c r="A1" s="1956" t="s">
        <v>1615</v>
      </c>
      <c r="B1" s="1957"/>
      <c r="C1" s="1957"/>
      <c r="D1" s="1957"/>
      <c r="E1" s="1957"/>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 thickBot="1">
      <c r="A4" s="1959"/>
      <c r="B4" s="3010" t="s">
        <v>1624</v>
      </c>
      <c r="C4" s="3010"/>
      <c r="D4" s="3010"/>
      <c r="E4" s="1959"/>
    </row>
    <row r="5" spans="1:5" ht="17" thickTop="1">
      <c r="A5" s="1957"/>
      <c r="B5" s="3008" t="s">
        <v>1616</v>
      </c>
      <c r="C5" s="1960" t="s">
        <v>1617</v>
      </c>
      <c r="D5" s="1040">
        <f ca="1">结果表!H101</f>
        <v>25192</v>
      </c>
      <c r="E5" s="1957"/>
    </row>
    <row r="6" spans="1:5" ht="17">
      <c r="A6" s="1957"/>
      <c r="B6" s="3008"/>
      <c r="C6" s="1960" t="s">
        <v>1618</v>
      </c>
      <c r="D6" s="1040" t="str">
        <f ca="1">NUMBERSTRING(INT(D5*10000),2)&amp;"元整"</f>
        <v>贰亿伍仟壹佰玖拾贰万元整</v>
      </c>
      <c r="E6" s="1957"/>
    </row>
    <row r="7" spans="1:5" ht="16">
      <c r="A7" s="1957"/>
      <c r="B7" s="3013"/>
      <c r="C7" s="1961" t="s">
        <v>1619</v>
      </c>
      <c r="D7" s="1041">
        <f ca="1">结果表!H102</f>
        <v>16593</v>
      </c>
      <c r="E7" s="1957"/>
    </row>
    <row r="8" spans="1:5" ht="16">
      <c r="A8" s="1957"/>
      <c r="B8" s="3014" t="str">
        <f>结果表!E103</f>
        <v>2.估价师知悉的法定优先受偿款</v>
      </c>
      <c r="C8" s="1962" t="s">
        <v>1620</v>
      </c>
      <c r="D8" s="1041">
        <f>结果表!H103</f>
        <v>0</v>
      </c>
      <c r="E8" s="1957"/>
    </row>
    <row r="9" spans="1:5" ht="17">
      <c r="A9" s="1957"/>
      <c r="B9" s="3016"/>
      <c r="C9" s="1960" t="s">
        <v>1618</v>
      </c>
      <c r="D9" s="1040" t="str">
        <f>NUMBERSTRING(INT(D8*10000),2)&amp;"元整"</f>
        <v>零元整</v>
      </c>
      <c r="E9" s="1957"/>
    </row>
    <row r="10" spans="1:5" ht="17">
      <c r="A10" s="1957"/>
      <c r="B10" s="1963" t="s">
        <v>1623</v>
      </c>
      <c r="C10" s="1964" t="s">
        <v>1621</v>
      </c>
      <c r="D10" s="1042">
        <f>结果表!H104</f>
        <v>0</v>
      </c>
      <c r="E10" s="1957"/>
    </row>
    <row r="11" spans="1:5" ht="17">
      <c r="A11" s="1957"/>
      <c r="B11" s="1963" t="s">
        <v>1625</v>
      </c>
      <c r="C11" s="1964" t="s">
        <v>1626</v>
      </c>
      <c r="D11" s="1042">
        <f>结果表!H105</f>
        <v>0</v>
      </c>
      <c r="E11" s="1957"/>
    </row>
    <row r="12" spans="1:5" ht="17">
      <c r="A12" s="1957"/>
      <c r="B12" s="1963" t="s">
        <v>1627</v>
      </c>
      <c r="C12" s="1964" t="s">
        <v>1626</v>
      </c>
      <c r="D12" s="1042">
        <f>结果表!H106</f>
        <v>0</v>
      </c>
      <c r="E12" s="1957"/>
    </row>
    <row r="13" spans="1:5" ht="17">
      <c r="A13" s="1957"/>
      <c r="B13" s="3007" t="str">
        <f>结果表!E107</f>
        <v>——</v>
      </c>
      <c r="C13" s="1965" t="s">
        <v>1617</v>
      </c>
      <c r="D13" s="1043" t="str">
        <f>结果表!H107</f>
        <v>——</v>
      </c>
      <c r="E13" s="1957"/>
    </row>
    <row r="14" spans="1:5" ht="16">
      <c r="A14" s="1957"/>
      <c r="B14" s="3008"/>
      <c r="C14" s="1960" t="s">
        <v>1618</v>
      </c>
      <c r="D14" s="1040" t="e">
        <f>NUMBERSTRING(INT(D13*10000),2)&amp;"元整"</f>
        <v>#VALUE!</v>
      </c>
      <c r="E14" s="1957"/>
    </row>
    <row r="15" spans="1:5" ht="16">
      <c r="A15" s="1957"/>
      <c r="B15" s="3013"/>
      <c r="C15" s="1961" t="s">
        <v>1628</v>
      </c>
      <c r="D15" s="1052" t="e">
        <f>结果表!H108</f>
        <v>#VALUE!</v>
      </c>
      <c r="E15" s="1957"/>
    </row>
    <row r="16" spans="1:5" ht="16">
      <c r="A16" s="1957"/>
      <c r="B16" s="3014" t="str">
        <f>结果表!E109</f>
        <v>3.抵押担保权已注销时的房地产抵押价值</v>
      </c>
      <c r="C16" s="1965" t="s">
        <v>1629</v>
      </c>
      <c r="D16" s="1966">
        <f ca="1">结果表!H109</f>
        <v>25192</v>
      </c>
      <c r="E16" s="1957"/>
    </row>
    <row r="17" spans="1:5" ht="17">
      <c r="A17" s="1957"/>
      <c r="B17" s="3015"/>
      <c r="C17" s="1960" t="s">
        <v>1630</v>
      </c>
      <c r="D17" s="1040" t="str">
        <f ca="1">NUMBERSTRING(INT(D16*10000),2)&amp;"元整"</f>
        <v>贰亿伍仟壹佰玖拾贰万元整</v>
      </c>
      <c r="E17" s="1957"/>
    </row>
    <row r="18" spans="1:5" ht="16">
      <c r="A18" s="1957"/>
      <c r="B18" s="3016"/>
      <c r="C18" s="1961" t="s">
        <v>1619</v>
      </c>
      <c r="D18" s="1052">
        <f ca="1">结果表!H110</f>
        <v>16593</v>
      </c>
      <c r="E18" s="1957"/>
    </row>
    <row r="19" spans="1:5" ht="17">
      <c r="A19" s="1957"/>
      <c r="B19" s="3007" t="str">
        <f>结果表!E111</f>
        <v>——</v>
      </c>
      <c r="C19" s="1965" t="s">
        <v>1617</v>
      </c>
      <c r="D19" s="1041" t="str">
        <f>结果表!H111</f>
        <v>——</v>
      </c>
      <c r="E19" s="1957"/>
    </row>
    <row r="20" spans="1:5" ht="16">
      <c r="A20" s="1957"/>
      <c r="B20" s="3008"/>
      <c r="C20" s="1960" t="s">
        <v>1630</v>
      </c>
      <c r="D20" s="1040" t="e">
        <f>NUMBERSTRING(INT(D19*10000),2)&amp;"元整"</f>
        <v>#VALUE!</v>
      </c>
      <c r="E20" s="1957"/>
    </row>
    <row r="21" spans="1:5" ht="18" thickBot="1">
      <c r="A21" s="1957"/>
      <c r="B21" s="3009"/>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workbookViewId="0">
      <selection activeCell="L10" sqref="L10"/>
    </sheetView>
  </sheetViews>
  <sheetFormatPr baseColWidth="10" defaultColWidth="8.83203125" defaultRowHeight="14"/>
  <cols>
    <col min="1" max="1" width="10.5" customWidth="1"/>
    <col min="2" max="2" width="12.83203125" customWidth="1"/>
    <col min="3" max="3" width="8.6640625" customWidth="1"/>
  </cols>
  <sheetData>
    <row r="1" spans="1:9" ht="15">
      <c r="A1" s="3312" t="s">
        <v>1072</v>
      </c>
      <c r="B1" s="3313"/>
      <c r="C1" s="3314"/>
      <c r="D1" s="3315">
        <f>SUM(I10,I15,I20,I21,I23)</f>
        <v>3112</v>
      </c>
      <c r="E1" s="3315"/>
      <c r="F1" s="3315"/>
      <c r="G1" s="3315"/>
      <c r="H1" s="3315"/>
      <c r="I1" s="3316"/>
    </row>
    <row r="2" spans="1:9">
      <c r="A2" s="3317" t="s">
        <v>1073</v>
      </c>
      <c r="B2" s="3318" t="s">
        <v>1074</v>
      </c>
      <c r="C2" s="3318"/>
      <c r="D2" s="1300" t="s">
        <v>1075</v>
      </c>
      <c r="E2" s="1300" t="s">
        <v>1076</v>
      </c>
      <c r="F2" s="1300" t="s">
        <v>1077</v>
      </c>
      <c r="G2" s="1300" t="s">
        <v>1078</v>
      </c>
      <c r="H2" s="1300" t="s">
        <v>1079</v>
      </c>
      <c r="I2" s="1301" t="s">
        <v>1080</v>
      </c>
    </row>
    <row r="3" spans="1:9">
      <c r="A3" s="3317"/>
      <c r="B3" s="3318" t="s">
        <v>1081</v>
      </c>
      <c r="C3" s="3318"/>
      <c r="D3" s="1302">
        <f>面积!G7+面积!G9</f>
        <v>174</v>
      </c>
      <c r="E3" s="2991">
        <v>660</v>
      </c>
      <c r="F3" s="2992">
        <v>0.9</v>
      </c>
      <c r="G3" s="2992">
        <v>0.75</v>
      </c>
      <c r="H3" s="2991">
        <v>365</v>
      </c>
      <c r="I3" s="1305">
        <f>ROUND(D3*E3*F3*G3*H3/10000,0)</f>
        <v>2829</v>
      </c>
    </row>
    <row r="4" spans="1:9">
      <c r="A4" s="3317"/>
      <c r="B4" s="3318" t="s">
        <v>1082</v>
      </c>
      <c r="C4" s="3318"/>
      <c r="D4" s="1302"/>
      <c r="E4" s="1300"/>
      <c r="F4" s="1303"/>
      <c r="G4" s="1303"/>
      <c r="H4" s="1304"/>
      <c r="I4" s="1305">
        <f t="shared" ref="I4:I9" si="0">ROUND(D4*E4*F4*G4*H4/10000,0)</f>
        <v>0</v>
      </c>
    </row>
    <row r="5" spans="1:9">
      <c r="A5" s="3317"/>
      <c r="B5" s="3318" t="s">
        <v>1083</v>
      </c>
      <c r="C5" s="3318"/>
      <c r="D5" s="1302"/>
      <c r="E5" s="1300"/>
      <c r="F5" s="1303"/>
      <c r="G5" s="1303"/>
      <c r="H5" s="1304"/>
      <c r="I5" s="1305">
        <f t="shared" si="0"/>
        <v>0</v>
      </c>
    </row>
    <row r="6" spans="1:9">
      <c r="A6" s="3317"/>
      <c r="B6" s="3318" t="s">
        <v>1084</v>
      </c>
      <c r="C6" s="3318"/>
      <c r="D6" s="1302"/>
      <c r="E6" s="1300"/>
      <c r="F6" s="1303"/>
      <c r="G6" s="1303"/>
      <c r="H6" s="1304"/>
      <c r="I6" s="1305">
        <f t="shared" si="0"/>
        <v>0</v>
      </c>
    </row>
    <row r="7" spans="1:9">
      <c r="A7" s="3317"/>
      <c r="B7" s="3318" t="s">
        <v>1085</v>
      </c>
      <c r="C7" s="3318"/>
      <c r="D7" s="1302"/>
      <c r="E7" s="1300"/>
      <c r="F7" s="1303"/>
      <c r="G7" s="1303"/>
      <c r="H7" s="1304"/>
      <c r="I7" s="1305">
        <f t="shared" si="0"/>
        <v>0</v>
      </c>
    </row>
    <row r="8" spans="1:9">
      <c r="A8" s="3317"/>
      <c r="B8" s="3318" t="s">
        <v>1086</v>
      </c>
      <c r="C8" s="3318"/>
      <c r="D8" s="1302"/>
      <c r="E8" s="1300"/>
      <c r="F8" s="1303"/>
      <c r="G8" s="1303"/>
      <c r="H8" s="1304"/>
      <c r="I8" s="1305">
        <f t="shared" si="0"/>
        <v>0</v>
      </c>
    </row>
    <row r="9" spans="1:9">
      <c r="A9" s="3317"/>
      <c r="B9" s="3318" t="s">
        <v>1087</v>
      </c>
      <c r="C9" s="3318"/>
      <c r="D9" s="1302"/>
      <c r="E9" s="1300"/>
      <c r="F9" s="1303"/>
      <c r="G9" s="1303"/>
      <c r="H9" s="1304"/>
      <c r="I9" s="1305">
        <f t="shared" si="0"/>
        <v>0</v>
      </c>
    </row>
    <row r="10" spans="1:9">
      <c r="A10" s="3317"/>
      <c r="B10" s="3319" t="s">
        <v>1088</v>
      </c>
      <c r="C10" s="3319"/>
      <c r="D10" s="1306"/>
      <c r="E10" s="1306"/>
      <c r="F10" s="1307"/>
      <c r="G10" s="1307"/>
      <c r="H10" s="1308"/>
      <c r="I10" s="1309">
        <f>SUM(I3:I9)</f>
        <v>2829</v>
      </c>
    </row>
    <row r="11" spans="1:9" ht="15">
      <c r="A11" s="3317" t="s">
        <v>1089</v>
      </c>
      <c r="B11" s="3318" t="s">
        <v>1090</v>
      </c>
      <c r="C11" s="3318"/>
      <c r="D11" s="1302" t="s">
        <v>1091</v>
      </c>
      <c r="E11" s="1302" t="s">
        <v>1092</v>
      </c>
      <c r="F11" s="1303" t="s">
        <v>1093</v>
      </c>
      <c r="G11" s="1303" t="s">
        <v>1079</v>
      </c>
      <c r="H11" s="1310" t="s">
        <v>1094</v>
      </c>
      <c r="I11" s="1301" t="s">
        <v>1080</v>
      </c>
    </row>
    <row r="12" spans="1:9">
      <c r="A12" s="3317"/>
      <c r="B12" s="3318" t="s">
        <v>1095</v>
      </c>
      <c r="C12" s="3318"/>
      <c r="D12" s="1302"/>
      <c r="E12" s="1302"/>
      <c r="F12" s="1303"/>
      <c r="G12" s="1304"/>
      <c r="H12" s="1311"/>
      <c r="I12" s="1301">
        <f>ROUND(D12*E12*F12*G12/10000,0)</f>
        <v>0</v>
      </c>
    </row>
    <row r="13" spans="1:9">
      <c r="A13" s="3317"/>
      <c r="B13" s="3318" t="s">
        <v>1096</v>
      </c>
      <c r="C13" s="3318"/>
      <c r="D13" s="1302"/>
      <c r="E13" s="1302"/>
      <c r="F13" s="1303"/>
      <c r="G13" s="1304"/>
      <c r="H13" s="1311"/>
      <c r="I13" s="1301">
        <f>ROUND(D13*E13*F13*G13/10000,0)</f>
        <v>0</v>
      </c>
    </row>
    <row r="14" spans="1:9">
      <c r="A14" s="3317"/>
      <c r="B14" s="3318" t="s">
        <v>1097</v>
      </c>
      <c r="C14" s="3318"/>
      <c r="D14" s="1302"/>
      <c r="E14" s="1302"/>
      <c r="F14" s="1303"/>
      <c r="G14" s="1304"/>
      <c r="H14" s="1311"/>
      <c r="I14" s="1301">
        <f>ROUND(D14*E14*F14*G14/10000,0)</f>
        <v>0</v>
      </c>
    </row>
    <row r="15" spans="1:9">
      <c r="A15" s="3317"/>
      <c r="B15" s="3319" t="s">
        <v>1088</v>
      </c>
      <c r="C15" s="3319"/>
      <c r="D15" s="1306"/>
      <c r="E15" s="1306">
        <f>SUM(E12:E14)</f>
        <v>0</v>
      </c>
      <c r="F15" s="1307"/>
      <c r="G15" s="1304"/>
      <c r="H15" s="1311"/>
      <c r="I15" s="1312">
        <f>SUM(I12:I14)</f>
        <v>0</v>
      </c>
    </row>
    <row r="16" spans="1:9" ht="30">
      <c r="A16" s="3317" t="s">
        <v>1098</v>
      </c>
      <c r="B16" s="3318" t="s">
        <v>1099</v>
      </c>
      <c r="C16" s="3318"/>
      <c r="D16" s="1302" t="s">
        <v>1075</v>
      </c>
      <c r="E16" s="1313" t="s">
        <v>1100</v>
      </c>
      <c r="F16" s="1303" t="s">
        <v>1101</v>
      </c>
      <c r="G16" s="1304" t="s">
        <v>1079</v>
      </c>
      <c r="H16" s="1310" t="s">
        <v>1094</v>
      </c>
      <c r="I16" s="1301" t="s">
        <v>1080</v>
      </c>
    </row>
    <row r="17" spans="1:9" ht="15">
      <c r="A17" s="3317"/>
      <c r="B17" s="3318" t="s">
        <v>1102</v>
      </c>
      <c r="C17" s="3318"/>
      <c r="D17" s="1302"/>
      <c r="E17" s="1302"/>
      <c r="F17" s="1303"/>
      <c r="G17" s="1304"/>
      <c r="H17" s="1314"/>
      <c r="I17" s="1315">
        <f>ROUND(D17*E17*F17*G17/10000,0)</f>
        <v>0</v>
      </c>
    </row>
    <row r="18" spans="1:9" ht="15">
      <c r="A18" s="3317"/>
      <c r="B18" s="3318" t="s">
        <v>1103</v>
      </c>
      <c r="C18" s="3318"/>
      <c r="D18" s="1302"/>
      <c r="E18" s="1302"/>
      <c r="F18" s="1303"/>
      <c r="G18" s="1304"/>
      <c r="H18" s="1314"/>
      <c r="I18" s="1315">
        <f>ROUND(D18*E18*F18*G18/10000,0)</f>
        <v>0</v>
      </c>
    </row>
    <row r="19" spans="1:9" ht="15">
      <c r="A19" s="3317"/>
      <c r="B19" s="3318" t="s">
        <v>1104</v>
      </c>
      <c r="C19" s="3318"/>
      <c r="D19" s="1302"/>
      <c r="E19" s="1302"/>
      <c r="F19" s="1303"/>
      <c r="G19" s="1304"/>
      <c r="H19" s="1314"/>
      <c r="I19" s="1315">
        <f>ROUND(D19*E19*F19*G19/10000,0)</f>
        <v>0</v>
      </c>
    </row>
    <row r="20" spans="1:9">
      <c r="A20" s="3317"/>
      <c r="B20" s="3319" t="s">
        <v>1088</v>
      </c>
      <c r="C20" s="3319"/>
      <c r="D20" s="1306">
        <f>SUM(D17:D19)</f>
        <v>0</v>
      </c>
      <c r="E20" s="1306"/>
      <c r="F20" s="1307"/>
      <c r="G20" s="1304"/>
      <c r="H20" s="1311"/>
      <c r="I20" s="1312">
        <f>SUM(I17:I19)</f>
        <v>0</v>
      </c>
    </row>
    <row r="21" spans="1:9">
      <c r="A21" s="3317" t="s">
        <v>1105</v>
      </c>
      <c r="B21" s="3321"/>
      <c r="C21" s="3321"/>
      <c r="D21" s="3321"/>
      <c r="E21" s="3321"/>
      <c r="F21" s="3321"/>
      <c r="G21" s="3321"/>
      <c r="H21" s="1764">
        <v>0.1</v>
      </c>
      <c r="I21" s="1309">
        <f>ROUND(I10*H21,0)</f>
        <v>283</v>
      </c>
    </row>
    <row r="22" spans="1:9" ht="15">
      <c r="A22" s="3322" t="s">
        <v>1106</v>
      </c>
      <c r="B22" s="3323"/>
      <c r="C22" s="3324"/>
      <c r="D22" s="1316" t="s">
        <v>1107</v>
      </c>
      <c r="E22" s="1316" t="s">
        <v>1108</v>
      </c>
      <c r="F22" s="1317" t="s">
        <v>1109</v>
      </c>
      <c r="G22" s="1317" t="s">
        <v>1110</v>
      </c>
      <c r="H22" s="1310" t="s">
        <v>1111</v>
      </c>
      <c r="I22" s="1301" t="s">
        <v>1112</v>
      </c>
    </row>
    <row r="23" spans="1:9" ht="15" thickBot="1">
      <c r="A23" s="3325"/>
      <c r="B23" s="3326"/>
      <c r="C23" s="3327"/>
      <c r="D23" s="1318"/>
      <c r="E23" s="1318"/>
      <c r="F23" s="1318"/>
      <c r="G23" s="1319"/>
      <c r="H23" s="1320"/>
      <c r="I23" s="1321">
        <f>ROUND(E23*D23*F23*(1-G23)/10000,0)</f>
        <v>0</v>
      </c>
    </row>
    <row r="26" spans="1:9">
      <c r="A26" s="1322" t="s">
        <v>1113</v>
      </c>
      <c r="B26" s="1322"/>
      <c r="C26" s="1322"/>
      <c r="D26" s="1322"/>
      <c r="E26" s="3328">
        <f>C27-C30-C31-C32</f>
        <v>1867.1999999999996</v>
      </c>
      <c r="F26" s="3328"/>
      <c r="G26" s="3328"/>
      <c r="H26" s="1736" t="s">
        <v>1335</v>
      </c>
    </row>
    <row r="27" spans="1:9">
      <c r="A27" s="1323">
        <v>1</v>
      </c>
      <c r="B27" s="1324" t="s">
        <v>1114</v>
      </c>
      <c r="C27" s="1324">
        <f>C28+C29</f>
        <v>3112</v>
      </c>
      <c r="D27" s="1324"/>
      <c r="E27" s="3329"/>
      <c r="F27" s="3329"/>
      <c r="G27" s="3329"/>
    </row>
    <row r="28" spans="1:9">
      <c r="A28" s="1325" t="s">
        <v>1115</v>
      </c>
      <c r="B28" s="1324" t="s">
        <v>1116</v>
      </c>
      <c r="C28" s="1324">
        <f>I10</f>
        <v>2829</v>
      </c>
      <c r="D28" s="1324"/>
      <c r="E28" s="3329"/>
      <c r="F28" s="3329"/>
      <c r="G28" s="3329"/>
    </row>
    <row r="29" spans="1:9">
      <c r="A29" s="1325" t="s">
        <v>1117</v>
      </c>
      <c r="B29" s="1324" t="s">
        <v>1118</v>
      </c>
      <c r="C29" s="1324">
        <f>I21</f>
        <v>283</v>
      </c>
      <c r="D29" s="1324"/>
      <c r="E29" s="1324" t="s">
        <v>1119</v>
      </c>
      <c r="F29" s="1324"/>
      <c r="G29" s="1324"/>
    </row>
    <row r="30" spans="1:9">
      <c r="A30" s="1323">
        <v>2</v>
      </c>
      <c r="B30" s="1324" t="s">
        <v>1120</v>
      </c>
      <c r="C30" s="1324">
        <f>C27*D30</f>
        <v>622.40000000000009</v>
      </c>
      <c r="D30" s="1326">
        <v>0.2</v>
      </c>
      <c r="E30" s="1324" t="s">
        <v>1121</v>
      </c>
      <c r="F30" s="1324"/>
      <c r="G30" s="1324"/>
    </row>
    <row r="31" spans="1:9">
      <c r="A31" s="1323">
        <v>3</v>
      </c>
      <c r="B31" s="1324" t="s">
        <v>1122</v>
      </c>
      <c r="C31" s="1324">
        <f>C27*D31</f>
        <v>311.20000000000005</v>
      </c>
      <c r="D31" s="1326">
        <v>0.1</v>
      </c>
      <c r="E31" s="1324" t="s">
        <v>1123</v>
      </c>
      <c r="F31" s="1324"/>
      <c r="G31" s="1324"/>
    </row>
    <row r="32" spans="1:9">
      <c r="A32" s="1323">
        <v>4</v>
      </c>
      <c r="B32" s="1324" t="s">
        <v>1124</v>
      </c>
      <c r="C32" s="1324">
        <f>C27*D32</f>
        <v>311.20000000000005</v>
      </c>
      <c r="D32" s="1326">
        <v>0.1</v>
      </c>
      <c r="E32" s="3320"/>
      <c r="F32" s="3320"/>
      <c r="G32" s="3320"/>
    </row>
    <row r="33" spans="1:7" hidden="1">
      <c r="A33" s="3330" t="s">
        <v>1125</v>
      </c>
      <c r="B33" s="3331"/>
      <c r="C33" s="3331"/>
      <c r="D33" s="3332"/>
      <c r="E33" s="3328"/>
      <c r="F33" s="3328"/>
      <c r="G33" s="3328"/>
    </row>
    <row r="34" spans="1:7" hidden="1">
      <c r="A34" s="1327">
        <v>1</v>
      </c>
      <c r="B34" s="1324" t="s">
        <v>1126</v>
      </c>
      <c r="C34" s="1324"/>
      <c r="D34" s="1324"/>
      <c r="E34" s="3329"/>
      <c r="F34" s="3329"/>
      <c r="G34" s="3329"/>
    </row>
    <row r="35" spans="1:7" hidden="1">
      <c r="A35" s="1327">
        <v>2</v>
      </c>
      <c r="B35" s="1324" t="s">
        <v>1127</v>
      </c>
      <c r="C35" s="1324"/>
      <c r="D35" s="1324"/>
      <c r="E35" s="3329"/>
      <c r="F35" s="3329"/>
      <c r="G35" s="3329"/>
    </row>
    <row r="36" spans="1:7" hidden="1">
      <c r="A36" s="1327">
        <v>3</v>
      </c>
      <c r="B36" s="1324" t="s">
        <v>1128</v>
      </c>
      <c r="C36" s="1324"/>
      <c r="D36" s="1324"/>
      <c r="E36" s="3329"/>
      <c r="F36" s="3329"/>
      <c r="G36" s="3329"/>
    </row>
    <row r="37" spans="1:7" hidden="1">
      <c r="A37" s="1327">
        <v>4</v>
      </c>
      <c r="B37" s="1324" t="s">
        <v>1129</v>
      </c>
      <c r="C37" s="1324"/>
      <c r="D37" s="1324"/>
      <c r="E37" s="3329"/>
      <c r="F37" s="3329"/>
      <c r="G37" s="3329"/>
    </row>
    <row r="38" spans="1:7" hidden="1">
      <c r="A38" s="3330" t="s">
        <v>1130</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2985</v>
      </c>
      <c r="C1" s="3334" t="s">
        <v>2986</v>
      </c>
      <c r="D1" s="3335"/>
      <c r="E1" s="3335"/>
      <c r="F1" s="3335"/>
      <c r="G1" s="3335"/>
      <c r="H1" s="3335"/>
      <c r="I1" s="3335"/>
      <c r="J1" s="3335"/>
      <c r="K1" s="3335"/>
      <c r="L1" s="3335"/>
      <c r="M1" s="3335"/>
      <c r="N1" s="3335"/>
      <c r="O1" s="3335"/>
      <c r="P1" s="3335"/>
      <c r="Q1" s="3335"/>
      <c r="R1" s="3335"/>
      <c r="S1" s="3336"/>
      <c r="T1" s="1204" t="s">
        <v>2987</v>
      </c>
    </row>
    <row r="2" spans="1:45" s="707" customFormat="1" ht="15">
      <c r="A2" s="1205"/>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5"/>
      <c r="B5" s="1768" t="s">
        <v>2989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5"/>
      <c r="B7" s="1769" t="s">
        <v>2990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5"/>
      <c r="B9" s="1769" t="s">
        <v>2991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5"/>
      <c r="B11" s="1768" t="s">
        <v>2992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5"/>
      <c r="B13" s="1768" t="s">
        <v>2993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5"/>
      <c r="B15" s="1768" t="s">
        <v>2994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5" t="s">
        <v>2995</v>
      </c>
      <c r="B17" s="2906"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4"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4">
      <c r="A19" s="138"/>
      <c r="B19" s="168"/>
      <c r="C19" s="168"/>
      <c r="D19" s="2907" t="s">
        <v>2997</v>
      </c>
      <c r="E19" s="1791"/>
      <c r="F19" s="1791"/>
      <c r="G19" s="1791"/>
      <c r="H19" s="1279"/>
      <c r="I19" s="168"/>
      <c r="J19" s="168"/>
      <c r="K19" s="168"/>
      <c r="L19" s="168"/>
      <c r="M19" s="168"/>
      <c r="N19" s="168"/>
      <c r="O19" s="168"/>
      <c r="P19" s="168"/>
      <c r="Q19" s="168"/>
      <c r="R19" s="788"/>
      <c r="S19" s="138"/>
    </row>
    <row r="20" spans="1:45" ht="17" thickBot="1">
      <c r="A20" s="715" t="s">
        <v>2998</v>
      </c>
      <c r="B20" s="338" t="e">
        <f ca="1">IF(D20="——",S22,S22-F20)</f>
        <v>#REF!</v>
      </c>
      <c r="C20" s="168"/>
      <c r="D20" s="2908" t="s">
        <v>2999</v>
      </c>
      <c r="E20" s="1792"/>
      <c r="F20" s="1204" t="e">
        <f ca="1">SUMIF(INDIRECT("'"&amp;H20&amp;"'"&amp;"!A:A"),"承租人权益价值",INDIRECT("'"&amp;H20&amp;"'"&amp;"!c:c"))</f>
        <v>#REF!</v>
      </c>
      <c r="G20" s="1204" t="s">
        <v>3000</v>
      </c>
      <c r="H20" s="2909"/>
      <c r="I20" s="168"/>
      <c r="J20" s="168"/>
      <c r="K20" s="168"/>
      <c r="L20" s="168"/>
      <c r="M20" s="168"/>
      <c r="N20" s="168"/>
      <c r="O20" s="168"/>
      <c r="P20" s="168"/>
      <c r="Q20" s="168"/>
      <c r="R20" s="788"/>
      <c r="S20" s="138"/>
    </row>
    <row r="21" spans="1:45" ht="16">
      <c r="A21" s="715" t="s">
        <v>3001</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3002</v>
      </c>
      <c r="B22" s="24">
        <f>SUM(B24:B10000)</f>
        <v>100</v>
      </c>
      <c r="C22" s="3113" t="s">
        <v>33</v>
      </c>
      <c r="D22" s="3114"/>
      <c r="E22" s="3114"/>
      <c r="F22" s="3114"/>
      <c r="G22" s="3114"/>
      <c r="H22" s="3114"/>
      <c r="I22" s="3114"/>
      <c r="J22" s="3114"/>
      <c r="K22" s="3114"/>
      <c r="L22" s="3114"/>
      <c r="M22" s="3114"/>
      <c r="N22" s="3114"/>
      <c r="O22" s="3114"/>
      <c r="P22" s="3114"/>
      <c r="Q22" s="3333"/>
      <c r="R22" s="716">
        <f>ROUND(S22*10000/B22,0)</f>
        <v>10000</v>
      </c>
      <c r="S22" s="24">
        <f>SUM(S24:S10000)</f>
        <v>100</v>
      </c>
    </row>
    <row r="23" spans="1:45" s="12" customFormat="1" ht="30">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32985</v>
      </c>
      <c r="C2" s="2" t="s">
        <v>133</v>
      </c>
      <c r="D2" s="243"/>
      <c r="E2" s="243"/>
      <c r="F2" s="243"/>
      <c r="G2" s="243"/>
    </row>
    <row r="3" spans="1:7" s="244" customFormat="1" ht="18" customHeight="1" thickBot="1">
      <c r="A3" s="247" t="s">
        <v>85</v>
      </c>
      <c r="B3" s="248">
        <f ca="1">ROUND(B2*10000/'数据-汇总表'!E3,0)</f>
        <v>21726</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4">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304</v>
      </c>
      <c r="D10" s="1032">
        <f>'数据-汇总表'!E6</f>
        <v>15182.239999999998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304</v>
      </c>
      <c r="D19" s="1036">
        <f>'数据-汇总表'!E3</f>
        <v>15182.239999999998</v>
      </c>
      <c r="E19" s="255">
        <f>'数据-取费表'!B31</f>
        <v>200</v>
      </c>
      <c r="F19" s="275"/>
      <c r="G19" s="1" t="s">
        <v>1070</v>
      </c>
    </row>
    <row r="20" spans="1:7" s="258" customFormat="1" ht="13.5" customHeight="1">
      <c r="A20" s="948" t="s">
        <v>1053</v>
      </c>
      <c r="B20" s="254" t="s">
        <v>104</v>
      </c>
      <c r="C20" s="276">
        <f>ROUND((C5+C19)*F20,0)</f>
        <v>627</v>
      </c>
      <c r="D20" s="276"/>
      <c r="E20" s="276"/>
      <c r="F20" s="277">
        <f>'数据-取费表'!B37</f>
        <v>0.03</v>
      </c>
      <c r="G20" s="1288"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1530</v>
      </c>
      <c r="D22" s="279">
        <f ca="1">C26</f>
        <v>1.1000000000000001E-3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1486</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22</v>
      </c>
      <c r="D24" s="282"/>
      <c r="E24" s="282"/>
      <c r="F24" s="283"/>
      <c r="G24" s="284" t="s">
        <v>109</v>
      </c>
    </row>
    <row r="25" spans="1:7" s="258" customFormat="1" ht="28">
      <c r="A25" s="951" t="s">
        <v>793</v>
      </c>
      <c r="B25" s="259" t="s">
        <v>1054</v>
      </c>
      <c r="C25" s="1354">
        <f ca="1">ROUND(IF('数据-取费表'!B22&lt;=1,C20*F22*'数据-取费表'!B23/2,C20*(POWER((1+F22),'数据-取费表'!B23/2)-1)),0)</f>
        <v>22</v>
      </c>
      <c r="D25" s="282"/>
      <c r="E25" s="285"/>
      <c r="F25" s="283"/>
      <c r="G25" s="286" t="s">
        <v>110</v>
      </c>
    </row>
    <row r="26" spans="1:7" s="258" customFormat="1" ht="14">
      <c r="A26" s="951" t="s">
        <v>795</v>
      </c>
      <c r="B26" s="259" t="s">
        <v>1056</v>
      </c>
      <c r="C26" s="282">
        <f ca="1">ROUND(IF('数据-取费表'!B22&lt;=1,F21*F22*'数据-取费表'!B23/2,F21*(POWER((1+F22),'数据-取费表'!B23/2)-1)),4)</f>
        <v>1.1000000000000001E-3</v>
      </c>
      <c r="D26" s="282"/>
      <c r="E26" s="285"/>
      <c r="F26" s="283"/>
      <c r="G26" s="287"/>
    </row>
    <row r="27" spans="1:7" s="258" customFormat="1" ht="28">
      <c r="A27" s="948" t="s">
        <v>787</v>
      </c>
      <c r="B27" s="288" t="s">
        <v>112</v>
      </c>
      <c r="C27" s="289">
        <f>C28</f>
        <v>1939</v>
      </c>
      <c r="D27" s="279">
        <f>C29</f>
        <v>2.7000000000000001E-3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1939</v>
      </c>
      <c r="D28" s="279"/>
      <c r="E28" s="280"/>
      <c r="F28" s="290"/>
      <c r="G28" s="291"/>
    </row>
    <row r="29" spans="1:7" s="258" customFormat="1" ht="13.5" customHeight="1">
      <c r="A29" s="951" t="s">
        <v>792</v>
      </c>
      <c r="B29" s="292" t="s">
        <v>1059</v>
      </c>
      <c r="C29" s="282">
        <f>ROUND(C21*F27*'数据-取费表'!B21/'数据-取费表'!B20,4)</f>
        <v>2.7000000000000001E-3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27369</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4195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3796</v>
      </c>
      <c r="D34" s="261"/>
      <c r="E34" s="264"/>
      <c r="F34" s="301">
        <f>IF('数据-取费表'!B24=0,1,'数据-取费表'!N16)</f>
        <v>0.5</v>
      </c>
      <c r="G34" s="263" t="s">
        <v>116</v>
      </c>
    </row>
    <row r="35" spans="1:7" ht="13.5" customHeight="1">
      <c r="A35" s="951" t="s">
        <v>796</v>
      </c>
      <c r="B35" s="259" t="s">
        <v>60</v>
      </c>
      <c r="C35" s="264">
        <f>ROUND(C34*F35,0)</f>
        <v>190</v>
      </c>
      <c r="D35" s="264"/>
      <c r="E35" s="264"/>
      <c r="F35" s="303">
        <f>'数据-取费表'!B33</f>
        <v>0.05</v>
      </c>
      <c r="G35" s="263" t="s">
        <v>117</v>
      </c>
    </row>
    <row r="36" spans="1:7" ht="28">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152</v>
      </c>
      <c r="D37" s="261">
        <f>'数据-汇总表'!E3</f>
        <v>15182.239999999998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126</v>
      </c>
      <c r="D39" s="276"/>
      <c r="E39" s="276"/>
      <c r="F39" s="277"/>
      <c r="G39" s="1288"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153</v>
      </c>
      <c r="D41" s="279">
        <f ca="1">C44</f>
        <v>1.1000000000000001E-3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198" t="s">
        <v>121</v>
      </c>
    </row>
    <row r="43" spans="1:7" ht="13.5" customHeight="1">
      <c r="A43" s="951" t="s">
        <v>792</v>
      </c>
      <c r="B43" s="259" t="s">
        <v>1060</v>
      </c>
      <c r="C43" s="282">
        <f ca="1">ROUND(IF('数据-取费表'!B22&lt;=1,C39*F22*'数据-取费表'!B21/2,C39*(POWER((1+F22),'数据-取费表'!B21/2)-1)),0)</f>
        <v>4</v>
      </c>
      <c r="D43" s="282"/>
      <c r="E43" s="282"/>
      <c r="F43" s="283"/>
      <c r="G43" s="3199"/>
    </row>
    <row r="44" spans="1:7" ht="13.5" customHeight="1">
      <c r="A44" s="951" t="s">
        <v>793</v>
      </c>
      <c r="B44" s="259" t="s">
        <v>1062</v>
      </c>
      <c r="C44" s="282">
        <f ca="1">ROUND(IF('数据-取费表'!B22&lt;=1,C40*F22*'数据-取费表'!B21/2,C40*(POWER((1+F22),'数据-取费表'!B21/2)-1)),4)</f>
        <v>1.1000000000000001E-3</v>
      </c>
      <c r="D44" s="282"/>
      <c r="E44" s="282"/>
      <c r="F44" s="283"/>
      <c r="G44" s="3200"/>
    </row>
    <row r="45" spans="1:7" s="258" customFormat="1" ht="13.5" customHeight="1">
      <c r="A45" s="948" t="s">
        <v>786</v>
      </c>
      <c r="B45" s="288" t="s">
        <v>112</v>
      </c>
      <c r="C45" s="289">
        <f>C46</f>
        <v>648</v>
      </c>
      <c r="D45" s="279">
        <f>C47</f>
        <v>4.4999999999999997E-3</v>
      </c>
      <c r="E45" s="280" t="s">
        <v>129</v>
      </c>
      <c r="F45" s="290"/>
      <c r="G45" s="291" t="s">
        <v>1068</v>
      </c>
    </row>
    <row r="46" spans="1:7" s="258" customFormat="1" ht="13.5" customHeight="1">
      <c r="A46" s="951" t="s">
        <v>794</v>
      </c>
      <c r="B46" s="292" t="s">
        <v>1061</v>
      </c>
      <c r="C46" s="293">
        <f>ROUND((C33+C39)*F27,0)</f>
        <v>648</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5616</v>
      </c>
      <c r="D49" s="276"/>
      <c r="E49" s="276"/>
      <c r="F49" s="308"/>
      <c r="G49" s="278" t="s">
        <v>1069</v>
      </c>
    </row>
    <row r="50" spans="1:7" s="302" customFormat="1" ht="28">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5616</v>
      </c>
      <c r="D51" s="276"/>
      <c r="E51" s="276"/>
      <c r="F51" s="308"/>
      <c r="G51" s="278" t="s">
        <v>64</v>
      </c>
    </row>
    <row r="52" spans="1:7" s="252" customFormat="1" ht="17" thickBot="1">
      <c r="A52" s="309" t="s">
        <v>65</v>
      </c>
      <c r="B52" s="310"/>
      <c r="C52" s="311">
        <f ca="1">C31+C51</f>
        <v>32985</v>
      </c>
      <c r="D52" s="310"/>
      <c r="E52" s="310"/>
      <c r="F52" s="310"/>
      <c r="G52" s="312"/>
    </row>
    <row r="55" spans="1:7" ht="16">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baseColWidth="10" defaultColWidth="9" defaultRowHeight="14"/>
  <cols>
    <col min="1" max="1" width="12.6640625" style="855" customWidth="1"/>
    <col min="2" max="5" width="10.164062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6"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baseColWidth="10" defaultColWidth="8.83203125" defaultRowHeight="14"/>
  <cols>
    <col min="1" max="1" width="12.6640625" style="855" customWidth="1"/>
    <col min="2" max="2" width="10.1640625" style="813" customWidth="1"/>
  </cols>
  <sheetData>
    <row r="1" spans="1:6">
      <c r="A1" s="3337" t="s">
        <v>867</v>
      </c>
      <c r="B1" s="3337"/>
    </row>
    <row r="2" spans="1:6" ht="15" thickBot="1">
      <c r="A2" s="1057"/>
      <c r="B2" s="1057"/>
    </row>
    <row r="3" spans="1:6" ht="15" thickBot="1">
      <c r="A3" s="1057"/>
      <c r="B3" s="1057"/>
      <c r="C3" s="1061" t="s">
        <v>870</v>
      </c>
      <c r="D3" s="1061" t="s">
        <v>871</v>
      </c>
      <c r="E3" s="1061" t="s">
        <v>872</v>
      </c>
      <c r="F3" s="1061" t="s">
        <v>873</v>
      </c>
    </row>
    <row r="4" spans="1:6" ht="16" thickBot="1">
      <c r="A4" s="1059" t="s">
        <v>868</v>
      </c>
      <c r="B4" s="1060" t="s">
        <v>869</v>
      </c>
      <c r="C4" s="1061"/>
      <c r="D4" s="1061"/>
      <c r="E4" s="1061"/>
      <c r="F4" s="1061"/>
    </row>
    <row r="5" spans="1:6" ht="16" thickBot="1">
      <c r="A5" s="840" t="s">
        <v>874</v>
      </c>
      <c r="B5" s="841" t="s">
        <v>875</v>
      </c>
      <c r="C5" s="1062">
        <v>8.8999999999999996E-2</v>
      </c>
      <c r="D5" s="1062">
        <v>7.3999999999999996E-2</v>
      </c>
      <c r="E5" s="1062">
        <v>7.4999999999999997E-2</v>
      </c>
      <c r="F5" s="1063">
        <v>0.1</v>
      </c>
    </row>
    <row r="6" spans="1:6" ht="16" thickBot="1">
      <c r="A6" s="840" t="s">
        <v>212</v>
      </c>
      <c r="B6" s="834" t="s">
        <v>876</v>
      </c>
      <c r="C6" s="1064">
        <v>0.1</v>
      </c>
      <c r="D6" s="1064">
        <v>9.0999999999999998E-2</v>
      </c>
      <c r="E6" s="1064">
        <v>9.0999999999999998E-2</v>
      </c>
      <c r="F6" s="1065">
        <v>0.1</v>
      </c>
    </row>
    <row r="7" spans="1:6" ht="16" thickBot="1">
      <c r="A7" s="840" t="s">
        <v>212</v>
      </c>
      <c r="B7" s="844" t="s">
        <v>201</v>
      </c>
      <c r="C7" s="1064">
        <v>8.5999999999999993E-2</v>
      </c>
      <c r="D7" s="1064">
        <v>9.6000000000000002E-2</v>
      </c>
      <c r="E7" s="1064">
        <v>7.5999999999999998E-2</v>
      </c>
      <c r="F7" s="1065">
        <v>0.1</v>
      </c>
    </row>
    <row r="8" spans="1:6" ht="16" thickBot="1">
      <c r="A8" s="840" t="s">
        <v>212</v>
      </c>
      <c r="B8" s="834" t="s">
        <v>213</v>
      </c>
      <c r="C8" s="1064">
        <v>9.9000000000000005E-2</v>
      </c>
      <c r="D8" s="1064">
        <v>9.8000000000000004E-2</v>
      </c>
      <c r="E8" s="1064">
        <v>9.8000000000000004E-2</v>
      </c>
      <c r="F8" s="1065">
        <v>0.1</v>
      </c>
    </row>
    <row r="9" spans="1:6" ht="16" thickBot="1">
      <c r="A9" s="850" t="s">
        <v>212</v>
      </c>
      <c r="B9" s="845" t="s">
        <v>225</v>
      </c>
      <c r="C9" s="1066">
        <v>0.05</v>
      </c>
      <c r="D9" s="1074"/>
      <c r="E9" s="1074"/>
      <c r="F9" s="1075"/>
    </row>
    <row r="10" spans="1:6" ht="16" thickBot="1">
      <c r="A10" s="840" t="s">
        <v>269</v>
      </c>
      <c r="B10" s="841" t="s">
        <v>877</v>
      </c>
      <c r="C10" s="1062">
        <v>8.8999999999999996E-2</v>
      </c>
      <c r="D10" s="1062">
        <v>7.2999999999999995E-2</v>
      </c>
      <c r="E10" s="1062">
        <v>8.2000000000000003E-2</v>
      </c>
      <c r="F10" s="1063">
        <v>0.1</v>
      </c>
    </row>
    <row r="11" spans="1:6" ht="16" thickBot="1">
      <c r="A11" s="840" t="s">
        <v>269</v>
      </c>
      <c r="B11" s="844" t="s">
        <v>188</v>
      </c>
      <c r="C11" s="1064">
        <v>8.8999999999999996E-2</v>
      </c>
      <c r="D11" s="1064">
        <v>7.2999999999999995E-2</v>
      </c>
      <c r="E11" s="1064">
        <v>8.2000000000000003E-2</v>
      </c>
      <c r="F11" s="1065">
        <v>0.1</v>
      </c>
    </row>
    <row r="12" spans="1:6" ht="16" thickBot="1">
      <c r="A12" s="840" t="s">
        <v>269</v>
      </c>
      <c r="B12" s="844" t="s">
        <v>138</v>
      </c>
      <c r="C12" s="1064">
        <v>6.0999999999999999E-2</v>
      </c>
      <c r="D12" s="1064">
        <v>7.0999999999999994E-2</v>
      </c>
      <c r="E12" s="1064">
        <v>9.6000000000000002E-2</v>
      </c>
      <c r="F12" s="1065">
        <v>0.1</v>
      </c>
    </row>
    <row r="13" spans="1:6" ht="16" thickBot="1">
      <c r="A13" s="840" t="s">
        <v>269</v>
      </c>
      <c r="B13" s="844" t="s">
        <v>214</v>
      </c>
      <c r="C13" s="1064">
        <v>6.9000000000000006E-2</v>
      </c>
      <c r="D13" s="1064">
        <v>6.5000000000000002E-2</v>
      </c>
      <c r="E13" s="1064">
        <v>6.6000000000000003E-2</v>
      </c>
      <c r="F13" s="1065">
        <v>0.1</v>
      </c>
    </row>
    <row r="14" spans="1:6" ht="16" thickBot="1">
      <c r="A14" s="840" t="s">
        <v>269</v>
      </c>
      <c r="B14" s="844" t="s">
        <v>226</v>
      </c>
      <c r="C14" s="1064">
        <v>0.1</v>
      </c>
      <c r="D14" s="1064">
        <v>6.5000000000000002E-2</v>
      </c>
      <c r="E14" s="1064">
        <v>7.0000000000000007E-2</v>
      </c>
      <c r="F14" s="1065">
        <v>0.1</v>
      </c>
    </row>
    <row r="15" spans="1:6" ht="16" thickBot="1">
      <c r="A15" s="840" t="s">
        <v>269</v>
      </c>
      <c r="B15" s="844" t="s">
        <v>237</v>
      </c>
      <c r="C15" s="1064">
        <v>9.8000000000000004E-2</v>
      </c>
      <c r="D15" s="1064">
        <v>8.8999999999999996E-2</v>
      </c>
      <c r="E15" s="1064">
        <v>8.8999999999999996E-2</v>
      </c>
      <c r="F15" s="1065">
        <v>0.1</v>
      </c>
    </row>
    <row r="16" spans="1:6" ht="16" thickBot="1">
      <c r="A16" s="840" t="s">
        <v>269</v>
      </c>
      <c r="B16" s="844" t="s">
        <v>248</v>
      </c>
      <c r="C16" s="1064">
        <v>7.0000000000000007E-2</v>
      </c>
      <c r="D16" s="1064">
        <v>9.2999999999999999E-2</v>
      </c>
      <c r="E16" s="1064">
        <v>9.6000000000000002E-2</v>
      </c>
      <c r="F16" s="1065">
        <v>0.1</v>
      </c>
    </row>
    <row r="17" spans="1:6" ht="16" thickBot="1">
      <c r="A17" s="840" t="s">
        <v>269</v>
      </c>
      <c r="B17" s="844" t="s">
        <v>259</v>
      </c>
      <c r="C17" s="1064">
        <v>9.5000000000000001E-2</v>
      </c>
      <c r="D17" s="1064">
        <v>0.1</v>
      </c>
      <c r="E17" s="1064">
        <v>0.1</v>
      </c>
      <c r="F17" s="1076"/>
    </row>
    <row r="18" spans="1:6" ht="16" thickBot="1">
      <c r="A18" s="840" t="s">
        <v>269</v>
      </c>
      <c r="B18" s="844" t="s">
        <v>271</v>
      </c>
      <c r="C18" s="1064">
        <v>7.3999999999999996E-2</v>
      </c>
      <c r="D18" s="1064">
        <v>9.9000000000000005E-2</v>
      </c>
      <c r="E18" s="1064">
        <v>0.1</v>
      </c>
      <c r="F18" s="1076"/>
    </row>
    <row r="19" spans="1:6" ht="16" thickBot="1">
      <c r="A19" s="840" t="s">
        <v>269</v>
      </c>
      <c r="B19" s="844" t="s">
        <v>281</v>
      </c>
      <c r="C19" s="1064">
        <v>9.9000000000000005E-2</v>
      </c>
      <c r="D19" s="1064">
        <v>7.5999999999999998E-2</v>
      </c>
      <c r="E19" s="1064">
        <v>8.6999999999999994E-2</v>
      </c>
      <c r="F19" s="1076"/>
    </row>
    <row r="20" spans="1:6" ht="16" thickBot="1">
      <c r="A20" s="840" t="s">
        <v>269</v>
      </c>
      <c r="B20" s="844" t="s">
        <v>291</v>
      </c>
      <c r="C20" s="1064">
        <v>9.8000000000000004E-2</v>
      </c>
      <c r="D20" s="1064">
        <v>8.5000000000000006E-2</v>
      </c>
      <c r="E20" s="1064">
        <v>8.2000000000000003E-2</v>
      </c>
      <c r="F20" s="1076"/>
    </row>
    <row r="21" spans="1:6" ht="16" thickBot="1">
      <c r="A21" s="840" t="s">
        <v>269</v>
      </c>
      <c r="B21" s="844" t="s">
        <v>301</v>
      </c>
      <c r="C21" s="1064">
        <v>6.6000000000000003E-2</v>
      </c>
      <c r="D21" s="1064">
        <v>6.4000000000000001E-2</v>
      </c>
      <c r="E21" s="1064">
        <v>6.5000000000000002E-2</v>
      </c>
      <c r="F21" s="1076"/>
    </row>
    <row r="22" spans="1:6" ht="16" thickBot="1">
      <c r="A22" s="840" t="s">
        <v>269</v>
      </c>
      <c r="B22" s="844" t="s">
        <v>878</v>
      </c>
      <c r="C22" s="1064">
        <v>0.08</v>
      </c>
      <c r="D22" s="1064">
        <v>9.8000000000000004E-2</v>
      </c>
      <c r="E22" s="1064">
        <v>9.8000000000000004E-2</v>
      </c>
      <c r="F22" s="1076"/>
    </row>
    <row r="23" spans="1:6" ht="16" thickBot="1">
      <c r="A23" s="840" t="s">
        <v>269</v>
      </c>
      <c r="B23" s="844" t="s">
        <v>322</v>
      </c>
      <c r="C23" s="1064">
        <v>9.9000000000000005E-2</v>
      </c>
      <c r="D23" s="1064">
        <v>9.8000000000000004E-2</v>
      </c>
      <c r="E23" s="1064">
        <v>9.0999999999999998E-2</v>
      </c>
      <c r="F23" s="1076"/>
    </row>
    <row r="24" spans="1:6" ht="16" thickBot="1">
      <c r="A24" s="840" t="s">
        <v>269</v>
      </c>
      <c r="B24" s="844" t="s">
        <v>333</v>
      </c>
      <c r="C24" s="1064">
        <v>8.8999999999999996E-2</v>
      </c>
      <c r="D24" s="1064">
        <v>9.7000000000000003E-2</v>
      </c>
      <c r="E24" s="1064">
        <v>7.0000000000000007E-2</v>
      </c>
      <c r="F24" s="1076"/>
    </row>
    <row r="25" spans="1:6" ht="16" thickBot="1">
      <c r="A25" s="840" t="s">
        <v>269</v>
      </c>
      <c r="B25" s="844" t="s">
        <v>343</v>
      </c>
      <c r="C25" s="1064">
        <v>8.8999999999999996E-2</v>
      </c>
      <c r="D25" s="1064">
        <v>0.1</v>
      </c>
      <c r="E25" s="1064">
        <v>8.1000000000000003E-2</v>
      </c>
      <c r="F25" s="1076"/>
    </row>
    <row r="26" spans="1:6" ht="16" thickBot="1">
      <c r="A26" s="840" t="s">
        <v>269</v>
      </c>
      <c r="B26" s="844" t="s">
        <v>353</v>
      </c>
      <c r="C26" s="1077"/>
      <c r="D26" s="1064">
        <v>9.6000000000000002E-2</v>
      </c>
      <c r="E26" s="1064">
        <v>9.2999999999999999E-2</v>
      </c>
      <c r="F26" s="1076"/>
    </row>
    <row r="27" spans="1:6" ht="16" thickBot="1">
      <c r="A27" s="840" t="s">
        <v>269</v>
      </c>
      <c r="B27" s="844" t="s">
        <v>363</v>
      </c>
      <c r="C27" s="1077"/>
      <c r="D27" s="1064">
        <v>7.5999999999999998E-2</v>
      </c>
      <c r="E27" s="1064">
        <v>9.1999999999999998E-2</v>
      </c>
      <c r="F27" s="1076"/>
    </row>
    <row r="28" spans="1:6" ht="16" thickBot="1">
      <c r="A28" s="850" t="s">
        <v>269</v>
      </c>
      <c r="B28" s="845" t="s">
        <v>373</v>
      </c>
      <c r="C28" s="1074"/>
      <c r="D28" s="1066">
        <v>7.5999999999999998E-2</v>
      </c>
      <c r="E28" s="1066">
        <v>9.1999999999999998E-2</v>
      </c>
      <c r="F28" s="1075"/>
    </row>
    <row r="29" spans="1:6" ht="16" thickBot="1">
      <c r="A29" s="840" t="s">
        <v>442</v>
      </c>
      <c r="B29" s="841" t="s">
        <v>879</v>
      </c>
      <c r="C29" s="1062">
        <v>6.4000000000000001E-2</v>
      </c>
      <c r="D29" s="1062">
        <v>6.5000000000000002E-2</v>
      </c>
      <c r="E29" s="1062">
        <v>6.9000000000000006E-2</v>
      </c>
      <c r="F29" s="1063">
        <v>0.1</v>
      </c>
    </row>
    <row r="30" spans="1:6" ht="16" thickBot="1">
      <c r="A30" s="840" t="s">
        <v>442</v>
      </c>
      <c r="B30" s="844" t="s">
        <v>189</v>
      </c>
      <c r="C30" s="1064">
        <v>6.4000000000000001E-2</v>
      </c>
      <c r="D30" s="1064">
        <v>9.9000000000000005E-2</v>
      </c>
      <c r="E30" s="1064">
        <v>0.1</v>
      </c>
      <c r="F30" s="1065">
        <v>0.1</v>
      </c>
    </row>
    <row r="31" spans="1:6" ht="16" thickBot="1">
      <c r="A31" s="840" t="s">
        <v>442</v>
      </c>
      <c r="B31" s="844" t="s">
        <v>202</v>
      </c>
      <c r="C31" s="1064">
        <v>0.1</v>
      </c>
      <c r="D31" s="1064">
        <v>9.5000000000000001E-2</v>
      </c>
      <c r="E31" s="1064">
        <v>8.8999999999999996E-2</v>
      </c>
      <c r="F31" s="1065">
        <v>0.1</v>
      </c>
    </row>
    <row r="32" spans="1:6" ht="16" thickBot="1">
      <c r="A32" s="840" t="s">
        <v>442</v>
      </c>
      <c r="B32" s="844" t="s">
        <v>215</v>
      </c>
      <c r="C32" s="1064">
        <v>0.05</v>
      </c>
      <c r="D32" s="1064">
        <v>0.05</v>
      </c>
      <c r="E32" s="1064">
        <v>8.7999999999999995E-2</v>
      </c>
      <c r="F32" s="1065">
        <v>0.1</v>
      </c>
    </row>
    <row r="33" spans="1:6" ht="16" thickBot="1">
      <c r="A33" s="840" t="s">
        <v>442</v>
      </c>
      <c r="B33" s="844" t="s">
        <v>227</v>
      </c>
      <c r="C33" s="1064">
        <v>7.4999999999999997E-2</v>
      </c>
      <c r="D33" s="1064">
        <v>9.4E-2</v>
      </c>
      <c r="E33" s="1064">
        <v>9.7000000000000003E-2</v>
      </c>
      <c r="F33" s="1065">
        <v>0.1</v>
      </c>
    </row>
    <row r="34" spans="1:6" ht="16" thickBot="1">
      <c r="A34" s="840" t="s">
        <v>442</v>
      </c>
      <c r="B34" s="844" t="s">
        <v>238</v>
      </c>
      <c r="C34" s="1064">
        <v>9.8000000000000004E-2</v>
      </c>
      <c r="D34" s="1064">
        <v>8.5999999999999993E-2</v>
      </c>
      <c r="E34" s="1064">
        <v>9.7000000000000003E-2</v>
      </c>
      <c r="F34" s="1065">
        <v>0.1</v>
      </c>
    </row>
    <row r="35" spans="1:6" ht="16" thickBot="1">
      <c r="A35" s="840" t="s">
        <v>442</v>
      </c>
      <c r="B35" s="844" t="s">
        <v>249</v>
      </c>
      <c r="C35" s="1064">
        <v>5.8999999999999997E-2</v>
      </c>
      <c r="D35" s="1064">
        <v>6.5000000000000002E-2</v>
      </c>
      <c r="E35" s="1064">
        <v>7.0000000000000007E-2</v>
      </c>
      <c r="F35" s="1065">
        <v>0.1</v>
      </c>
    </row>
    <row r="36" spans="1:6" ht="16" thickBot="1">
      <c r="A36" s="840" t="s">
        <v>442</v>
      </c>
      <c r="B36" s="844" t="s">
        <v>260</v>
      </c>
      <c r="C36" s="1064">
        <v>6.3E-2</v>
      </c>
      <c r="D36" s="1064">
        <v>0.1</v>
      </c>
      <c r="E36" s="1064">
        <v>0.1</v>
      </c>
      <c r="F36" s="1065">
        <v>0.1</v>
      </c>
    </row>
    <row r="37" spans="1:6" ht="16" thickBot="1">
      <c r="A37" s="840" t="s">
        <v>442</v>
      </c>
      <c r="B37" s="844" t="s">
        <v>272</v>
      </c>
      <c r="C37" s="1064">
        <v>7.3999999999999996E-2</v>
      </c>
      <c r="D37" s="1064">
        <v>0.1</v>
      </c>
      <c r="E37" s="1064">
        <v>0.1</v>
      </c>
      <c r="F37" s="1065">
        <v>0.1</v>
      </c>
    </row>
    <row r="38" spans="1:6" ht="16" thickBot="1">
      <c r="A38" s="840" t="s">
        <v>442</v>
      </c>
      <c r="B38" s="844" t="s">
        <v>282</v>
      </c>
      <c r="C38" s="1064">
        <v>0.1</v>
      </c>
      <c r="D38" s="1064">
        <v>9.6000000000000002E-2</v>
      </c>
      <c r="E38" s="1064">
        <v>9.6000000000000002E-2</v>
      </c>
      <c r="F38" s="1076"/>
    </row>
    <row r="39" spans="1:6" ht="16" thickBot="1">
      <c r="A39" s="840" t="s">
        <v>442</v>
      </c>
      <c r="B39" s="844" t="s">
        <v>292</v>
      </c>
      <c r="C39" s="1064">
        <v>0.1</v>
      </c>
      <c r="D39" s="1064">
        <v>9.6000000000000002E-2</v>
      </c>
      <c r="E39" s="1064">
        <v>9.6000000000000002E-2</v>
      </c>
      <c r="F39" s="1076"/>
    </row>
    <row r="40" spans="1:6" ht="16" thickBot="1">
      <c r="A40" s="840" t="s">
        <v>442</v>
      </c>
      <c r="B40" s="844" t="s">
        <v>302</v>
      </c>
      <c r="C40" s="1064">
        <v>9.6000000000000002E-2</v>
      </c>
      <c r="D40" s="1064">
        <v>0.1</v>
      </c>
      <c r="E40" s="1064">
        <v>9.9000000000000005E-2</v>
      </c>
      <c r="F40" s="1076"/>
    </row>
    <row r="41" spans="1:6" ht="16" thickBot="1">
      <c r="A41" s="840" t="s">
        <v>442</v>
      </c>
      <c r="B41" s="844" t="s">
        <v>312</v>
      </c>
      <c r="C41" s="1064">
        <v>9.6000000000000002E-2</v>
      </c>
      <c r="D41" s="1064">
        <v>9.8000000000000004E-2</v>
      </c>
      <c r="E41" s="1064">
        <v>9.8000000000000004E-2</v>
      </c>
      <c r="F41" s="1076"/>
    </row>
    <row r="42" spans="1:6" ht="16" thickBot="1">
      <c r="A42" s="840" t="s">
        <v>442</v>
      </c>
      <c r="B42" s="844" t="s">
        <v>323</v>
      </c>
      <c r="C42" s="1064">
        <v>0.1</v>
      </c>
      <c r="D42" s="1064">
        <v>8.7999999999999995E-2</v>
      </c>
      <c r="E42" s="1064">
        <v>0.1</v>
      </c>
      <c r="F42" s="1076"/>
    </row>
    <row r="43" spans="1:6" ht="16" thickBot="1">
      <c r="A43" s="840" t="s">
        <v>442</v>
      </c>
      <c r="B43" s="844" t="s">
        <v>334</v>
      </c>
      <c r="C43" s="1064">
        <v>9.8000000000000004E-2</v>
      </c>
      <c r="D43" s="1064">
        <v>9.7000000000000003E-2</v>
      </c>
      <c r="E43" s="1064">
        <v>9.6000000000000002E-2</v>
      </c>
      <c r="F43" s="1076"/>
    </row>
    <row r="44" spans="1:6" ht="16" thickBot="1">
      <c r="A44" s="840" t="s">
        <v>442</v>
      </c>
      <c r="B44" s="844" t="s">
        <v>344</v>
      </c>
      <c r="C44" s="1064">
        <v>8.5999999999999993E-2</v>
      </c>
      <c r="D44" s="1064">
        <v>7.9000000000000001E-2</v>
      </c>
      <c r="E44" s="1064">
        <v>7.0999999999999994E-2</v>
      </c>
      <c r="F44" s="1076"/>
    </row>
    <row r="45" spans="1:6" ht="16" thickBot="1">
      <c r="A45" s="840" t="s">
        <v>442</v>
      </c>
      <c r="B45" s="844" t="s">
        <v>354</v>
      </c>
      <c r="C45" s="1064">
        <v>9.8000000000000004E-2</v>
      </c>
      <c r="D45" s="1064">
        <v>9.6000000000000002E-2</v>
      </c>
      <c r="E45" s="1064">
        <v>9.6000000000000002E-2</v>
      </c>
      <c r="F45" s="1076"/>
    </row>
    <row r="46" spans="1:6" ht="16" thickBot="1">
      <c r="A46" s="840" t="s">
        <v>442</v>
      </c>
      <c r="B46" s="844" t="s">
        <v>364</v>
      </c>
      <c r="C46" s="1064">
        <v>8.5999999999999993E-2</v>
      </c>
      <c r="D46" s="1064">
        <v>9.8000000000000004E-2</v>
      </c>
      <c r="E46" s="1064">
        <v>8.7999999999999995E-2</v>
      </c>
      <c r="F46" s="1076"/>
    </row>
    <row r="47" spans="1:6" ht="16" thickBot="1">
      <c r="A47" s="840" t="s">
        <v>442</v>
      </c>
      <c r="B47" s="844" t="s">
        <v>374</v>
      </c>
      <c r="C47" s="1064">
        <v>9.6000000000000002E-2</v>
      </c>
      <c r="D47" s="1077"/>
      <c r="E47" s="1064">
        <v>6.9000000000000006E-2</v>
      </c>
      <c r="F47" s="1076"/>
    </row>
    <row r="48" spans="1:6" ht="16" thickBot="1">
      <c r="A48" s="850" t="s">
        <v>442</v>
      </c>
      <c r="B48" s="845" t="s">
        <v>383</v>
      </c>
      <c r="C48" s="1066">
        <v>9.8000000000000004E-2</v>
      </c>
      <c r="D48" s="1074"/>
      <c r="E48" s="1066">
        <v>9.5000000000000001E-2</v>
      </c>
      <c r="F48" s="1075"/>
    </row>
    <row r="49" spans="1:6" ht="16" thickBot="1">
      <c r="A49" s="840" t="s">
        <v>137</v>
      </c>
      <c r="B49" s="841" t="s">
        <v>880</v>
      </c>
      <c r="C49" s="1062">
        <v>9.7000000000000003E-2</v>
      </c>
      <c r="D49" s="1062">
        <v>9.5000000000000001E-2</v>
      </c>
      <c r="E49" s="1062">
        <v>9.7000000000000003E-2</v>
      </c>
      <c r="F49" s="1063">
        <v>0.1</v>
      </c>
    </row>
    <row r="50" spans="1:6" ht="16" thickBot="1">
      <c r="A50" s="840" t="s">
        <v>137</v>
      </c>
      <c r="B50" s="834" t="s">
        <v>190</v>
      </c>
      <c r="C50" s="1064">
        <v>7.4999999999999997E-2</v>
      </c>
      <c r="D50" s="1064">
        <v>9.5000000000000001E-2</v>
      </c>
      <c r="E50" s="1064">
        <v>0.1</v>
      </c>
      <c r="F50" s="1065">
        <v>0.1</v>
      </c>
    </row>
    <row r="51" spans="1:6" ht="16" thickBot="1">
      <c r="A51" s="840" t="s">
        <v>137</v>
      </c>
      <c r="B51" s="834" t="s">
        <v>203</v>
      </c>
      <c r="C51" s="1064">
        <v>9.8000000000000004E-2</v>
      </c>
      <c r="D51" s="1064">
        <v>8.8999999999999996E-2</v>
      </c>
      <c r="E51" s="1064">
        <v>0.1</v>
      </c>
      <c r="F51" s="1065">
        <v>0.1</v>
      </c>
    </row>
    <row r="52" spans="1:6" ht="16" thickBot="1">
      <c r="A52" s="840" t="s">
        <v>137</v>
      </c>
      <c r="B52" s="834" t="s">
        <v>216</v>
      </c>
      <c r="C52" s="1064">
        <v>9.8000000000000004E-2</v>
      </c>
      <c r="D52" s="1064">
        <v>9.7000000000000003E-2</v>
      </c>
      <c r="E52" s="1064">
        <v>8.1000000000000003E-2</v>
      </c>
      <c r="F52" s="1065">
        <v>0.1</v>
      </c>
    </row>
    <row r="53" spans="1:6" ht="16" thickBot="1">
      <c r="A53" s="840" t="s">
        <v>137</v>
      </c>
      <c r="B53" s="834" t="s">
        <v>228</v>
      </c>
      <c r="C53" s="1064">
        <v>9.7000000000000003E-2</v>
      </c>
      <c r="D53" s="1064">
        <v>7.5999999999999998E-2</v>
      </c>
      <c r="E53" s="1064">
        <v>7.0999999999999994E-2</v>
      </c>
      <c r="F53" s="1065">
        <v>0.1</v>
      </c>
    </row>
    <row r="54" spans="1:6" ht="16" thickBot="1">
      <c r="A54" s="840" t="s">
        <v>137</v>
      </c>
      <c r="B54" s="834" t="s">
        <v>239</v>
      </c>
      <c r="C54" s="1064">
        <v>7.5999999999999998E-2</v>
      </c>
      <c r="D54" s="1064">
        <v>0.1</v>
      </c>
      <c r="E54" s="1064">
        <v>9.9000000000000005E-2</v>
      </c>
      <c r="F54" s="1065">
        <v>0.1</v>
      </c>
    </row>
    <row r="55" spans="1:6" ht="16" thickBot="1">
      <c r="A55" s="840" t="s">
        <v>137</v>
      </c>
      <c r="B55" s="834" t="s">
        <v>250</v>
      </c>
      <c r="C55" s="1064">
        <v>0.1</v>
      </c>
      <c r="D55" s="1064">
        <v>0.1</v>
      </c>
      <c r="E55" s="1064">
        <v>9.6000000000000002E-2</v>
      </c>
      <c r="F55" s="1065">
        <v>0.1</v>
      </c>
    </row>
    <row r="56" spans="1:6" ht="16" thickBot="1">
      <c r="A56" s="840" t="s">
        <v>137</v>
      </c>
      <c r="B56" s="834" t="s">
        <v>261</v>
      </c>
      <c r="C56" s="1064">
        <v>0.1</v>
      </c>
      <c r="D56" s="1064">
        <v>9.6000000000000002E-2</v>
      </c>
      <c r="E56" s="1064">
        <v>5.1999999999999998E-2</v>
      </c>
      <c r="F56" s="1065">
        <v>0.1</v>
      </c>
    </row>
    <row r="57" spans="1:6" ht="16" thickBot="1">
      <c r="A57" s="840" t="s">
        <v>137</v>
      </c>
      <c r="B57" s="834" t="s">
        <v>273</v>
      </c>
      <c r="C57" s="1064">
        <v>9.7000000000000003E-2</v>
      </c>
      <c r="D57" s="1064">
        <v>9.6000000000000002E-2</v>
      </c>
      <c r="E57" s="1064">
        <v>9.6000000000000002E-2</v>
      </c>
      <c r="F57" s="1065">
        <v>0.1</v>
      </c>
    </row>
    <row r="58" spans="1:6" ht="16" thickBot="1">
      <c r="A58" s="840" t="s">
        <v>137</v>
      </c>
      <c r="B58" s="834" t="s">
        <v>283</v>
      </c>
      <c r="C58" s="1064">
        <v>9.6000000000000002E-2</v>
      </c>
      <c r="D58" s="1064">
        <v>9.9000000000000005E-2</v>
      </c>
      <c r="E58" s="1064">
        <v>9.6000000000000002E-2</v>
      </c>
      <c r="F58" s="1065">
        <v>0.1</v>
      </c>
    </row>
    <row r="59" spans="1:6" ht="16" thickBot="1">
      <c r="A59" s="840" t="s">
        <v>137</v>
      </c>
      <c r="B59" s="834" t="s">
        <v>293</v>
      </c>
      <c r="C59" s="1064">
        <v>7.1999999999999995E-2</v>
      </c>
      <c r="D59" s="1064">
        <v>9.6000000000000002E-2</v>
      </c>
      <c r="E59" s="1064">
        <v>7.0999999999999994E-2</v>
      </c>
      <c r="F59" s="1065">
        <v>0.1</v>
      </c>
    </row>
    <row r="60" spans="1:6" ht="16" thickBot="1">
      <c r="A60" s="840" t="s">
        <v>137</v>
      </c>
      <c r="B60" s="834" t="s">
        <v>303</v>
      </c>
      <c r="C60" s="1064">
        <v>9.6000000000000002E-2</v>
      </c>
      <c r="D60" s="1064">
        <v>8.8999999999999996E-2</v>
      </c>
      <c r="E60" s="1064">
        <v>9.6000000000000002E-2</v>
      </c>
      <c r="F60" s="1065">
        <v>0.1</v>
      </c>
    </row>
    <row r="61" spans="1:6" ht="16" thickBot="1">
      <c r="A61" s="840" t="s">
        <v>137</v>
      </c>
      <c r="B61" s="834" t="s">
        <v>313</v>
      </c>
      <c r="C61" s="1064">
        <v>8.8999999999999996E-2</v>
      </c>
      <c r="D61" s="1064">
        <v>9.8000000000000004E-2</v>
      </c>
      <c r="E61" s="1064">
        <v>8.7999999999999995E-2</v>
      </c>
      <c r="F61" s="1076"/>
    </row>
    <row r="62" spans="1:6" ht="16" thickBot="1">
      <c r="A62" s="840" t="s">
        <v>137</v>
      </c>
      <c r="B62" s="834" t="s">
        <v>324</v>
      </c>
      <c r="C62" s="1064">
        <v>9.8000000000000004E-2</v>
      </c>
      <c r="D62" s="1064">
        <v>9.2999999999999999E-2</v>
      </c>
      <c r="E62" s="1064">
        <v>9.7000000000000003E-2</v>
      </c>
      <c r="F62" s="1076"/>
    </row>
    <row r="63" spans="1:6" ht="16" thickBot="1">
      <c r="A63" s="840" t="s">
        <v>137</v>
      </c>
      <c r="B63" s="834" t="s">
        <v>335</v>
      </c>
      <c r="C63" s="1064">
        <v>9.6000000000000002E-2</v>
      </c>
      <c r="D63" s="1064">
        <v>9.8000000000000004E-2</v>
      </c>
      <c r="E63" s="1064">
        <v>0.09</v>
      </c>
      <c r="F63" s="1076"/>
    </row>
    <row r="64" spans="1:6" ht="16" thickBot="1">
      <c r="A64" s="840" t="s">
        <v>137</v>
      </c>
      <c r="B64" s="834" t="s">
        <v>345</v>
      </c>
      <c r="C64" s="1064">
        <v>9.9000000000000005E-2</v>
      </c>
      <c r="D64" s="1064">
        <v>9.7000000000000003E-2</v>
      </c>
      <c r="E64" s="1064">
        <v>9.9000000000000005E-2</v>
      </c>
      <c r="F64" s="1076"/>
    </row>
    <row r="65" spans="1:6" ht="16" thickBot="1">
      <c r="A65" s="840" t="s">
        <v>137</v>
      </c>
      <c r="B65" s="834" t="s">
        <v>355</v>
      </c>
      <c r="C65" s="1064">
        <v>9.8000000000000004E-2</v>
      </c>
      <c r="D65" s="1064">
        <v>9.6000000000000002E-2</v>
      </c>
      <c r="E65" s="1064">
        <v>9.6000000000000002E-2</v>
      </c>
      <c r="F65" s="1076"/>
    </row>
    <row r="66" spans="1:6" ht="16" thickBot="1">
      <c r="A66" s="840" t="s">
        <v>137</v>
      </c>
      <c r="B66" s="834" t="s">
        <v>365</v>
      </c>
      <c r="C66" s="1064">
        <v>9.6000000000000002E-2</v>
      </c>
      <c r="D66" s="1064">
        <v>9.1999999999999998E-2</v>
      </c>
      <c r="E66" s="1064">
        <v>9.6000000000000002E-2</v>
      </c>
      <c r="F66" s="1076"/>
    </row>
    <row r="67" spans="1:6" ht="16" thickBot="1">
      <c r="A67" s="840" t="s">
        <v>137</v>
      </c>
      <c r="B67" s="834" t="s">
        <v>375</v>
      </c>
      <c r="C67" s="1064">
        <v>9.4E-2</v>
      </c>
      <c r="D67" s="1064">
        <v>0.1</v>
      </c>
      <c r="E67" s="1064">
        <v>8.7999999999999995E-2</v>
      </c>
      <c r="F67" s="1076"/>
    </row>
    <row r="68" spans="1:6" ht="16" thickBot="1">
      <c r="A68" s="840" t="s">
        <v>137</v>
      </c>
      <c r="B68" s="834" t="s">
        <v>384</v>
      </c>
      <c r="C68" s="1064">
        <v>0.1</v>
      </c>
      <c r="D68" s="1064">
        <v>8.7999999999999995E-2</v>
      </c>
      <c r="E68" s="1064">
        <v>9.7000000000000003E-2</v>
      </c>
      <c r="F68" s="1076"/>
    </row>
    <row r="69" spans="1:6" ht="16" thickBot="1">
      <c r="A69" s="840" t="s">
        <v>137</v>
      </c>
      <c r="B69" s="834" t="s">
        <v>393</v>
      </c>
      <c r="C69" s="1064">
        <v>6.4000000000000001E-2</v>
      </c>
      <c r="D69" s="1064">
        <v>0.1</v>
      </c>
      <c r="E69" s="1064">
        <v>0.1</v>
      </c>
      <c r="F69" s="1076"/>
    </row>
    <row r="70" spans="1:6" ht="16" thickBot="1">
      <c r="A70" s="840" t="s">
        <v>137</v>
      </c>
      <c r="B70" s="834" t="s">
        <v>401</v>
      </c>
      <c r="C70" s="1064">
        <v>9.0999999999999998E-2</v>
      </c>
      <c r="D70" s="1077"/>
      <c r="E70" s="1077"/>
      <c r="F70" s="1076"/>
    </row>
    <row r="71" spans="1:6" ht="16" thickBot="1">
      <c r="A71" s="840" t="s">
        <v>137</v>
      </c>
      <c r="B71" s="834" t="s">
        <v>408</v>
      </c>
      <c r="C71" s="1064">
        <v>0.1</v>
      </c>
      <c r="D71" s="1077"/>
      <c r="E71" s="1077"/>
      <c r="F71" s="1076"/>
    </row>
    <row r="72" spans="1:6" ht="16" thickBot="1">
      <c r="A72" s="840" t="s">
        <v>137</v>
      </c>
      <c r="B72" s="834" t="s">
        <v>881</v>
      </c>
      <c r="C72" s="1077"/>
      <c r="D72" s="1077"/>
      <c r="E72" s="1077"/>
      <c r="F72" s="1065">
        <v>0.05</v>
      </c>
    </row>
    <row r="73" spans="1:6" ht="16" thickBot="1">
      <c r="A73" s="840" t="s">
        <v>137</v>
      </c>
      <c r="B73" s="834" t="s">
        <v>882</v>
      </c>
      <c r="C73" s="1077"/>
      <c r="D73" s="1077"/>
      <c r="E73" s="1077"/>
      <c r="F73" s="1065">
        <v>0.05</v>
      </c>
    </row>
    <row r="74" spans="1:6" ht="16" thickBot="1">
      <c r="A74" s="840" t="s">
        <v>137</v>
      </c>
      <c r="B74" s="834" t="s">
        <v>883</v>
      </c>
      <c r="C74" s="1077"/>
      <c r="D74" s="1077"/>
      <c r="E74" s="1077"/>
      <c r="F74" s="1065">
        <v>0.05</v>
      </c>
    </row>
    <row r="75" spans="1:6" ht="16" thickBot="1">
      <c r="A75" s="850" t="s">
        <v>137</v>
      </c>
      <c r="B75" s="846" t="s">
        <v>884</v>
      </c>
      <c r="C75" s="1074"/>
      <c r="D75" s="1074"/>
      <c r="E75" s="1074"/>
      <c r="F75" s="1067">
        <v>0.05</v>
      </c>
    </row>
    <row r="76" spans="1:6" ht="16" thickBot="1">
      <c r="A76" s="840" t="s">
        <v>523</v>
      </c>
      <c r="B76" s="841" t="s">
        <v>885</v>
      </c>
      <c r="C76" s="1062">
        <v>0.1</v>
      </c>
      <c r="D76" s="1062">
        <v>0.1</v>
      </c>
      <c r="E76" s="1062">
        <v>0.1</v>
      </c>
      <c r="F76" s="1063">
        <v>0.1</v>
      </c>
    </row>
    <row r="77" spans="1:6" ht="16" thickBot="1">
      <c r="A77" s="840" t="s">
        <v>523</v>
      </c>
      <c r="B77" s="834" t="s">
        <v>191</v>
      </c>
      <c r="C77" s="1064">
        <v>8.7999999999999995E-2</v>
      </c>
      <c r="D77" s="1064">
        <v>8.6999999999999994E-2</v>
      </c>
      <c r="E77" s="1064">
        <v>7.9000000000000001E-2</v>
      </c>
      <c r="F77" s="1065">
        <v>0.1</v>
      </c>
    </row>
    <row r="78" spans="1:6" ht="16" thickBot="1">
      <c r="A78" s="840" t="s">
        <v>523</v>
      </c>
      <c r="B78" s="834" t="s">
        <v>204</v>
      </c>
      <c r="C78" s="1064">
        <v>8.6999999999999994E-2</v>
      </c>
      <c r="D78" s="1064">
        <v>8.4000000000000005E-2</v>
      </c>
      <c r="E78" s="1064">
        <v>9.6000000000000002E-2</v>
      </c>
      <c r="F78" s="1065">
        <v>0.1</v>
      </c>
    </row>
    <row r="79" spans="1:6" ht="16" thickBot="1">
      <c r="A79" s="840" t="s">
        <v>523</v>
      </c>
      <c r="B79" s="834" t="s">
        <v>217</v>
      </c>
      <c r="C79" s="1064">
        <v>9.8000000000000004E-2</v>
      </c>
      <c r="D79" s="1064">
        <v>9.8000000000000004E-2</v>
      </c>
      <c r="E79" s="1064">
        <v>9.0999999999999998E-2</v>
      </c>
      <c r="F79" s="1065">
        <v>0.1</v>
      </c>
    </row>
    <row r="80" spans="1:6" ht="16" thickBot="1">
      <c r="A80" s="840" t="s">
        <v>523</v>
      </c>
      <c r="B80" s="834" t="s">
        <v>229</v>
      </c>
      <c r="C80" s="1064">
        <v>9.6000000000000002E-2</v>
      </c>
      <c r="D80" s="1064">
        <v>9.6000000000000002E-2</v>
      </c>
      <c r="E80" s="1064">
        <v>0.1</v>
      </c>
      <c r="F80" s="1065">
        <v>0.1</v>
      </c>
    </row>
    <row r="81" spans="1:6" ht="16" thickBot="1">
      <c r="A81" s="840" t="s">
        <v>523</v>
      </c>
      <c r="B81" s="834" t="s">
        <v>240</v>
      </c>
      <c r="C81" s="1064">
        <v>9.9000000000000005E-2</v>
      </c>
      <c r="D81" s="1064">
        <v>9.9000000000000005E-2</v>
      </c>
      <c r="E81" s="1064">
        <v>9.8000000000000004E-2</v>
      </c>
      <c r="F81" s="1065">
        <v>0.1</v>
      </c>
    </row>
    <row r="82" spans="1:6" ht="16" thickBot="1">
      <c r="A82" s="840" t="s">
        <v>523</v>
      </c>
      <c r="B82" s="834" t="s">
        <v>251</v>
      </c>
      <c r="C82" s="1064">
        <v>9.9000000000000005E-2</v>
      </c>
      <c r="D82" s="1064">
        <v>9.9000000000000005E-2</v>
      </c>
      <c r="E82" s="1064">
        <v>9.7000000000000003E-2</v>
      </c>
      <c r="F82" s="1065">
        <v>0.1</v>
      </c>
    </row>
    <row r="83" spans="1:6" ht="16" thickBot="1">
      <c r="A83" s="840" t="s">
        <v>523</v>
      </c>
      <c r="B83" s="834" t="s">
        <v>262</v>
      </c>
      <c r="C83" s="1064">
        <v>9.8000000000000004E-2</v>
      </c>
      <c r="D83" s="1064">
        <v>9.8000000000000004E-2</v>
      </c>
      <c r="E83" s="1064">
        <v>9.8000000000000004E-2</v>
      </c>
      <c r="F83" s="1065">
        <v>0.1</v>
      </c>
    </row>
    <row r="84" spans="1:6" ht="16" thickBot="1">
      <c r="A84" s="840" t="s">
        <v>523</v>
      </c>
      <c r="B84" s="834" t="s">
        <v>274</v>
      </c>
      <c r="C84" s="1064">
        <v>9.9000000000000005E-2</v>
      </c>
      <c r="D84" s="1064">
        <v>9.9000000000000005E-2</v>
      </c>
      <c r="E84" s="1064">
        <v>9.9000000000000005E-2</v>
      </c>
      <c r="F84" s="1065">
        <v>0.1</v>
      </c>
    </row>
    <row r="85" spans="1:6" ht="16" thickBot="1">
      <c r="A85" s="840" t="s">
        <v>523</v>
      </c>
      <c r="B85" s="834" t="s">
        <v>284</v>
      </c>
      <c r="C85" s="1064">
        <v>9.9000000000000005E-2</v>
      </c>
      <c r="D85" s="1064">
        <v>9.9000000000000005E-2</v>
      </c>
      <c r="E85" s="1064">
        <v>9.9000000000000005E-2</v>
      </c>
      <c r="F85" s="1065">
        <v>0.1</v>
      </c>
    </row>
    <row r="86" spans="1:6" ht="16" thickBot="1">
      <c r="A86" s="840" t="s">
        <v>523</v>
      </c>
      <c r="B86" s="834" t="s">
        <v>294</v>
      </c>
      <c r="C86" s="1064">
        <v>0.1</v>
      </c>
      <c r="D86" s="1064">
        <v>0.1</v>
      </c>
      <c r="E86" s="1064">
        <v>7.6999999999999999E-2</v>
      </c>
      <c r="F86" s="1065">
        <v>0.1</v>
      </c>
    </row>
    <row r="87" spans="1:6" ht="16" thickBot="1">
      <c r="A87" s="840" t="s">
        <v>523</v>
      </c>
      <c r="B87" s="834" t="s">
        <v>304</v>
      </c>
      <c r="C87" s="1064">
        <v>0.1</v>
      </c>
      <c r="D87" s="1064">
        <v>0.1</v>
      </c>
      <c r="E87" s="1064">
        <v>9.8000000000000004E-2</v>
      </c>
      <c r="F87" s="1076"/>
    </row>
    <row r="88" spans="1:6" ht="16" thickBot="1">
      <c r="A88" s="840" t="s">
        <v>523</v>
      </c>
      <c r="B88" s="834" t="s">
        <v>314</v>
      </c>
      <c r="C88" s="1064">
        <v>9.1999999999999998E-2</v>
      </c>
      <c r="D88" s="1064">
        <v>8.5000000000000006E-2</v>
      </c>
      <c r="E88" s="1064">
        <v>9.6000000000000002E-2</v>
      </c>
      <c r="F88" s="1076"/>
    </row>
    <row r="89" spans="1:6" ht="16" thickBot="1">
      <c r="A89" s="840" t="s">
        <v>523</v>
      </c>
      <c r="B89" s="834" t="s">
        <v>325</v>
      </c>
      <c r="C89" s="1064">
        <v>0.1</v>
      </c>
      <c r="D89" s="1064">
        <v>0.1</v>
      </c>
      <c r="E89" s="1064">
        <v>9.7000000000000003E-2</v>
      </c>
      <c r="F89" s="1076"/>
    </row>
    <row r="90" spans="1:6" ht="16" thickBot="1">
      <c r="A90" s="840" t="s">
        <v>523</v>
      </c>
      <c r="B90" s="834" t="s">
        <v>336</v>
      </c>
      <c r="C90" s="1064">
        <v>9.8000000000000004E-2</v>
      </c>
      <c r="D90" s="1064">
        <v>9.8000000000000004E-2</v>
      </c>
      <c r="E90" s="1064">
        <v>8.7999999999999995E-2</v>
      </c>
      <c r="F90" s="1076"/>
    </row>
    <row r="91" spans="1:6" ht="16" thickBot="1">
      <c r="A91" s="840" t="s">
        <v>523</v>
      </c>
      <c r="B91" s="834" t="s">
        <v>346</v>
      </c>
      <c r="C91" s="1064">
        <v>9.9000000000000005E-2</v>
      </c>
      <c r="D91" s="1064">
        <v>9.9000000000000005E-2</v>
      </c>
      <c r="E91" s="1064">
        <v>9.0999999999999998E-2</v>
      </c>
      <c r="F91" s="1076"/>
    </row>
    <row r="92" spans="1:6" ht="16" thickBot="1">
      <c r="A92" s="840" t="s">
        <v>523</v>
      </c>
      <c r="B92" s="834" t="s">
        <v>356</v>
      </c>
      <c r="C92" s="1064">
        <v>9.6000000000000002E-2</v>
      </c>
      <c r="D92" s="1064">
        <v>9.6000000000000002E-2</v>
      </c>
      <c r="E92" s="1064">
        <v>7.2999999999999995E-2</v>
      </c>
      <c r="F92" s="1076"/>
    </row>
    <row r="93" spans="1:6" ht="16" thickBot="1">
      <c r="A93" s="840" t="s">
        <v>523</v>
      </c>
      <c r="B93" s="834" t="s">
        <v>366</v>
      </c>
      <c r="C93" s="1064">
        <v>9.6000000000000002E-2</v>
      </c>
      <c r="D93" s="1064">
        <v>9.6000000000000002E-2</v>
      </c>
      <c r="E93" s="1064">
        <v>9.9000000000000005E-2</v>
      </c>
      <c r="F93" s="1076"/>
    </row>
    <row r="94" spans="1:6" ht="16" thickBot="1">
      <c r="A94" s="840" t="s">
        <v>523</v>
      </c>
      <c r="B94" s="834" t="s">
        <v>376</v>
      </c>
      <c r="C94" s="1064">
        <v>7.5999999999999998E-2</v>
      </c>
      <c r="D94" s="1064">
        <v>7.3999999999999996E-2</v>
      </c>
      <c r="E94" s="1064">
        <v>9.7000000000000003E-2</v>
      </c>
      <c r="F94" s="1076"/>
    </row>
    <row r="95" spans="1:6" ht="16" thickBot="1">
      <c r="A95" s="840" t="s">
        <v>523</v>
      </c>
      <c r="B95" s="834" t="s">
        <v>385</v>
      </c>
      <c r="C95" s="1064">
        <v>9.9000000000000005E-2</v>
      </c>
      <c r="D95" s="1064">
        <v>9.4E-2</v>
      </c>
      <c r="E95" s="1064">
        <v>9.6000000000000002E-2</v>
      </c>
      <c r="F95" s="1076"/>
    </row>
    <row r="96" spans="1:6" ht="16" thickBot="1">
      <c r="A96" s="840" t="s">
        <v>523</v>
      </c>
      <c r="B96" s="834" t="s">
        <v>394</v>
      </c>
      <c r="C96" s="1064">
        <v>9.9000000000000005E-2</v>
      </c>
      <c r="D96" s="1064">
        <v>9.9000000000000005E-2</v>
      </c>
      <c r="E96" s="1064">
        <v>9.9000000000000005E-2</v>
      </c>
      <c r="F96" s="1076"/>
    </row>
    <row r="97" spans="1:6" ht="16" thickBot="1">
      <c r="A97" s="840" t="s">
        <v>523</v>
      </c>
      <c r="B97" s="834" t="s">
        <v>402</v>
      </c>
      <c r="C97" s="1064">
        <v>9.8000000000000004E-2</v>
      </c>
      <c r="D97" s="1064">
        <v>9.8000000000000004E-2</v>
      </c>
      <c r="E97" s="1064">
        <v>9.7000000000000003E-2</v>
      </c>
      <c r="F97" s="1076"/>
    </row>
    <row r="98" spans="1:6" ht="16" thickBot="1">
      <c r="A98" s="840" t="s">
        <v>523</v>
      </c>
      <c r="B98" s="834" t="s">
        <v>409</v>
      </c>
      <c r="C98" s="1064">
        <v>0.1</v>
      </c>
      <c r="D98" s="1064">
        <v>0.1</v>
      </c>
      <c r="E98" s="1064">
        <v>9.7000000000000003E-2</v>
      </c>
      <c r="F98" s="1076"/>
    </row>
    <row r="99" spans="1:6" ht="16" thickBot="1">
      <c r="A99" s="840" t="s">
        <v>523</v>
      </c>
      <c r="B99" s="834" t="s">
        <v>416</v>
      </c>
      <c r="C99" s="1064">
        <v>0.1</v>
      </c>
      <c r="D99" s="1064">
        <v>0.1</v>
      </c>
      <c r="E99" s="1077"/>
      <c r="F99" s="1076"/>
    </row>
    <row r="100" spans="1:6" ht="16" thickBot="1">
      <c r="A100" s="840" t="s">
        <v>523</v>
      </c>
      <c r="B100" s="834" t="s">
        <v>423</v>
      </c>
      <c r="C100" s="1064">
        <v>0.09</v>
      </c>
      <c r="D100" s="1064">
        <v>8.8999999999999996E-2</v>
      </c>
      <c r="E100" s="1077"/>
      <c r="F100" s="1076"/>
    </row>
    <row r="101" spans="1:6" ht="16" thickBot="1">
      <c r="A101" s="840" t="s">
        <v>523</v>
      </c>
      <c r="B101" s="834" t="s">
        <v>430</v>
      </c>
      <c r="C101" s="1064">
        <v>9.8000000000000004E-2</v>
      </c>
      <c r="D101" s="1064">
        <v>9.7000000000000003E-2</v>
      </c>
      <c r="E101" s="1077"/>
      <c r="F101" s="1076"/>
    </row>
    <row r="102" spans="1:6" ht="16" thickBot="1">
      <c r="A102" s="840" t="s">
        <v>523</v>
      </c>
      <c r="B102" s="834" t="s">
        <v>886</v>
      </c>
      <c r="C102" s="1077"/>
      <c r="D102" s="1077"/>
      <c r="E102" s="1077"/>
      <c r="F102" s="1065">
        <v>0.05</v>
      </c>
    </row>
    <row r="103" spans="1:6" ht="31" thickBot="1">
      <c r="A103" s="840" t="s">
        <v>523</v>
      </c>
      <c r="B103" s="834" t="s">
        <v>887</v>
      </c>
      <c r="C103" s="1077"/>
      <c r="D103" s="1077"/>
      <c r="E103" s="1077"/>
      <c r="F103" s="1065">
        <v>0.05</v>
      </c>
    </row>
    <row r="104" spans="1:6" ht="16" thickBot="1">
      <c r="A104" s="840" t="s">
        <v>523</v>
      </c>
      <c r="B104" s="834" t="s">
        <v>888</v>
      </c>
      <c r="C104" s="1077"/>
      <c r="D104" s="1077"/>
      <c r="E104" s="1077"/>
      <c r="F104" s="1065">
        <v>0.05</v>
      </c>
    </row>
    <row r="105" spans="1:6" ht="16" thickBot="1">
      <c r="A105" s="840" t="s">
        <v>523</v>
      </c>
      <c r="B105" s="834" t="s">
        <v>889</v>
      </c>
      <c r="C105" s="1077"/>
      <c r="D105" s="1077"/>
      <c r="E105" s="1077"/>
      <c r="F105" s="1065">
        <v>0.05</v>
      </c>
    </row>
    <row r="106" spans="1:6" ht="16" thickBot="1">
      <c r="A106" s="840" t="s">
        <v>523</v>
      </c>
      <c r="B106" s="834" t="s">
        <v>890</v>
      </c>
      <c r="C106" s="1077"/>
      <c r="D106" s="1077"/>
      <c r="E106" s="1077"/>
      <c r="F106" s="1065">
        <v>0.05</v>
      </c>
    </row>
    <row r="107" spans="1:6" ht="31" thickBot="1">
      <c r="A107" s="840" t="s">
        <v>523</v>
      </c>
      <c r="B107" s="834" t="s">
        <v>891</v>
      </c>
      <c r="C107" s="1077"/>
      <c r="D107" s="1077"/>
      <c r="E107" s="1077"/>
      <c r="F107" s="1065">
        <v>0.05</v>
      </c>
    </row>
    <row r="108" spans="1:6" ht="31" thickBot="1">
      <c r="A108" s="840" t="s">
        <v>523</v>
      </c>
      <c r="B108" s="834" t="s">
        <v>892</v>
      </c>
      <c r="C108" s="1077"/>
      <c r="D108" s="1077"/>
      <c r="E108" s="1077"/>
      <c r="F108" s="1065">
        <v>0.05</v>
      </c>
    </row>
    <row r="109" spans="1:6" ht="31" thickBot="1">
      <c r="A109" s="850" t="s">
        <v>523</v>
      </c>
      <c r="B109" s="846" t="s">
        <v>893</v>
      </c>
      <c r="C109" s="1074"/>
      <c r="D109" s="1074"/>
      <c r="E109" s="1074"/>
      <c r="F109" s="1067">
        <v>0.05</v>
      </c>
    </row>
    <row r="110" spans="1:6" ht="16" thickBot="1">
      <c r="A110" s="840" t="s">
        <v>56</v>
      </c>
      <c r="B110" s="841" t="s">
        <v>894</v>
      </c>
      <c r="C110" s="1062">
        <v>0.129</v>
      </c>
      <c r="D110" s="1062">
        <v>0.129</v>
      </c>
      <c r="E110" s="1062">
        <v>0.126</v>
      </c>
      <c r="F110" s="1063">
        <v>0.13</v>
      </c>
    </row>
    <row r="111" spans="1:6" ht="16" thickBot="1">
      <c r="A111" s="840" t="s">
        <v>56</v>
      </c>
      <c r="B111" s="834" t="s">
        <v>192</v>
      </c>
      <c r="C111" s="1064">
        <v>0.11</v>
      </c>
      <c r="D111" s="1064">
        <v>0.11</v>
      </c>
      <c r="E111" s="1064">
        <v>9.9000000000000005E-2</v>
      </c>
      <c r="F111" s="1065">
        <v>0.128</v>
      </c>
    </row>
    <row r="112" spans="1:6" ht="16" thickBot="1">
      <c r="A112" s="840" t="s">
        <v>56</v>
      </c>
      <c r="B112" s="834" t="s">
        <v>205</v>
      </c>
      <c r="C112" s="1064">
        <v>0.125</v>
      </c>
      <c r="D112" s="1064">
        <v>0.125</v>
      </c>
      <c r="E112" s="1064">
        <v>0.12</v>
      </c>
      <c r="F112" s="1065">
        <v>0.125</v>
      </c>
    </row>
    <row r="113" spans="1:6" ht="16" thickBot="1">
      <c r="A113" s="840" t="s">
        <v>56</v>
      </c>
      <c r="B113" s="834" t="s">
        <v>218</v>
      </c>
      <c r="C113" s="1064">
        <v>0.13</v>
      </c>
      <c r="D113" s="1064">
        <v>0.13</v>
      </c>
      <c r="E113" s="1064">
        <v>0.13</v>
      </c>
      <c r="F113" s="1065">
        <v>0.13</v>
      </c>
    </row>
    <row r="114" spans="1:6" ht="16" thickBot="1">
      <c r="A114" s="840" t="s">
        <v>56</v>
      </c>
      <c r="B114" s="834" t="s">
        <v>230</v>
      </c>
      <c r="C114" s="1064">
        <v>0.123</v>
      </c>
      <c r="D114" s="1064">
        <v>0.123</v>
      </c>
      <c r="E114" s="1064">
        <v>0.12</v>
      </c>
      <c r="F114" s="1065">
        <v>0.13</v>
      </c>
    </row>
    <row r="115" spans="1:6" ht="16" thickBot="1">
      <c r="A115" s="840" t="s">
        <v>56</v>
      </c>
      <c r="B115" s="834" t="s">
        <v>241</v>
      </c>
      <c r="C115" s="1064">
        <v>0.125</v>
      </c>
      <c r="D115" s="1064">
        <v>0.125</v>
      </c>
      <c r="E115" s="1064">
        <v>0.11700000000000001</v>
      </c>
      <c r="F115" s="1065">
        <v>0.13</v>
      </c>
    </row>
    <row r="116" spans="1:6" ht="16" thickBot="1">
      <c r="A116" s="840" t="s">
        <v>56</v>
      </c>
      <c r="B116" s="834" t="s">
        <v>252</v>
      </c>
      <c r="C116" s="1064">
        <v>0.11700000000000001</v>
      </c>
      <c r="D116" s="1064">
        <v>0.11700000000000001</v>
      </c>
      <c r="E116" s="1064">
        <v>8.7999999999999995E-2</v>
      </c>
      <c r="F116" s="1065">
        <v>0.13</v>
      </c>
    </row>
    <row r="117" spans="1:6" ht="16" thickBot="1">
      <c r="A117" s="840" t="s">
        <v>56</v>
      </c>
      <c r="B117" s="834" t="s">
        <v>263</v>
      </c>
      <c r="C117" s="1064">
        <v>0.13</v>
      </c>
      <c r="D117" s="1064">
        <v>0.13</v>
      </c>
      <c r="E117" s="1064">
        <v>0.129</v>
      </c>
      <c r="F117" s="1065">
        <v>0.13</v>
      </c>
    </row>
    <row r="118" spans="1:6" ht="16" thickBot="1">
      <c r="A118" s="840" t="s">
        <v>56</v>
      </c>
      <c r="B118" s="834" t="s">
        <v>275</v>
      </c>
      <c r="C118" s="1064">
        <v>0.123</v>
      </c>
      <c r="D118" s="1064">
        <v>0.123</v>
      </c>
      <c r="E118" s="1064">
        <v>0.11600000000000001</v>
      </c>
      <c r="F118" s="1065">
        <v>0.13</v>
      </c>
    </row>
    <row r="119" spans="1:6" ht="16" thickBot="1">
      <c r="A119" s="840" t="s">
        <v>56</v>
      </c>
      <c r="B119" s="834" t="s">
        <v>285</v>
      </c>
      <c r="C119" s="1064">
        <v>0.127</v>
      </c>
      <c r="D119" s="1064">
        <v>0.127</v>
      </c>
      <c r="E119" s="1064">
        <v>0.124</v>
      </c>
      <c r="F119" s="1065">
        <v>0.13</v>
      </c>
    </row>
    <row r="120" spans="1:6" ht="16" thickBot="1">
      <c r="A120" s="840" t="s">
        <v>56</v>
      </c>
      <c r="B120" s="834" t="s">
        <v>295</v>
      </c>
      <c r="C120" s="1064">
        <v>0.125</v>
      </c>
      <c r="D120" s="1064">
        <v>0.125</v>
      </c>
      <c r="E120" s="1064">
        <v>0.122</v>
      </c>
      <c r="F120" s="1065">
        <v>0.13</v>
      </c>
    </row>
    <row r="121" spans="1:6" ht="16" thickBot="1">
      <c r="A121" s="840" t="s">
        <v>56</v>
      </c>
      <c r="B121" s="834" t="s">
        <v>305</v>
      </c>
      <c r="C121" s="1064">
        <v>0.13</v>
      </c>
      <c r="D121" s="1064">
        <v>0.13</v>
      </c>
      <c r="E121" s="1064">
        <v>0.13</v>
      </c>
      <c r="F121" s="1065">
        <v>0.13</v>
      </c>
    </row>
    <row r="122" spans="1:6" ht="16" thickBot="1">
      <c r="A122" s="840" t="s">
        <v>56</v>
      </c>
      <c r="B122" s="834" t="s">
        <v>315</v>
      </c>
      <c r="C122" s="1064">
        <v>0.13</v>
      </c>
      <c r="D122" s="1064">
        <v>0.13</v>
      </c>
      <c r="E122" s="1064">
        <v>0.125</v>
      </c>
      <c r="F122" s="1065">
        <v>0.13</v>
      </c>
    </row>
    <row r="123" spans="1:6" ht="16" thickBot="1">
      <c r="A123" s="840" t="s">
        <v>56</v>
      </c>
      <c r="B123" s="834" t="s">
        <v>326</v>
      </c>
      <c r="C123" s="1064">
        <v>0.129</v>
      </c>
      <c r="D123" s="1064">
        <v>0.129</v>
      </c>
      <c r="E123" s="1064">
        <v>0.123</v>
      </c>
      <c r="F123" s="1065">
        <v>0.13</v>
      </c>
    </row>
    <row r="124" spans="1:6" ht="16" thickBot="1">
      <c r="A124" s="840" t="s">
        <v>56</v>
      </c>
      <c r="B124" s="834" t="s">
        <v>337</v>
      </c>
      <c r="C124" s="1064">
        <v>0.10199999999999999</v>
      </c>
      <c r="D124" s="1064">
        <v>0.10100000000000001</v>
      </c>
      <c r="E124" s="1064">
        <v>0.08</v>
      </c>
      <c r="F124" s="1076"/>
    </row>
    <row r="125" spans="1:6" ht="16" thickBot="1">
      <c r="A125" s="840" t="s">
        <v>56</v>
      </c>
      <c r="B125" s="834" t="s">
        <v>347</v>
      </c>
      <c r="C125" s="1064">
        <v>0.13</v>
      </c>
      <c r="D125" s="1064">
        <v>0.13</v>
      </c>
      <c r="E125" s="1064">
        <v>0.129</v>
      </c>
      <c r="F125" s="1076"/>
    </row>
    <row r="126" spans="1:6" ht="16" thickBot="1">
      <c r="A126" s="840" t="s">
        <v>56</v>
      </c>
      <c r="B126" s="834" t="s">
        <v>357</v>
      </c>
      <c r="C126" s="1064">
        <v>0.13</v>
      </c>
      <c r="D126" s="1064">
        <v>0.13</v>
      </c>
      <c r="E126" s="1064">
        <v>0.126</v>
      </c>
      <c r="F126" s="1076"/>
    </row>
    <row r="127" spans="1:6" ht="16" thickBot="1">
      <c r="A127" s="840" t="s">
        <v>56</v>
      </c>
      <c r="B127" s="834" t="s">
        <v>367</v>
      </c>
      <c r="C127" s="1064">
        <v>0.125</v>
      </c>
      <c r="D127" s="1064">
        <v>0.125</v>
      </c>
      <c r="E127" s="1064">
        <v>0.121</v>
      </c>
      <c r="F127" s="1076"/>
    </row>
    <row r="128" spans="1:6" ht="16" thickBot="1">
      <c r="A128" s="840" t="s">
        <v>56</v>
      </c>
      <c r="B128" s="834" t="s">
        <v>377</v>
      </c>
      <c r="C128" s="1064">
        <v>0.12</v>
      </c>
      <c r="D128" s="1064">
        <v>0.12</v>
      </c>
      <c r="E128" s="1064">
        <v>0.105</v>
      </c>
      <c r="F128" s="1076"/>
    </row>
    <row r="129" spans="1:6" ht="16" thickBot="1">
      <c r="A129" s="840" t="s">
        <v>56</v>
      </c>
      <c r="B129" s="834" t="s">
        <v>386</v>
      </c>
      <c r="C129" s="1064">
        <v>0.13</v>
      </c>
      <c r="D129" s="1064">
        <v>0.13</v>
      </c>
      <c r="E129" s="1064">
        <v>0.126</v>
      </c>
      <c r="F129" s="1076"/>
    </row>
    <row r="130" spans="1:6" ht="16" thickBot="1">
      <c r="A130" s="840" t="s">
        <v>56</v>
      </c>
      <c r="B130" s="834" t="s">
        <v>395</v>
      </c>
      <c r="C130" s="1064">
        <v>0.125</v>
      </c>
      <c r="D130" s="1064">
        <v>0.125</v>
      </c>
      <c r="E130" s="1064">
        <v>0.122</v>
      </c>
      <c r="F130" s="1076"/>
    </row>
    <row r="131" spans="1:6" ht="16" thickBot="1">
      <c r="A131" s="840" t="s">
        <v>56</v>
      </c>
      <c r="B131" s="834" t="s">
        <v>403</v>
      </c>
      <c r="C131" s="1064">
        <v>0.127</v>
      </c>
      <c r="D131" s="1064">
        <v>0.126</v>
      </c>
      <c r="E131" s="1064">
        <v>0.123</v>
      </c>
      <c r="F131" s="1076"/>
    </row>
    <row r="132" spans="1:6" ht="16" thickBot="1">
      <c r="A132" s="840" t="s">
        <v>56</v>
      </c>
      <c r="B132" s="834" t="s">
        <v>410</v>
      </c>
      <c r="C132" s="1064">
        <v>9.0999999999999998E-2</v>
      </c>
      <c r="D132" s="1064">
        <v>0.121</v>
      </c>
      <c r="E132" s="1064">
        <v>9.9000000000000005E-2</v>
      </c>
      <c r="F132" s="1076"/>
    </row>
    <row r="133" spans="1:6" ht="16" thickBot="1">
      <c r="A133" s="840" t="s">
        <v>56</v>
      </c>
      <c r="B133" s="834" t="s">
        <v>417</v>
      </c>
      <c r="C133" s="1064">
        <v>0.13</v>
      </c>
      <c r="D133" s="1064">
        <v>0.13</v>
      </c>
      <c r="E133" s="1064">
        <v>0.129</v>
      </c>
      <c r="F133" s="1076"/>
    </row>
    <row r="134" spans="1:6" ht="16" thickBot="1">
      <c r="A134" s="840" t="s">
        <v>56</v>
      </c>
      <c r="B134" s="834" t="s">
        <v>895</v>
      </c>
      <c r="C134" s="1064">
        <v>6.8000000000000005E-2</v>
      </c>
      <c r="D134" s="1064">
        <v>6.5000000000000002E-2</v>
      </c>
      <c r="E134" s="1064">
        <v>6.5000000000000002E-2</v>
      </c>
      <c r="F134" s="1065">
        <v>0.13</v>
      </c>
    </row>
    <row r="135" spans="1:6" ht="16" thickBot="1">
      <c r="A135" s="840" t="s">
        <v>56</v>
      </c>
      <c r="B135" s="834" t="s">
        <v>431</v>
      </c>
      <c r="C135" s="1064">
        <v>0.123</v>
      </c>
      <c r="D135" s="1064">
        <v>0.123</v>
      </c>
      <c r="E135" s="1064">
        <v>0.11</v>
      </c>
      <c r="F135" s="1076"/>
    </row>
    <row r="136" spans="1:6" ht="16" thickBot="1">
      <c r="A136" s="840" t="s">
        <v>56</v>
      </c>
      <c r="B136" s="834" t="s">
        <v>438</v>
      </c>
      <c r="C136" s="1064">
        <v>0.13</v>
      </c>
      <c r="D136" s="1064">
        <v>0.13</v>
      </c>
      <c r="E136" s="1064">
        <v>0.125</v>
      </c>
      <c r="F136" s="1076"/>
    </row>
    <row r="137" spans="1:6" ht="16" thickBot="1">
      <c r="A137" s="840" t="s">
        <v>56</v>
      </c>
      <c r="B137" s="834" t="s">
        <v>445</v>
      </c>
      <c r="C137" s="1064">
        <v>0.121</v>
      </c>
      <c r="D137" s="1064">
        <v>0.122</v>
      </c>
      <c r="E137" s="1064">
        <v>0.115</v>
      </c>
      <c r="F137" s="1076"/>
    </row>
    <row r="138" spans="1:6" ht="16" thickBot="1">
      <c r="A138" s="840" t="s">
        <v>56</v>
      </c>
      <c r="B138" s="834" t="s">
        <v>896</v>
      </c>
      <c r="C138" s="1064">
        <v>0.105</v>
      </c>
      <c r="D138" s="1064">
        <v>0.125</v>
      </c>
      <c r="E138" s="1064">
        <v>0.112</v>
      </c>
      <c r="F138" s="1076"/>
    </row>
    <row r="139" spans="1:6" ht="16" thickBot="1">
      <c r="A139" s="840" t="s">
        <v>56</v>
      </c>
      <c r="B139" s="834" t="s">
        <v>897</v>
      </c>
      <c r="C139" s="1064">
        <v>0.127</v>
      </c>
      <c r="D139" s="1064">
        <v>0.127</v>
      </c>
      <c r="E139" s="1064">
        <v>0.122</v>
      </c>
      <c r="F139" s="1065">
        <v>0.13</v>
      </c>
    </row>
    <row r="140" spans="1:6" ht="16" thickBot="1">
      <c r="A140" s="840" t="s">
        <v>56</v>
      </c>
      <c r="B140" s="834" t="s">
        <v>898</v>
      </c>
      <c r="C140" s="1064">
        <v>0.125</v>
      </c>
      <c r="D140" s="1064">
        <v>0.125</v>
      </c>
      <c r="E140" s="1064">
        <v>0.11899999999999999</v>
      </c>
      <c r="F140" s="1065">
        <v>0.13</v>
      </c>
    </row>
    <row r="141" spans="1:6" ht="16" thickBot="1">
      <c r="A141" s="840" t="s">
        <v>56</v>
      </c>
      <c r="B141" s="834" t="s">
        <v>464</v>
      </c>
      <c r="C141" s="1064">
        <v>0.125</v>
      </c>
      <c r="D141" s="1064">
        <v>0.125</v>
      </c>
      <c r="E141" s="1064">
        <v>0.11700000000000001</v>
      </c>
      <c r="F141" s="1076"/>
    </row>
    <row r="142" spans="1:6" ht="16" thickBot="1">
      <c r="A142" s="840" t="s">
        <v>56</v>
      </c>
      <c r="B142" s="834" t="s">
        <v>469</v>
      </c>
      <c r="C142" s="1064">
        <v>0.125</v>
      </c>
      <c r="D142" s="1064">
        <v>0.125</v>
      </c>
      <c r="E142" s="1064">
        <v>0.115</v>
      </c>
      <c r="F142" s="1076"/>
    </row>
    <row r="143" spans="1:6" ht="16" thickBot="1">
      <c r="A143" s="840" t="s">
        <v>56</v>
      </c>
      <c r="B143" s="834" t="s">
        <v>474</v>
      </c>
      <c r="C143" s="1064">
        <v>0.121</v>
      </c>
      <c r="D143" s="1064">
        <v>0.121</v>
      </c>
      <c r="E143" s="1064">
        <v>0.108</v>
      </c>
      <c r="F143" s="1076"/>
    </row>
    <row r="144" spans="1:6" ht="16" thickBot="1">
      <c r="A144" s="840" t="s">
        <v>56</v>
      </c>
      <c r="B144" s="1068" t="s">
        <v>899</v>
      </c>
      <c r="C144" s="1069">
        <v>0.126</v>
      </c>
      <c r="D144" s="1069">
        <v>0.126</v>
      </c>
      <c r="E144" s="1069">
        <v>0.121</v>
      </c>
      <c r="F144" s="1076"/>
    </row>
    <row r="145" spans="1:6" ht="16" thickBot="1">
      <c r="A145" s="850" t="s">
        <v>56</v>
      </c>
      <c r="B145" s="1070" t="s">
        <v>900</v>
      </c>
      <c r="C145" s="1078"/>
      <c r="D145" s="1078"/>
      <c r="E145" s="1078"/>
      <c r="F145" s="1071">
        <v>0.05</v>
      </c>
    </row>
    <row r="146" spans="1:6" ht="31" thickBot="1">
      <c r="A146" s="1072" t="s">
        <v>56</v>
      </c>
      <c r="B146" s="844" t="s">
        <v>901</v>
      </c>
      <c r="C146" s="1077"/>
      <c r="D146" s="1077"/>
      <c r="E146" s="1077"/>
      <c r="F146" s="1073">
        <v>0.05</v>
      </c>
    </row>
    <row r="147" spans="1:6" ht="31" thickBot="1">
      <c r="A147" s="840" t="s">
        <v>56</v>
      </c>
      <c r="B147" s="834" t="s">
        <v>902</v>
      </c>
      <c r="C147" s="1077"/>
      <c r="D147" s="1077"/>
      <c r="E147" s="1077"/>
      <c r="F147" s="1065">
        <v>0.05</v>
      </c>
    </row>
    <row r="148" spans="1:6" ht="31" thickBot="1">
      <c r="A148" s="840" t="s">
        <v>56</v>
      </c>
      <c r="B148" s="834" t="s">
        <v>903</v>
      </c>
      <c r="C148" s="1077"/>
      <c r="D148" s="1077"/>
      <c r="E148" s="1077"/>
      <c r="F148" s="1065">
        <v>0.05</v>
      </c>
    </row>
    <row r="149" spans="1:6" ht="31" thickBot="1">
      <c r="A149" s="840" t="s">
        <v>56</v>
      </c>
      <c r="B149" s="834" t="s">
        <v>904</v>
      </c>
      <c r="C149" s="1077"/>
      <c r="D149" s="1077"/>
      <c r="E149" s="1077"/>
      <c r="F149" s="1065">
        <v>0.05</v>
      </c>
    </row>
    <row r="150" spans="1:6" ht="31" thickBot="1">
      <c r="A150" s="840" t="s">
        <v>56</v>
      </c>
      <c r="B150" s="834" t="s">
        <v>905</v>
      </c>
      <c r="C150" s="1077"/>
      <c r="D150" s="1077"/>
      <c r="E150" s="1077"/>
      <c r="F150" s="1065">
        <v>0.05</v>
      </c>
    </row>
    <row r="151" spans="1:6" ht="31" thickBot="1">
      <c r="A151" s="840" t="s">
        <v>56</v>
      </c>
      <c r="B151" s="834" t="s">
        <v>906</v>
      </c>
      <c r="C151" s="1077"/>
      <c r="D151" s="1077"/>
      <c r="E151" s="1077"/>
      <c r="F151" s="1065">
        <v>0.05</v>
      </c>
    </row>
    <row r="152" spans="1:6" ht="31" thickBot="1">
      <c r="A152" s="840" t="s">
        <v>56</v>
      </c>
      <c r="B152" s="834" t="s">
        <v>507</v>
      </c>
      <c r="C152" s="1077"/>
      <c r="D152" s="1077"/>
      <c r="E152" s="1077"/>
      <c r="F152" s="1065">
        <v>0.05</v>
      </c>
    </row>
    <row r="153" spans="1:6" ht="16" thickBot="1">
      <c r="A153" s="840" t="s">
        <v>56</v>
      </c>
      <c r="B153" s="834" t="s">
        <v>907</v>
      </c>
      <c r="C153" s="1077"/>
      <c r="D153" s="1077"/>
      <c r="E153" s="1077"/>
      <c r="F153" s="1065">
        <v>0.05</v>
      </c>
    </row>
    <row r="154" spans="1:6" ht="16" thickBot="1">
      <c r="A154" s="840" t="s">
        <v>56</v>
      </c>
      <c r="B154" s="834" t="s">
        <v>908</v>
      </c>
      <c r="C154" s="1077"/>
      <c r="D154" s="1077"/>
      <c r="E154" s="1077"/>
      <c r="F154" s="1065">
        <v>0.05</v>
      </c>
    </row>
    <row r="155" spans="1:6" ht="31" thickBot="1">
      <c r="A155" s="840" t="s">
        <v>56</v>
      </c>
      <c r="B155" s="834" t="s">
        <v>909</v>
      </c>
      <c r="C155" s="1077"/>
      <c r="D155" s="1077"/>
      <c r="E155" s="1077"/>
      <c r="F155" s="1065">
        <v>0.05</v>
      </c>
    </row>
    <row r="156" spans="1:6" ht="31" thickBot="1">
      <c r="A156" s="840" t="s">
        <v>56</v>
      </c>
      <c r="B156" s="834" t="s">
        <v>910</v>
      </c>
      <c r="C156" s="1077"/>
      <c r="D156" s="1077"/>
      <c r="E156" s="1077"/>
      <c r="F156" s="1065">
        <v>0.05</v>
      </c>
    </row>
    <row r="157" spans="1:6" ht="16" thickBot="1">
      <c r="A157" s="850" t="s">
        <v>56</v>
      </c>
      <c r="B157" s="846" t="s">
        <v>911</v>
      </c>
      <c r="C157" s="1074"/>
      <c r="D157" s="1074"/>
      <c r="E157" s="1074"/>
      <c r="F157" s="1067">
        <v>0.05</v>
      </c>
    </row>
    <row r="158" spans="1:6" ht="16" thickBot="1">
      <c r="A158" s="840" t="s">
        <v>526</v>
      </c>
      <c r="B158" s="841" t="s">
        <v>912</v>
      </c>
      <c r="C158" s="1062">
        <v>0.13</v>
      </c>
      <c r="D158" s="1062">
        <v>0.13</v>
      </c>
      <c r="E158" s="1062">
        <v>0.13</v>
      </c>
      <c r="F158" s="1063">
        <v>0.13</v>
      </c>
    </row>
    <row r="159" spans="1:6" ht="16" thickBot="1">
      <c r="A159" s="840" t="s">
        <v>526</v>
      </c>
      <c r="B159" s="834" t="s">
        <v>193</v>
      </c>
      <c r="C159" s="1064">
        <v>0.13</v>
      </c>
      <c r="D159" s="1064">
        <v>0.13</v>
      </c>
      <c r="E159" s="1064">
        <v>0.13</v>
      </c>
      <c r="F159" s="1065">
        <v>0.13</v>
      </c>
    </row>
    <row r="160" spans="1:6" ht="16" thickBot="1">
      <c r="A160" s="840" t="s">
        <v>526</v>
      </c>
      <c r="B160" s="834" t="s">
        <v>206</v>
      </c>
      <c r="C160" s="1064">
        <v>0.13</v>
      </c>
      <c r="D160" s="1064">
        <v>0.13</v>
      </c>
      <c r="E160" s="1064">
        <v>0.129</v>
      </c>
      <c r="F160" s="1065">
        <v>0.13</v>
      </c>
    </row>
    <row r="161" spans="1:6" ht="16" thickBot="1">
      <c r="A161" s="840" t="s">
        <v>526</v>
      </c>
      <c r="B161" s="834" t="s">
        <v>219</v>
      </c>
      <c r="C161" s="1064">
        <v>0.128</v>
      </c>
      <c r="D161" s="1064">
        <v>0.128</v>
      </c>
      <c r="E161" s="1064">
        <v>0.125</v>
      </c>
      <c r="F161" s="1065">
        <v>0.13</v>
      </c>
    </row>
    <row r="162" spans="1:6" ht="16" thickBot="1">
      <c r="A162" s="840" t="s">
        <v>526</v>
      </c>
      <c r="B162" s="834" t="s">
        <v>231</v>
      </c>
      <c r="C162" s="1064">
        <v>0.122</v>
      </c>
      <c r="D162" s="1064">
        <v>0.122</v>
      </c>
      <c r="E162" s="1064">
        <v>0.126</v>
      </c>
      <c r="F162" s="1065">
        <v>0.122</v>
      </c>
    </row>
    <row r="163" spans="1:6" ht="16" thickBot="1">
      <c r="A163" s="840" t="s">
        <v>526</v>
      </c>
      <c r="B163" s="834" t="s">
        <v>242</v>
      </c>
      <c r="C163" s="1064">
        <v>0.13</v>
      </c>
      <c r="D163" s="1064">
        <v>0.13</v>
      </c>
      <c r="E163" s="1064">
        <v>0.125</v>
      </c>
      <c r="F163" s="1065">
        <v>0.13</v>
      </c>
    </row>
    <row r="164" spans="1:6" ht="16" thickBot="1">
      <c r="A164" s="840" t="s">
        <v>526</v>
      </c>
      <c r="B164" s="834" t="s">
        <v>253</v>
      </c>
      <c r="C164" s="1064">
        <v>0.13</v>
      </c>
      <c r="D164" s="1064">
        <v>0.13</v>
      </c>
      <c r="E164" s="1064">
        <v>0.13</v>
      </c>
      <c r="F164" s="1065">
        <v>0.13</v>
      </c>
    </row>
    <row r="165" spans="1:6" ht="16" thickBot="1">
      <c r="A165" s="840" t="s">
        <v>526</v>
      </c>
      <c r="B165" s="834" t="s">
        <v>264</v>
      </c>
      <c r="C165" s="1064">
        <v>0.13</v>
      </c>
      <c r="D165" s="1064">
        <v>0.13</v>
      </c>
      <c r="E165" s="1064">
        <v>0.124</v>
      </c>
      <c r="F165" s="1065">
        <v>0.13</v>
      </c>
    </row>
    <row r="166" spans="1:6" ht="16" thickBot="1">
      <c r="A166" s="840" t="s">
        <v>526</v>
      </c>
      <c r="B166" s="834" t="s">
        <v>276</v>
      </c>
      <c r="C166" s="1064">
        <v>0.13</v>
      </c>
      <c r="D166" s="1064">
        <v>0.13</v>
      </c>
      <c r="E166" s="1064">
        <v>0.13</v>
      </c>
      <c r="F166" s="1065">
        <v>0.13</v>
      </c>
    </row>
    <row r="167" spans="1:6" ht="16" thickBot="1">
      <c r="A167" s="840" t="s">
        <v>526</v>
      </c>
      <c r="B167" s="834" t="s">
        <v>286</v>
      </c>
      <c r="C167" s="1064">
        <v>0.125</v>
      </c>
      <c r="D167" s="1064">
        <v>0.125</v>
      </c>
      <c r="E167" s="1064">
        <v>0.121</v>
      </c>
      <c r="F167" s="1076"/>
    </row>
    <row r="168" spans="1:6" ht="16" thickBot="1">
      <c r="A168" s="840" t="s">
        <v>526</v>
      </c>
      <c r="B168" s="834" t="s">
        <v>296</v>
      </c>
      <c r="C168" s="1064">
        <v>0.13</v>
      </c>
      <c r="D168" s="1064">
        <v>0.13</v>
      </c>
      <c r="E168" s="1064">
        <v>0.126</v>
      </c>
      <c r="F168" s="1076"/>
    </row>
    <row r="169" spans="1:6" ht="16" thickBot="1">
      <c r="A169" s="840" t="s">
        <v>526</v>
      </c>
      <c r="B169" s="834" t="s">
        <v>306</v>
      </c>
      <c r="C169" s="1064">
        <v>0.128</v>
      </c>
      <c r="D169" s="1064">
        <v>0.129</v>
      </c>
      <c r="E169" s="1064">
        <v>0.13</v>
      </c>
      <c r="F169" s="1076"/>
    </row>
    <row r="170" spans="1:6" ht="16" thickBot="1">
      <c r="A170" s="840" t="s">
        <v>526</v>
      </c>
      <c r="B170" s="834" t="s">
        <v>316</v>
      </c>
      <c r="C170" s="1064">
        <v>0.14099999999999999</v>
      </c>
      <c r="D170" s="1064">
        <v>0.13</v>
      </c>
      <c r="E170" s="1064">
        <v>0.125</v>
      </c>
      <c r="F170" s="1076"/>
    </row>
    <row r="171" spans="1:6" ht="16" thickBot="1">
      <c r="A171" s="840" t="s">
        <v>526</v>
      </c>
      <c r="B171" s="834" t="s">
        <v>913</v>
      </c>
      <c r="C171" s="1064">
        <v>0.127</v>
      </c>
      <c r="D171" s="1064">
        <v>0.126</v>
      </c>
      <c r="E171" s="1064">
        <v>0.126</v>
      </c>
      <c r="F171" s="1065">
        <v>0.11799999999999999</v>
      </c>
    </row>
    <row r="172" spans="1:6" ht="16" thickBot="1">
      <c r="A172" s="840" t="s">
        <v>526</v>
      </c>
      <c r="B172" s="834" t="s">
        <v>914</v>
      </c>
      <c r="C172" s="1064">
        <v>0.13</v>
      </c>
      <c r="D172" s="1064">
        <v>0.13</v>
      </c>
      <c r="E172" s="1064">
        <v>0.13</v>
      </c>
      <c r="F172" s="1076"/>
    </row>
    <row r="173" spans="1:6" ht="16" thickBot="1">
      <c r="A173" s="840" t="s">
        <v>526</v>
      </c>
      <c r="B173" s="834" t="s">
        <v>348</v>
      </c>
      <c r="C173" s="1064">
        <v>0.13</v>
      </c>
      <c r="D173" s="1064">
        <v>0.13</v>
      </c>
      <c r="E173" s="1064">
        <v>0.13</v>
      </c>
      <c r="F173" s="1076"/>
    </row>
    <row r="174" spans="1:6" ht="16" thickBot="1">
      <c r="A174" s="840" t="s">
        <v>526</v>
      </c>
      <c r="B174" s="834" t="s">
        <v>915</v>
      </c>
      <c r="C174" s="1064">
        <v>0.13</v>
      </c>
      <c r="D174" s="1064">
        <v>0.13</v>
      </c>
      <c r="E174" s="1064">
        <v>0.13</v>
      </c>
      <c r="F174" s="1065">
        <v>0.13</v>
      </c>
    </row>
    <row r="175" spans="1:6" ht="16" thickBot="1">
      <c r="A175" s="840" t="s">
        <v>526</v>
      </c>
      <c r="B175" s="834" t="s">
        <v>916</v>
      </c>
      <c r="C175" s="1064">
        <v>0.13</v>
      </c>
      <c r="D175" s="1064">
        <v>0.13</v>
      </c>
      <c r="E175" s="1064">
        <v>0.13</v>
      </c>
      <c r="F175" s="1065">
        <v>0.13</v>
      </c>
    </row>
    <row r="176" spans="1:6" ht="16" thickBot="1">
      <c r="A176" s="840" t="s">
        <v>526</v>
      </c>
      <c r="B176" s="834" t="s">
        <v>378</v>
      </c>
      <c r="C176" s="1064">
        <v>0.13</v>
      </c>
      <c r="D176" s="1064">
        <v>0.13</v>
      </c>
      <c r="E176" s="1064">
        <v>0.13</v>
      </c>
      <c r="F176" s="1065">
        <v>0.13</v>
      </c>
    </row>
    <row r="177" spans="1:6" ht="16" thickBot="1">
      <c r="A177" s="840" t="s">
        <v>526</v>
      </c>
      <c r="B177" s="834" t="s">
        <v>917</v>
      </c>
      <c r="C177" s="1064">
        <v>0.13</v>
      </c>
      <c r="D177" s="1064">
        <v>0.13</v>
      </c>
      <c r="E177" s="1064">
        <v>0.13</v>
      </c>
      <c r="F177" s="1065">
        <v>0.13</v>
      </c>
    </row>
    <row r="178" spans="1:6" ht="16" thickBot="1">
      <c r="A178" s="840" t="s">
        <v>526</v>
      </c>
      <c r="B178" s="834" t="s">
        <v>396</v>
      </c>
      <c r="C178" s="1064">
        <v>0.13</v>
      </c>
      <c r="D178" s="1064">
        <v>0.13</v>
      </c>
      <c r="E178" s="1064">
        <v>0.13</v>
      </c>
      <c r="F178" s="1065">
        <v>0.127</v>
      </c>
    </row>
    <row r="179" spans="1:6" ht="16" thickBot="1">
      <c r="A179" s="840" t="s">
        <v>526</v>
      </c>
      <c r="B179" s="834" t="s">
        <v>404</v>
      </c>
      <c r="C179" s="1064">
        <v>0.13</v>
      </c>
      <c r="D179" s="1064">
        <v>0.13</v>
      </c>
      <c r="E179" s="1064">
        <v>0.13</v>
      </c>
      <c r="F179" s="1076"/>
    </row>
    <row r="180" spans="1:6" ht="16" thickBot="1">
      <c r="A180" s="840" t="s">
        <v>526</v>
      </c>
      <c r="B180" s="834" t="s">
        <v>918</v>
      </c>
      <c r="C180" s="1064">
        <v>0.13</v>
      </c>
      <c r="D180" s="1064">
        <v>0.13</v>
      </c>
      <c r="E180" s="1064">
        <v>0.125</v>
      </c>
      <c r="F180" s="1065">
        <v>0.13</v>
      </c>
    </row>
    <row r="181" spans="1:6" ht="16" thickBot="1">
      <c r="A181" s="840" t="s">
        <v>526</v>
      </c>
      <c r="B181" s="834" t="s">
        <v>418</v>
      </c>
      <c r="C181" s="1064">
        <v>0.122</v>
      </c>
      <c r="D181" s="1064">
        <v>0.123</v>
      </c>
      <c r="E181" s="1064">
        <v>0.126</v>
      </c>
      <c r="F181" s="1065">
        <v>0.121</v>
      </c>
    </row>
    <row r="182" spans="1:6" ht="16" thickBot="1">
      <c r="A182" s="840" t="s">
        <v>526</v>
      </c>
      <c r="B182" s="834" t="s">
        <v>425</v>
      </c>
      <c r="C182" s="1064">
        <v>0.125</v>
      </c>
      <c r="D182" s="1064">
        <v>0.125</v>
      </c>
      <c r="E182" s="1064">
        <v>0.11700000000000001</v>
      </c>
      <c r="F182" s="1065">
        <v>0.13</v>
      </c>
    </row>
    <row r="183" spans="1:6" ht="16" thickBot="1">
      <c r="A183" s="840" t="s">
        <v>526</v>
      </c>
      <c r="B183" s="834" t="s">
        <v>432</v>
      </c>
      <c r="C183" s="1064">
        <v>0.127</v>
      </c>
      <c r="D183" s="1064">
        <v>0.127</v>
      </c>
      <c r="E183" s="1064">
        <v>0.128</v>
      </c>
      <c r="F183" s="1076"/>
    </row>
    <row r="184" spans="1:6" ht="16" thickBot="1">
      <c r="A184" s="840" t="s">
        <v>526</v>
      </c>
      <c r="B184" s="834" t="s">
        <v>439</v>
      </c>
      <c r="C184" s="1064">
        <v>0.125</v>
      </c>
      <c r="D184" s="1064">
        <v>0.125</v>
      </c>
      <c r="E184" s="1064">
        <v>0.127</v>
      </c>
      <c r="F184" s="1076"/>
    </row>
    <row r="185" spans="1:6" ht="16" thickBot="1">
      <c r="A185" s="840" t="s">
        <v>526</v>
      </c>
      <c r="B185" s="834" t="s">
        <v>919</v>
      </c>
      <c r="C185" s="1064">
        <v>0.127</v>
      </c>
      <c r="D185" s="1064">
        <v>0.127</v>
      </c>
      <c r="E185" s="1064">
        <v>0.128</v>
      </c>
      <c r="F185" s="1065">
        <v>0.13</v>
      </c>
    </row>
    <row r="186" spans="1:6" ht="31" thickBot="1">
      <c r="A186" s="840" t="s">
        <v>526</v>
      </c>
      <c r="B186" s="834" t="s">
        <v>920</v>
      </c>
      <c r="C186" s="1077"/>
      <c r="D186" s="1077"/>
      <c r="E186" s="1077"/>
      <c r="F186" s="1065">
        <v>0.05</v>
      </c>
    </row>
    <row r="187" spans="1:6" ht="16" thickBot="1">
      <c r="A187" s="840" t="s">
        <v>526</v>
      </c>
      <c r="B187" s="834" t="s">
        <v>921</v>
      </c>
      <c r="C187" s="1077"/>
      <c r="D187" s="1077"/>
      <c r="E187" s="1077"/>
      <c r="F187" s="1065">
        <v>0.05</v>
      </c>
    </row>
    <row r="188" spans="1:6" ht="16" thickBot="1">
      <c r="A188" s="840" t="s">
        <v>526</v>
      </c>
      <c r="B188" s="834" t="s">
        <v>922</v>
      </c>
      <c r="C188" s="1077"/>
      <c r="D188" s="1077"/>
      <c r="E188" s="1077"/>
      <c r="F188" s="1065">
        <v>0.05</v>
      </c>
    </row>
    <row r="189" spans="1:6" ht="31" thickBot="1">
      <c r="A189" s="840" t="s">
        <v>526</v>
      </c>
      <c r="B189" s="834" t="s">
        <v>923</v>
      </c>
      <c r="C189" s="1077"/>
      <c r="D189" s="1077"/>
      <c r="E189" s="1077"/>
      <c r="F189" s="1065">
        <v>0.05</v>
      </c>
    </row>
    <row r="190" spans="1:6" ht="31" thickBot="1">
      <c r="A190" s="840" t="s">
        <v>526</v>
      </c>
      <c r="B190" s="834" t="s">
        <v>924</v>
      </c>
      <c r="C190" s="1077"/>
      <c r="D190" s="1077"/>
      <c r="E190" s="1077"/>
      <c r="F190" s="1065">
        <v>0.05</v>
      </c>
    </row>
    <row r="191" spans="1:6" ht="31" thickBot="1">
      <c r="A191" s="840" t="s">
        <v>526</v>
      </c>
      <c r="B191" s="834" t="s">
        <v>925</v>
      </c>
      <c r="C191" s="1077"/>
      <c r="D191" s="1077"/>
      <c r="E191" s="1077"/>
      <c r="F191" s="1065">
        <v>0.05</v>
      </c>
    </row>
    <row r="192" spans="1:6" ht="31" thickBot="1">
      <c r="A192" s="840" t="s">
        <v>526</v>
      </c>
      <c r="B192" s="834" t="s">
        <v>926</v>
      </c>
      <c r="C192" s="1077"/>
      <c r="D192" s="1077"/>
      <c r="E192" s="1077"/>
      <c r="F192" s="1065">
        <v>0.05</v>
      </c>
    </row>
    <row r="193" spans="1:6" ht="31" thickBot="1">
      <c r="A193" s="840" t="s">
        <v>526</v>
      </c>
      <c r="B193" s="834" t="s">
        <v>927</v>
      </c>
      <c r="C193" s="1077"/>
      <c r="D193" s="1077"/>
      <c r="E193" s="1077"/>
      <c r="F193" s="1065">
        <v>0.05</v>
      </c>
    </row>
    <row r="194" spans="1:6" ht="31" thickBot="1">
      <c r="A194" s="840" t="s">
        <v>526</v>
      </c>
      <c r="B194" s="834" t="s">
        <v>928</v>
      </c>
      <c r="C194" s="1077"/>
      <c r="D194" s="1077"/>
      <c r="E194" s="1077"/>
      <c r="F194" s="1065">
        <v>0.05</v>
      </c>
    </row>
    <row r="195" spans="1:6" ht="16" thickBot="1">
      <c r="A195" s="840" t="s">
        <v>526</v>
      </c>
      <c r="B195" s="834" t="s">
        <v>929</v>
      </c>
      <c r="C195" s="1077"/>
      <c r="D195" s="1077"/>
      <c r="E195" s="1077"/>
      <c r="F195" s="1065">
        <v>0.05</v>
      </c>
    </row>
    <row r="196" spans="1:6" ht="31" thickBot="1">
      <c r="A196" s="840" t="s">
        <v>526</v>
      </c>
      <c r="B196" s="834" t="s">
        <v>930</v>
      </c>
      <c r="C196" s="1077"/>
      <c r="D196" s="1077"/>
      <c r="E196" s="1077"/>
      <c r="F196" s="1065">
        <v>0.05</v>
      </c>
    </row>
    <row r="197" spans="1:6" ht="31" thickBot="1">
      <c r="A197" s="840" t="s">
        <v>526</v>
      </c>
      <c r="B197" s="834" t="s">
        <v>931</v>
      </c>
      <c r="C197" s="1077"/>
      <c r="D197" s="1077"/>
      <c r="E197" s="1077"/>
      <c r="F197" s="1065">
        <v>0.05</v>
      </c>
    </row>
    <row r="198" spans="1:6" ht="31" thickBot="1">
      <c r="A198" s="840" t="s">
        <v>526</v>
      </c>
      <c r="B198" s="834" t="s">
        <v>932</v>
      </c>
      <c r="C198" s="1077"/>
      <c r="D198" s="1077"/>
      <c r="E198" s="1077"/>
      <c r="F198" s="1065">
        <v>0.05</v>
      </c>
    </row>
    <row r="199" spans="1:6" ht="31" thickBot="1">
      <c r="A199" s="840" t="s">
        <v>526</v>
      </c>
      <c r="B199" s="834" t="s">
        <v>933</v>
      </c>
      <c r="C199" s="1077"/>
      <c r="D199" s="1077"/>
      <c r="E199" s="1077"/>
      <c r="F199" s="1065">
        <v>0.05</v>
      </c>
    </row>
    <row r="200" spans="1:6" ht="31" thickBot="1">
      <c r="A200" s="840" t="s">
        <v>526</v>
      </c>
      <c r="B200" s="834" t="s">
        <v>934</v>
      </c>
      <c r="C200" s="1077"/>
      <c r="D200" s="1077"/>
      <c r="E200" s="1077"/>
      <c r="F200" s="1065">
        <v>0.05</v>
      </c>
    </row>
    <row r="201" spans="1:6" ht="31" thickBot="1">
      <c r="A201" s="840" t="s">
        <v>526</v>
      </c>
      <c r="B201" s="834" t="s">
        <v>935</v>
      </c>
      <c r="C201" s="1077"/>
      <c r="D201" s="1077"/>
      <c r="E201" s="1077"/>
      <c r="F201" s="1065">
        <v>0.05</v>
      </c>
    </row>
    <row r="202" spans="1:6" ht="31" thickBot="1">
      <c r="A202" s="840" t="s">
        <v>526</v>
      </c>
      <c r="B202" s="834" t="s">
        <v>936</v>
      </c>
      <c r="C202" s="1077"/>
      <c r="D202" s="1077"/>
      <c r="E202" s="1077"/>
      <c r="F202" s="1065">
        <v>0.05</v>
      </c>
    </row>
    <row r="203" spans="1:6" ht="31" thickBot="1">
      <c r="A203" s="840" t="s">
        <v>526</v>
      </c>
      <c r="B203" s="834" t="s">
        <v>937</v>
      </c>
      <c r="C203" s="1077"/>
      <c r="D203" s="1077"/>
      <c r="E203" s="1077"/>
      <c r="F203" s="1065">
        <v>0.05</v>
      </c>
    </row>
    <row r="204" spans="1:6" ht="16" thickBot="1">
      <c r="A204" s="840" t="s">
        <v>526</v>
      </c>
      <c r="B204" s="834" t="s">
        <v>938</v>
      </c>
      <c r="C204" s="1077"/>
      <c r="D204" s="1077"/>
      <c r="E204" s="1077"/>
      <c r="F204" s="1065">
        <v>0.05</v>
      </c>
    </row>
    <row r="205" spans="1:6" ht="16" thickBot="1">
      <c r="A205" s="850" t="s">
        <v>526</v>
      </c>
      <c r="B205" s="846" t="s">
        <v>939</v>
      </c>
      <c r="C205" s="1074"/>
      <c r="D205" s="1074"/>
      <c r="E205" s="1074"/>
      <c r="F205" s="1067">
        <v>0.05</v>
      </c>
    </row>
    <row r="206" spans="1:6" ht="16" thickBot="1">
      <c r="A206" s="840" t="s">
        <v>528</v>
      </c>
      <c r="B206" s="841" t="s">
        <v>940</v>
      </c>
      <c r="C206" s="1062">
        <v>0.15</v>
      </c>
      <c r="D206" s="1062">
        <v>0.15</v>
      </c>
      <c r="E206" s="1062">
        <v>0.15</v>
      </c>
      <c r="F206" s="1063">
        <v>0.15</v>
      </c>
    </row>
    <row r="207" spans="1:6" ht="16" thickBot="1">
      <c r="A207" s="840" t="s">
        <v>528</v>
      </c>
      <c r="B207" s="834" t="s">
        <v>194</v>
      </c>
      <c r="C207" s="1064">
        <v>0.15</v>
      </c>
      <c r="D207" s="1064">
        <v>0.15</v>
      </c>
      <c r="E207" s="1064">
        <v>0.15</v>
      </c>
      <c r="F207" s="1065">
        <v>0.14399999999999999</v>
      </c>
    </row>
    <row r="208" spans="1:6" ht="16" thickBot="1">
      <c r="A208" s="840" t="s">
        <v>528</v>
      </c>
      <c r="B208" s="834" t="s">
        <v>207</v>
      </c>
      <c r="C208" s="1064">
        <v>0.15</v>
      </c>
      <c r="D208" s="1064">
        <v>0.15</v>
      </c>
      <c r="E208" s="1064">
        <v>0.15</v>
      </c>
      <c r="F208" s="1065">
        <v>0.15</v>
      </c>
    </row>
    <row r="209" spans="1:6" ht="16" thickBot="1">
      <c r="A209" s="840" t="s">
        <v>528</v>
      </c>
      <c r="B209" s="834" t="s">
        <v>220</v>
      </c>
      <c r="C209" s="1064">
        <v>0.13700000000000001</v>
      </c>
      <c r="D209" s="1064">
        <v>0.13700000000000001</v>
      </c>
      <c r="E209" s="1064">
        <v>0.14000000000000001</v>
      </c>
      <c r="F209" s="1065">
        <v>0.11700000000000001</v>
      </c>
    </row>
    <row r="210" spans="1:6" ht="16" thickBot="1">
      <c r="A210" s="840" t="s">
        <v>528</v>
      </c>
      <c r="B210" s="834" t="s">
        <v>941</v>
      </c>
      <c r="C210" s="1064">
        <v>0.15</v>
      </c>
      <c r="D210" s="1064">
        <v>0.15</v>
      </c>
      <c r="E210" s="1064">
        <v>0.15</v>
      </c>
      <c r="F210" s="1065">
        <v>0.13800000000000001</v>
      </c>
    </row>
    <row r="211" spans="1:6" ht="16" thickBot="1">
      <c r="A211" s="840" t="s">
        <v>528</v>
      </c>
      <c r="B211" s="834" t="s">
        <v>942</v>
      </c>
      <c r="C211" s="1064">
        <v>0.13700000000000001</v>
      </c>
      <c r="D211" s="1064">
        <v>0.13500000000000001</v>
      </c>
      <c r="E211" s="1064">
        <v>0.13600000000000001</v>
      </c>
      <c r="F211" s="1065">
        <v>0.1</v>
      </c>
    </row>
    <row r="212" spans="1:6" ht="16" thickBot="1">
      <c r="A212" s="840" t="s">
        <v>528</v>
      </c>
      <c r="B212" s="834" t="s">
        <v>943</v>
      </c>
      <c r="C212" s="1064">
        <v>0.15</v>
      </c>
      <c r="D212" s="1064">
        <v>0.15</v>
      </c>
      <c r="E212" s="1064">
        <v>0.14799999999999999</v>
      </c>
      <c r="F212" s="1065">
        <v>0.13600000000000001</v>
      </c>
    </row>
    <row r="213" spans="1:6" ht="16" thickBot="1">
      <c r="A213" s="840" t="s">
        <v>528</v>
      </c>
      <c r="B213" s="834" t="s">
        <v>265</v>
      </c>
      <c r="C213" s="1064">
        <v>0.15</v>
      </c>
      <c r="D213" s="1064">
        <v>0.15</v>
      </c>
      <c r="E213" s="1064">
        <v>0.15</v>
      </c>
      <c r="F213" s="1065">
        <v>0.13800000000000001</v>
      </c>
    </row>
    <row r="214" spans="1:6" ht="16" thickBot="1">
      <c r="A214" s="840" t="s">
        <v>528</v>
      </c>
      <c r="B214" s="834" t="s">
        <v>277</v>
      </c>
      <c r="C214" s="1064">
        <v>9.0999999999999998E-2</v>
      </c>
      <c r="D214" s="1064">
        <v>0.09</v>
      </c>
      <c r="E214" s="1064">
        <v>9.1999999999999998E-2</v>
      </c>
      <c r="F214" s="1076"/>
    </row>
    <row r="215" spans="1:6" ht="16" thickBot="1">
      <c r="A215" s="840" t="s">
        <v>528</v>
      </c>
      <c r="B215" s="834" t="s">
        <v>944</v>
      </c>
      <c r="C215" s="1064">
        <v>0.15</v>
      </c>
      <c r="D215" s="1064">
        <v>0.15</v>
      </c>
      <c r="E215" s="1064">
        <v>0.15</v>
      </c>
      <c r="F215" s="1065">
        <v>0.15</v>
      </c>
    </row>
    <row r="216" spans="1:6" ht="16" thickBot="1">
      <c r="A216" s="840" t="s">
        <v>528</v>
      </c>
      <c r="B216" s="834" t="s">
        <v>297</v>
      </c>
      <c r="C216" s="1064">
        <v>0.14699999999999999</v>
      </c>
      <c r="D216" s="1064">
        <v>0.14699999999999999</v>
      </c>
      <c r="E216" s="1064">
        <v>0.15</v>
      </c>
      <c r="F216" s="1065">
        <v>0.14000000000000001</v>
      </c>
    </row>
    <row r="217" spans="1:6" ht="16" thickBot="1">
      <c r="A217" s="840" t="s">
        <v>528</v>
      </c>
      <c r="B217" s="834" t="s">
        <v>307</v>
      </c>
      <c r="C217" s="1064">
        <v>0.15</v>
      </c>
      <c r="D217" s="1064">
        <v>0.15</v>
      </c>
      <c r="E217" s="1064">
        <v>0.15</v>
      </c>
      <c r="F217" s="1065">
        <v>0.15</v>
      </c>
    </row>
    <row r="218" spans="1:6" ht="16" thickBot="1">
      <c r="A218" s="840" t="s">
        <v>528</v>
      </c>
      <c r="B218" s="834" t="s">
        <v>945</v>
      </c>
      <c r="C218" s="1064">
        <v>0.15</v>
      </c>
      <c r="D218" s="1064">
        <v>0.15</v>
      </c>
      <c r="E218" s="1064">
        <v>0.15</v>
      </c>
      <c r="F218" s="1065">
        <v>0.15</v>
      </c>
    </row>
    <row r="219" spans="1:6" ht="16" thickBot="1">
      <c r="A219" s="840" t="s">
        <v>528</v>
      </c>
      <c r="B219" s="834" t="s">
        <v>328</v>
      </c>
      <c r="C219" s="1064">
        <v>0.15</v>
      </c>
      <c r="D219" s="1064">
        <v>0.15</v>
      </c>
      <c r="E219" s="1064">
        <v>0.15</v>
      </c>
      <c r="F219" s="1065">
        <v>0.14799999999999999</v>
      </c>
    </row>
    <row r="220" spans="1:6" ht="16" thickBot="1">
      <c r="A220" s="840" t="s">
        <v>528</v>
      </c>
      <c r="B220" s="834" t="s">
        <v>946</v>
      </c>
      <c r="C220" s="1064">
        <v>0.15</v>
      </c>
      <c r="D220" s="1064">
        <v>0.15</v>
      </c>
      <c r="E220" s="1064">
        <v>0.15</v>
      </c>
      <c r="F220" s="1065">
        <v>0.15</v>
      </c>
    </row>
    <row r="221" spans="1:6" ht="16" thickBot="1">
      <c r="A221" s="840" t="s">
        <v>528</v>
      </c>
      <c r="B221" s="834" t="s">
        <v>349</v>
      </c>
      <c r="C221" s="1064"/>
      <c r="D221" s="1077"/>
      <c r="E221" s="1077"/>
      <c r="F221" s="1065">
        <v>0.14799999999999999</v>
      </c>
    </row>
    <row r="222" spans="1:6" ht="16" thickBot="1">
      <c r="A222" s="840" t="s">
        <v>528</v>
      </c>
      <c r="B222" s="834" t="s">
        <v>359</v>
      </c>
      <c r="C222" s="1064"/>
      <c r="D222" s="1077"/>
      <c r="E222" s="1077"/>
      <c r="F222" s="1065">
        <v>0.1</v>
      </c>
    </row>
    <row r="223" spans="1:6" ht="16" thickBot="1">
      <c r="A223" s="840" t="s">
        <v>528</v>
      </c>
      <c r="B223" s="834" t="s">
        <v>369</v>
      </c>
      <c r="C223" s="1064"/>
      <c r="D223" s="1077"/>
      <c r="E223" s="1077"/>
      <c r="F223" s="1065">
        <v>0.15</v>
      </c>
    </row>
    <row r="224" spans="1:6" ht="16" thickBot="1">
      <c r="A224" s="840" t="s">
        <v>528</v>
      </c>
      <c r="B224" s="834" t="s">
        <v>379</v>
      </c>
      <c r="C224" s="1064"/>
      <c r="D224" s="1077"/>
      <c r="E224" s="1077"/>
      <c r="F224" s="1065">
        <v>0.15</v>
      </c>
    </row>
    <row r="225" spans="1:6" ht="16" thickBot="1">
      <c r="A225" s="840" t="s">
        <v>528</v>
      </c>
      <c r="B225" s="834" t="s">
        <v>947</v>
      </c>
      <c r="C225" s="1064">
        <v>0.15</v>
      </c>
      <c r="D225" s="1064">
        <v>0.15</v>
      </c>
      <c r="E225" s="1064">
        <v>0.15</v>
      </c>
      <c r="F225" s="1065">
        <v>0.15</v>
      </c>
    </row>
    <row r="226" spans="1:6" ht="16" thickBot="1">
      <c r="A226" s="840" t="s">
        <v>528</v>
      </c>
      <c r="B226" s="834" t="s">
        <v>397</v>
      </c>
      <c r="C226" s="1064">
        <v>0.15</v>
      </c>
      <c r="D226" s="1064">
        <v>0.15</v>
      </c>
      <c r="E226" s="1064">
        <v>0.15</v>
      </c>
      <c r="F226" s="1065">
        <v>0.14799999999999999</v>
      </c>
    </row>
    <row r="227" spans="1:6" ht="16" thickBot="1">
      <c r="A227" s="840" t="s">
        <v>528</v>
      </c>
      <c r="B227" s="834" t="s">
        <v>948</v>
      </c>
      <c r="C227" s="1064">
        <v>0.15</v>
      </c>
      <c r="D227" s="1064">
        <v>0.15</v>
      </c>
      <c r="E227" s="1064">
        <v>0.15</v>
      </c>
      <c r="F227" s="1065">
        <v>0.15</v>
      </c>
    </row>
    <row r="228" spans="1:6" ht="16" thickBot="1">
      <c r="A228" s="840" t="s">
        <v>528</v>
      </c>
      <c r="B228" s="834" t="s">
        <v>412</v>
      </c>
      <c r="C228" s="1064">
        <v>0.15</v>
      </c>
      <c r="D228" s="1064">
        <v>0.15</v>
      </c>
      <c r="E228" s="1064">
        <v>0.15</v>
      </c>
      <c r="F228" s="1065">
        <v>0.15</v>
      </c>
    </row>
    <row r="229" spans="1:6" ht="16" thickBot="1">
      <c r="A229" s="840" t="s">
        <v>528</v>
      </c>
      <c r="B229" s="834" t="s">
        <v>419</v>
      </c>
      <c r="C229" s="1064">
        <v>0.15</v>
      </c>
      <c r="D229" s="1064">
        <v>0.15</v>
      </c>
      <c r="E229" s="1064">
        <v>0.15</v>
      </c>
      <c r="F229" s="1076"/>
    </row>
    <row r="230" spans="1:6" ht="16" thickBot="1">
      <c r="A230" s="840" t="s">
        <v>528</v>
      </c>
      <c r="B230" s="834" t="s">
        <v>426</v>
      </c>
      <c r="C230" s="1064">
        <v>0.14499999999999999</v>
      </c>
      <c r="D230" s="1064">
        <v>0.14499999999999999</v>
      </c>
      <c r="E230" s="1064">
        <v>0.14399999999999999</v>
      </c>
      <c r="F230" s="1076"/>
    </row>
    <row r="231" spans="1:6" ht="16" thickBot="1">
      <c r="A231" s="840" t="s">
        <v>528</v>
      </c>
      <c r="B231" s="834" t="s">
        <v>949</v>
      </c>
      <c r="C231" s="1064">
        <v>0.128</v>
      </c>
      <c r="D231" s="1064">
        <v>0.125</v>
      </c>
      <c r="E231" s="1064">
        <v>0.13200000000000001</v>
      </c>
      <c r="F231" s="1076"/>
    </row>
    <row r="232" spans="1:6" ht="16" thickBot="1">
      <c r="A232" s="840" t="s">
        <v>528</v>
      </c>
      <c r="B232" s="834" t="s">
        <v>950</v>
      </c>
      <c r="C232" s="1064">
        <v>0.14499999999999999</v>
      </c>
      <c r="D232" s="1064">
        <v>0.14399999999999999</v>
      </c>
      <c r="E232" s="1064">
        <v>0.14599999999999999</v>
      </c>
      <c r="F232" s="1065">
        <v>0.13800000000000001</v>
      </c>
    </row>
    <row r="233" spans="1:6" ht="16" thickBot="1">
      <c r="A233" s="840" t="s">
        <v>528</v>
      </c>
      <c r="B233" s="834" t="s">
        <v>951</v>
      </c>
      <c r="C233" s="1064">
        <v>0.14499999999999999</v>
      </c>
      <c r="D233" s="1064">
        <v>0.14299999999999999</v>
      </c>
      <c r="E233" s="1064">
        <v>0.14199999999999999</v>
      </c>
      <c r="F233" s="1076"/>
    </row>
    <row r="234" spans="1:6" ht="16" thickBot="1">
      <c r="A234" s="840" t="s">
        <v>528</v>
      </c>
      <c r="B234" s="834" t="s">
        <v>952</v>
      </c>
      <c r="C234" s="1064">
        <v>0.14000000000000001</v>
      </c>
      <c r="D234" s="1064">
        <v>0.14000000000000001</v>
      </c>
      <c r="E234" s="1064">
        <v>0.14399999999999999</v>
      </c>
      <c r="F234" s="1076"/>
    </row>
    <row r="235" spans="1:6" ht="16" thickBot="1">
      <c r="A235" s="840" t="s">
        <v>528</v>
      </c>
      <c r="B235" s="834" t="s">
        <v>953</v>
      </c>
      <c r="C235" s="1064">
        <v>0.14099999999999999</v>
      </c>
      <c r="D235" s="1064">
        <v>0.14199999999999999</v>
      </c>
      <c r="E235" s="1064">
        <v>0.14499999999999999</v>
      </c>
      <c r="F235" s="1065">
        <v>0.15</v>
      </c>
    </row>
    <row r="236" spans="1:6" ht="16" thickBot="1">
      <c r="A236" s="840" t="s">
        <v>528</v>
      </c>
      <c r="B236" s="834" t="s">
        <v>461</v>
      </c>
      <c r="C236" s="1077"/>
      <c r="D236" s="1077"/>
      <c r="E236" s="1077"/>
      <c r="F236" s="1065">
        <v>0.14299999999999999</v>
      </c>
    </row>
    <row r="237" spans="1:6" ht="31" thickBot="1">
      <c r="A237" s="840" t="s">
        <v>528</v>
      </c>
      <c r="B237" s="834" t="s">
        <v>954</v>
      </c>
      <c r="C237" s="1077"/>
      <c r="D237" s="1077"/>
      <c r="E237" s="1077"/>
      <c r="F237" s="1065">
        <v>0.05</v>
      </c>
    </row>
    <row r="238" spans="1:6" ht="31" thickBot="1">
      <c r="A238" s="840" t="s">
        <v>528</v>
      </c>
      <c r="B238" s="834" t="s">
        <v>955</v>
      </c>
      <c r="C238" s="1077"/>
      <c r="D238" s="1077"/>
      <c r="E238" s="1077"/>
      <c r="F238" s="1065">
        <v>0.05</v>
      </c>
    </row>
    <row r="239" spans="1:6" ht="31" thickBot="1">
      <c r="A239" s="840" t="s">
        <v>528</v>
      </c>
      <c r="B239" s="834" t="s">
        <v>956</v>
      </c>
      <c r="C239" s="1077"/>
      <c r="D239" s="1077"/>
      <c r="E239" s="1077"/>
      <c r="F239" s="1065">
        <v>0.05</v>
      </c>
    </row>
    <row r="240" spans="1:6" ht="31" thickBot="1">
      <c r="A240" s="840" t="s">
        <v>528</v>
      </c>
      <c r="B240" s="834" t="s">
        <v>957</v>
      </c>
      <c r="C240" s="1077"/>
      <c r="D240" s="1077"/>
      <c r="E240" s="1077"/>
      <c r="F240" s="1065">
        <v>0.05</v>
      </c>
    </row>
    <row r="241" spans="1:6" ht="31" thickBot="1">
      <c r="A241" s="840" t="s">
        <v>528</v>
      </c>
      <c r="B241" s="834" t="s">
        <v>958</v>
      </c>
      <c r="C241" s="1077"/>
      <c r="D241" s="1077"/>
      <c r="E241" s="1077"/>
      <c r="F241" s="1065">
        <v>0.05</v>
      </c>
    </row>
    <row r="242" spans="1:6" ht="31" thickBot="1">
      <c r="A242" s="840" t="s">
        <v>528</v>
      </c>
      <c r="B242" s="834" t="s">
        <v>959</v>
      </c>
      <c r="C242" s="1077"/>
      <c r="D242" s="1077"/>
      <c r="E242" s="1077"/>
      <c r="F242" s="1065">
        <v>0.05</v>
      </c>
    </row>
    <row r="243" spans="1:6" ht="31" thickBot="1">
      <c r="A243" s="840" t="s">
        <v>528</v>
      </c>
      <c r="B243" s="834" t="s">
        <v>960</v>
      </c>
      <c r="C243" s="1077"/>
      <c r="D243" s="1077"/>
      <c r="E243" s="1077"/>
      <c r="F243" s="1065">
        <v>0.05</v>
      </c>
    </row>
    <row r="244" spans="1:6" ht="31" thickBot="1">
      <c r="A244" s="850" t="s">
        <v>528</v>
      </c>
      <c r="B244" s="846" t="s">
        <v>961</v>
      </c>
      <c r="C244" s="1074"/>
      <c r="D244" s="1074"/>
      <c r="E244" s="1074"/>
      <c r="F244" s="1067">
        <v>0.05</v>
      </c>
    </row>
    <row r="245" spans="1:6" ht="16" thickBot="1">
      <c r="A245" s="840" t="s">
        <v>530</v>
      </c>
      <c r="B245" s="841" t="s">
        <v>962</v>
      </c>
      <c r="C245" s="1062">
        <v>0.15</v>
      </c>
      <c r="D245" s="1062">
        <v>0.15</v>
      </c>
      <c r="E245" s="1062">
        <v>0.15</v>
      </c>
      <c r="F245" s="1063">
        <v>0.14299999999999999</v>
      </c>
    </row>
    <row r="246" spans="1:6" ht="16" thickBot="1">
      <c r="A246" s="840" t="s">
        <v>530</v>
      </c>
      <c r="B246" s="834" t="s">
        <v>195</v>
      </c>
      <c r="C246" s="1064">
        <v>0.15</v>
      </c>
      <c r="D246" s="1064">
        <v>0.15</v>
      </c>
      <c r="E246" s="1064">
        <v>0.15</v>
      </c>
      <c r="F246" s="1065">
        <v>0.114</v>
      </c>
    </row>
    <row r="247" spans="1:6" ht="16" thickBot="1">
      <c r="A247" s="840" t="s">
        <v>530</v>
      </c>
      <c r="B247" s="834" t="s">
        <v>963</v>
      </c>
      <c r="C247" s="1064">
        <v>0.15</v>
      </c>
      <c r="D247" s="1064">
        <v>0.15</v>
      </c>
      <c r="E247" s="1064">
        <v>0.15</v>
      </c>
      <c r="F247" s="1065">
        <v>0.15</v>
      </c>
    </row>
    <row r="248" spans="1:6" ht="16" thickBot="1">
      <c r="A248" s="840" t="s">
        <v>530</v>
      </c>
      <c r="B248" s="834" t="s">
        <v>964</v>
      </c>
      <c r="C248" s="1064">
        <v>0.15</v>
      </c>
      <c r="D248" s="1064">
        <v>0.15</v>
      </c>
      <c r="E248" s="1064">
        <v>0.15</v>
      </c>
      <c r="F248" s="1065">
        <v>0.14000000000000001</v>
      </c>
    </row>
    <row r="249" spans="1:6" ht="16" thickBot="1">
      <c r="A249" s="840" t="s">
        <v>530</v>
      </c>
      <c r="B249" s="834" t="s">
        <v>965</v>
      </c>
      <c r="C249" s="1064">
        <v>0.15</v>
      </c>
      <c r="D249" s="1064">
        <v>0.14899999999999999</v>
      </c>
      <c r="E249" s="1064">
        <v>0.15</v>
      </c>
      <c r="F249" s="1065">
        <v>0.1</v>
      </c>
    </row>
    <row r="250" spans="1:6" ht="16" thickBot="1">
      <c r="A250" s="840" t="s">
        <v>530</v>
      </c>
      <c r="B250" s="834" t="s">
        <v>966</v>
      </c>
      <c r="C250" s="1064">
        <v>0.15</v>
      </c>
      <c r="D250" s="1064">
        <v>0.15</v>
      </c>
      <c r="E250" s="1064">
        <v>0.15</v>
      </c>
      <c r="F250" s="1065">
        <v>0.14399999999999999</v>
      </c>
    </row>
    <row r="251" spans="1:6" ht="16" thickBot="1">
      <c r="A251" s="840" t="s">
        <v>530</v>
      </c>
      <c r="B251" s="834" t="s">
        <v>255</v>
      </c>
      <c r="C251" s="1064">
        <v>0.15</v>
      </c>
      <c r="D251" s="1064">
        <v>0.15</v>
      </c>
      <c r="E251" s="1064">
        <v>0.15</v>
      </c>
      <c r="F251" s="1065">
        <v>0.14299999999999999</v>
      </c>
    </row>
    <row r="252" spans="1:6" ht="16" thickBot="1">
      <c r="A252" s="840" t="s">
        <v>530</v>
      </c>
      <c r="B252" s="834" t="s">
        <v>266</v>
      </c>
      <c r="C252" s="1064">
        <v>0.15</v>
      </c>
      <c r="D252" s="1064">
        <v>0.15</v>
      </c>
      <c r="E252" s="1064">
        <v>0.15</v>
      </c>
      <c r="F252" s="1065">
        <v>0.1</v>
      </c>
    </row>
    <row r="253" spans="1:6" ht="16" thickBot="1">
      <c r="A253" s="840" t="s">
        <v>530</v>
      </c>
      <c r="B253" s="834" t="s">
        <v>278</v>
      </c>
      <c r="C253" s="1064">
        <v>0.15</v>
      </c>
      <c r="D253" s="1064">
        <v>0.15</v>
      </c>
      <c r="E253" s="1064">
        <v>0.15</v>
      </c>
      <c r="F253" s="1065">
        <v>0.1</v>
      </c>
    </row>
    <row r="254" spans="1:6" ht="16" thickBot="1">
      <c r="A254" s="840" t="s">
        <v>530</v>
      </c>
      <c r="B254" s="834" t="s">
        <v>288</v>
      </c>
      <c r="C254" s="1077"/>
      <c r="D254" s="1077"/>
      <c r="E254" s="1077"/>
      <c r="F254" s="1065">
        <v>0.15</v>
      </c>
    </row>
    <row r="255" spans="1:6" ht="16" thickBot="1">
      <c r="A255" s="840" t="s">
        <v>530</v>
      </c>
      <c r="B255" s="834" t="s">
        <v>298</v>
      </c>
      <c r="C255" s="1077"/>
      <c r="D255" s="1077"/>
      <c r="E255" s="1077"/>
      <c r="F255" s="1065">
        <v>0.14299999999999999</v>
      </c>
    </row>
    <row r="256" spans="1:6" ht="16" thickBot="1">
      <c r="A256" s="840" t="s">
        <v>530</v>
      </c>
      <c r="B256" s="834" t="s">
        <v>967</v>
      </c>
      <c r="C256" s="1064">
        <v>0.14599999999999999</v>
      </c>
      <c r="D256" s="1064">
        <v>0.14699999999999999</v>
      </c>
      <c r="E256" s="1064">
        <v>0.15</v>
      </c>
      <c r="F256" s="1065">
        <v>0.13200000000000001</v>
      </c>
    </row>
    <row r="257" spans="1:6" ht="16" thickBot="1">
      <c r="A257" s="840" t="s">
        <v>530</v>
      </c>
      <c r="B257" s="834" t="s">
        <v>318</v>
      </c>
      <c r="C257" s="1064">
        <v>0.15</v>
      </c>
      <c r="D257" s="1064">
        <v>0.15</v>
      </c>
      <c r="E257" s="1064">
        <v>0.15</v>
      </c>
      <c r="F257" s="1065">
        <v>0.13900000000000001</v>
      </c>
    </row>
    <row r="258" spans="1:6" ht="16" thickBot="1">
      <c r="A258" s="840" t="s">
        <v>530</v>
      </c>
      <c r="B258" s="834" t="s">
        <v>329</v>
      </c>
      <c r="C258" s="1064">
        <v>0.15</v>
      </c>
      <c r="D258" s="1064">
        <v>0.15</v>
      </c>
      <c r="E258" s="1064">
        <v>0.15</v>
      </c>
      <c r="F258" s="1065">
        <v>0.13</v>
      </c>
    </row>
    <row r="259" spans="1:6" ht="16" thickBot="1">
      <c r="A259" s="840" t="s">
        <v>530</v>
      </c>
      <c r="B259" s="834" t="s">
        <v>968</v>
      </c>
      <c r="C259" s="1064">
        <v>0.14799999999999999</v>
      </c>
      <c r="D259" s="1064">
        <v>0.14899999999999999</v>
      </c>
      <c r="E259" s="1064">
        <v>0.15</v>
      </c>
      <c r="F259" s="1065">
        <v>0.13700000000000001</v>
      </c>
    </row>
    <row r="260" spans="1:6" ht="16" thickBot="1">
      <c r="A260" s="840" t="s">
        <v>530</v>
      </c>
      <c r="B260" s="834" t="s">
        <v>350</v>
      </c>
      <c r="C260" s="1064">
        <v>0.15</v>
      </c>
      <c r="D260" s="1064">
        <v>0.15</v>
      </c>
      <c r="E260" s="1064">
        <v>0.15</v>
      </c>
      <c r="F260" s="1065">
        <v>0.14199999999999999</v>
      </c>
    </row>
    <row r="261" spans="1:6" ht="16" thickBot="1">
      <c r="A261" s="840" t="s">
        <v>530</v>
      </c>
      <c r="B261" s="834" t="s">
        <v>360</v>
      </c>
      <c r="C261" s="1064">
        <v>0.15</v>
      </c>
      <c r="D261" s="1064">
        <v>0.15</v>
      </c>
      <c r="E261" s="1064">
        <v>0.14899999999999999</v>
      </c>
      <c r="F261" s="1065">
        <v>0.14799999999999999</v>
      </c>
    </row>
    <row r="262" spans="1:6" ht="16" thickBot="1">
      <c r="A262" s="840" t="s">
        <v>530</v>
      </c>
      <c r="B262" s="834" t="s">
        <v>370</v>
      </c>
      <c r="C262" s="1064">
        <v>0.15</v>
      </c>
      <c r="D262" s="1064">
        <v>0.15</v>
      </c>
      <c r="E262" s="1064">
        <v>0.15</v>
      </c>
      <c r="F262" s="1076"/>
    </row>
    <row r="263" spans="1:6" ht="16" thickBot="1">
      <c r="A263" s="840" t="s">
        <v>530</v>
      </c>
      <c r="B263" s="834" t="s">
        <v>969</v>
      </c>
      <c r="C263" s="1064">
        <v>0.14899999999999999</v>
      </c>
      <c r="D263" s="1064">
        <v>0.14899999999999999</v>
      </c>
      <c r="E263" s="1064">
        <v>0.15</v>
      </c>
      <c r="F263" s="1065">
        <v>0.13</v>
      </c>
    </row>
    <row r="264" spans="1:6" ht="16" thickBot="1">
      <c r="A264" s="840" t="s">
        <v>530</v>
      </c>
      <c r="B264" s="834" t="s">
        <v>389</v>
      </c>
      <c r="C264" s="1064">
        <v>0.14799999999999999</v>
      </c>
      <c r="D264" s="1064">
        <v>0.14699999999999999</v>
      </c>
      <c r="E264" s="1064">
        <v>0.15</v>
      </c>
      <c r="F264" s="1065">
        <v>7.8E-2</v>
      </c>
    </row>
    <row r="265" spans="1:6" ht="16" thickBot="1">
      <c r="A265" s="840" t="s">
        <v>530</v>
      </c>
      <c r="B265" s="834" t="s">
        <v>398</v>
      </c>
      <c r="C265" s="1064">
        <v>0.15</v>
      </c>
      <c r="D265" s="1064">
        <v>0.15</v>
      </c>
      <c r="E265" s="1064">
        <v>0.15</v>
      </c>
      <c r="F265" s="1065">
        <v>7.3999999999999996E-2</v>
      </c>
    </row>
    <row r="266" spans="1:6" ht="16" thickBot="1">
      <c r="A266" s="840" t="s">
        <v>530</v>
      </c>
      <c r="B266" s="834" t="s">
        <v>406</v>
      </c>
      <c r="C266" s="1064">
        <v>0.14699999999999999</v>
      </c>
      <c r="D266" s="1064">
        <v>0.14699999999999999</v>
      </c>
      <c r="E266" s="1064">
        <v>0.15</v>
      </c>
      <c r="F266" s="1065">
        <v>0.14299999999999999</v>
      </c>
    </row>
    <row r="267" spans="1:6" ht="16" thickBot="1">
      <c r="A267" s="840" t="s">
        <v>530</v>
      </c>
      <c r="B267" s="834" t="s">
        <v>413</v>
      </c>
      <c r="C267" s="1064">
        <v>0.14199999999999999</v>
      </c>
      <c r="D267" s="1064">
        <v>0.14299999999999999</v>
      </c>
      <c r="E267" s="1064">
        <v>0.15</v>
      </c>
      <c r="F267" s="1076"/>
    </row>
    <row r="268" spans="1:6" ht="16" thickBot="1">
      <c r="A268" s="840" t="s">
        <v>530</v>
      </c>
      <c r="B268" s="834" t="s">
        <v>970</v>
      </c>
      <c r="C268" s="1064">
        <v>0.15</v>
      </c>
      <c r="D268" s="1064">
        <v>0.15</v>
      </c>
      <c r="E268" s="1064">
        <v>0.15</v>
      </c>
      <c r="F268" s="1065">
        <v>0.13</v>
      </c>
    </row>
    <row r="269" spans="1:6" ht="16" thickBot="1">
      <c r="A269" s="840" t="s">
        <v>530</v>
      </c>
      <c r="B269" s="834" t="s">
        <v>427</v>
      </c>
      <c r="C269" s="1064">
        <v>0.15</v>
      </c>
      <c r="D269" s="1064">
        <v>0.15</v>
      </c>
      <c r="E269" s="1064">
        <v>0.15</v>
      </c>
      <c r="F269" s="1065">
        <v>0.14299999999999999</v>
      </c>
    </row>
    <row r="270" spans="1:6" ht="16" thickBot="1">
      <c r="A270" s="840" t="s">
        <v>530</v>
      </c>
      <c r="B270" s="834" t="s">
        <v>434</v>
      </c>
      <c r="C270" s="1064">
        <v>0.14499999999999999</v>
      </c>
      <c r="D270" s="1064">
        <v>0.14499999999999999</v>
      </c>
      <c r="E270" s="1064">
        <v>0.15</v>
      </c>
      <c r="F270" s="1065">
        <v>0.14699999999999999</v>
      </c>
    </row>
    <row r="271" spans="1:6" ht="16" thickBot="1">
      <c r="A271" s="840" t="s">
        <v>530</v>
      </c>
      <c r="B271" s="834" t="s">
        <v>441</v>
      </c>
      <c r="C271" s="1064">
        <v>0.15</v>
      </c>
      <c r="D271" s="1064">
        <v>0.15</v>
      </c>
      <c r="E271" s="1064">
        <v>0.15</v>
      </c>
      <c r="F271" s="1065">
        <v>0.13800000000000001</v>
      </c>
    </row>
    <row r="272" spans="1:6" ht="16" thickBot="1">
      <c r="A272" s="840" t="s">
        <v>530</v>
      </c>
      <c r="B272" s="834" t="s">
        <v>448</v>
      </c>
      <c r="C272" s="1077"/>
      <c r="D272" s="1077"/>
      <c r="E272" s="1077"/>
      <c r="F272" s="1065">
        <v>0.14000000000000001</v>
      </c>
    </row>
    <row r="273" spans="1:6" ht="16" thickBot="1">
      <c r="A273" s="840" t="s">
        <v>530</v>
      </c>
      <c r="B273" s="834" t="s">
        <v>971</v>
      </c>
      <c r="C273" s="1064">
        <v>0.14199999999999999</v>
      </c>
      <c r="D273" s="1064">
        <v>0.14299999999999999</v>
      </c>
      <c r="E273" s="1064">
        <v>0.15</v>
      </c>
      <c r="F273" s="1065">
        <v>0.1</v>
      </c>
    </row>
    <row r="274" spans="1:6" ht="16" thickBot="1">
      <c r="A274" s="840" t="s">
        <v>530</v>
      </c>
      <c r="B274" s="834" t="s">
        <v>972</v>
      </c>
      <c r="C274" s="1064">
        <v>0.14799999999999999</v>
      </c>
      <c r="D274" s="1064">
        <v>0.14799999999999999</v>
      </c>
      <c r="E274" s="1064">
        <v>0.15</v>
      </c>
      <c r="F274" s="1065">
        <v>6.7000000000000004E-2</v>
      </c>
    </row>
    <row r="275" spans="1:6" ht="16" thickBot="1">
      <c r="A275" s="840" t="s">
        <v>530</v>
      </c>
      <c r="B275" s="834" t="s">
        <v>973</v>
      </c>
      <c r="C275" s="1064">
        <v>0.15</v>
      </c>
      <c r="D275" s="1064">
        <v>0.15</v>
      </c>
      <c r="E275" s="1064">
        <v>0.15</v>
      </c>
      <c r="F275" s="1065">
        <v>0.15</v>
      </c>
    </row>
    <row r="276" spans="1:6" ht="16" thickBot="1">
      <c r="A276" s="840" t="s">
        <v>530</v>
      </c>
      <c r="B276" s="834" t="s">
        <v>974</v>
      </c>
      <c r="C276" s="1064">
        <v>0.14499999999999999</v>
      </c>
      <c r="D276" s="1064">
        <v>0.14299999999999999</v>
      </c>
      <c r="E276" s="1064">
        <v>0.15</v>
      </c>
      <c r="F276" s="1065">
        <v>5.8999999999999997E-2</v>
      </c>
    </row>
    <row r="277" spans="1:6" ht="16" thickBot="1">
      <c r="A277" s="840" t="s">
        <v>530</v>
      </c>
      <c r="B277" s="834" t="s">
        <v>975</v>
      </c>
      <c r="C277" s="1064">
        <v>0.15</v>
      </c>
      <c r="D277" s="1064">
        <v>0.15</v>
      </c>
      <c r="E277" s="1064">
        <v>0.15</v>
      </c>
      <c r="F277" s="1065">
        <v>0.121</v>
      </c>
    </row>
    <row r="278" spans="1:6" ht="16" thickBot="1">
      <c r="A278" s="840" t="s">
        <v>530</v>
      </c>
      <c r="B278" s="834" t="s">
        <v>976</v>
      </c>
      <c r="C278" s="1064">
        <v>0.15</v>
      </c>
      <c r="D278" s="1064">
        <v>0.15</v>
      </c>
      <c r="E278" s="1064">
        <v>0.15</v>
      </c>
      <c r="F278" s="1065">
        <v>0.13800000000000001</v>
      </c>
    </row>
    <row r="279" spans="1:6" ht="31" thickBot="1">
      <c r="A279" s="840" t="s">
        <v>530</v>
      </c>
      <c r="B279" s="834" t="s">
        <v>977</v>
      </c>
      <c r="C279" s="1077"/>
      <c r="D279" s="1077"/>
      <c r="E279" s="1077"/>
      <c r="F279" s="1065">
        <v>0.05</v>
      </c>
    </row>
    <row r="280" spans="1:6" ht="31" thickBot="1">
      <c r="A280" s="840" t="s">
        <v>530</v>
      </c>
      <c r="B280" s="834" t="s">
        <v>978</v>
      </c>
      <c r="C280" s="1077"/>
      <c r="D280" s="1077"/>
      <c r="E280" s="1077"/>
      <c r="F280" s="1065">
        <v>0.05</v>
      </c>
    </row>
    <row r="281" spans="1:6" ht="31" thickBot="1">
      <c r="A281" s="840" t="s">
        <v>530</v>
      </c>
      <c r="B281" s="834" t="s">
        <v>979</v>
      </c>
      <c r="C281" s="1077"/>
      <c r="D281" s="1077"/>
      <c r="E281" s="1077"/>
      <c r="F281" s="1065">
        <v>0.05</v>
      </c>
    </row>
    <row r="282" spans="1:6" ht="31" thickBot="1">
      <c r="A282" s="840" t="s">
        <v>530</v>
      </c>
      <c r="B282" s="834" t="s">
        <v>980</v>
      </c>
      <c r="C282" s="1077"/>
      <c r="D282" s="1077"/>
      <c r="E282" s="1077"/>
      <c r="F282" s="1065">
        <v>0.05</v>
      </c>
    </row>
    <row r="283" spans="1:6" ht="31" thickBot="1">
      <c r="A283" s="840" t="s">
        <v>530</v>
      </c>
      <c r="B283" s="834" t="s">
        <v>981</v>
      </c>
      <c r="C283" s="1077"/>
      <c r="D283" s="1077"/>
      <c r="E283" s="1077"/>
      <c r="F283" s="1065">
        <v>0.05</v>
      </c>
    </row>
    <row r="284" spans="1:6" ht="31" thickBot="1">
      <c r="A284" s="840" t="s">
        <v>530</v>
      </c>
      <c r="B284" s="834" t="s">
        <v>982</v>
      </c>
      <c r="C284" s="1077"/>
      <c r="D284" s="1077"/>
      <c r="E284" s="1077"/>
      <c r="F284" s="1065">
        <v>0.05</v>
      </c>
    </row>
    <row r="285" spans="1:6" ht="31" thickBot="1">
      <c r="A285" s="840" t="s">
        <v>530</v>
      </c>
      <c r="B285" s="834" t="s">
        <v>983</v>
      </c>
      <c r="C285" s="1077"/>
      <c r="D285" s="1077"/>
      <c r="E285" s="1077"/>
      <c r="F285" s="1065">
        <v>0.05</v>
      </c>
    </row>
    <row r="286" spans="1:6" ht="31" thickBot="1">
      <c r="A286" s="840" t="s">
        <v>530</v>
      </c>
      <c r="B286" s="834" t="s">
        <v>984</v>
      </c>
      <c r="C286" s="1077"/>
      <c r="D286" s="1077"/>
      <c r="E286" s="1077"/>
      <c r="F286" s="1065">
        <v>0.05</v>
      </c>
    </row>
    <row r="287" spans="1:6" ht="31" thickBot="1">
      <c r="A287" s="840" t="s">
        <v>530</v>
      </c>
      <c r="B287" s="834" t="s">
        <v>985</v>
      </c>
      <c r="C287" s="1077"/>
      <c r="D287" s="1077"/>
      <c r="E287" s="1077"/>
      <c r="F287" s="1065">
        <v>0.05</v>
      </c>
    </row>
    <row r="288" spans="1:6" ht="31" thickBot="1">
      <c r="A288" s="840" t="s">
        <v>530</v>
      </c>
      <c r="B288" s="834" t="s">
        <v>986</v>
      </c>
      <c r="C288" s="1077"/>
      <c r="D288" s="1077"/>
      <c r="E288" s="1077"/>
      <c r="F288" s="1065">
        <v>0.05</v>
      </c>
    </row>
    <row r="289" spans="1:6" ht="31" thickBot="1">
      <c r="A289" s="850" t="s">
        <v>530</v>
      </c>
      <c r="B289" s="846" t="s">
        <v>987</v>
      </c>
      <c r="C289" s="1074"/>
      <c r="D289" s="1074"/>
      <c r="E289" s="1074"/>
      <c r="F289" s="1067">
        <v>0.05</v>
      </c>
    </row>
    <row r="290" spans="1:6" ht="16" thickBot="1">
      <c r="A290" s="840" t="s">
        <v>534</v>
      </c>
      <c r="B290" s="841" t="s">
        <v>988</v>
      </c>
      <c r="C290" s="1062">
        <v>0.15</v>
      </c>
      <c r="D290" s="1062">
        <v>0.15</v>
      </c>
      <c r="E290" s="1062">
        <v>0.15</v>
      </c>
      <c r="F290" s="1079"/>
    </row>
    <row r="291" spans="1:6" ht="16" thickBot="1">
      <c r="A291" s="840" t="s">
        <v>534</v>
      </c>
      <c r="B291" s="834" t="s">
        <v>196</v>
      </c>
      <c r="C291" s="1064">
        <v>0.15</v>
      </c>
      <c r="D291" s="1064">
        <v>0.15</v>
      </c>
      <c r="E291" s="1064">
        <v>0.15</v>
      </c>
      <c r="F291" s="1076"/>
    </row>
    <row r="292" spans="1:6" ht="16" thickBot="1">
      <c r="A292" s="840" t="s">
        <v>534</v>
      </c>
      <c r="B292" s="834" t="s">
        <v>989</v>
      </c>
      <c r="C292" s="1064">
        <v>0.15</v>
      </c>
      <c r="D292" s="1064">
        <v>0.15</v>
      </c>
      <c r="E292" s="1064">
        <v>0.15</v>
      </c>
      <c r="F292" s="1065">
        <v>0.14699999999999999</v>
      </c>
    </row>
    <row r="293" spans="1:6" ht="16" thickBot="1">
      <c r="A293" s="840" t="s">
        <v>534</v>
      </c>
      <c r="B293" s="834" t="s">
        <v>990</v>
      </c>
      <c r="C293" s="1077"/>
      <c r="D293" s="1077"/>
      <c r="E293" s="1077"/>
      <c r="F293" s="1065">
        <v>0.1</v>
      </c>
    </row>
    <row r="294" spans="1:6" ht="16" thickBot="1">
      <c r="A294" s="840" t="s">
        <v>534</v>
      </c>
      <c r="B294" s="834" t="s">
        <v>991</v>
      </c>
      <c r="C294" s="1064">
        <v>0.15</v>
      </c>
      <c r="D294" s="1064">
        <v>0.15</v>
      </c>
      <c r="E294" s="1064">
        <v>0.15</v>
      </c>
      <c r="F294" s="1065">
        <v>0.15</v>
      </c>
    </row>
    <row r="295" spans="1:6" ht="16" thickBot="1">
      <c r="A295" s="840" t="s">
        <v>534</v>
      </c>
      <c r="B295" s="834" t="s">
        <v>234</v>
      </c>
      <c r="C295" s="1064">
        <v>0.15</v>
      </c>
      <c r="D295" s="1064">
        <v>0.15</v>
      </c>
      <c r="E295" s="1064">
        <v>0.15</v>
      </c>
      <c r="F295" s="1065">
        <v>0.15</v>
      </c>
    </row>
    <row r="296" spans="1:6" ht="16" thickBot="1">
      <c r="A296" s="840" t="s">
        <v>534</v>
      </c>
      <c r="B296" s="834" t="s">
        <v>992</v>
      </c>
      <c r="C296" s="1064">
        <v>0.15</v>
      </c>
      <c r="D296" s="1064">
        <v>0.15</v>
      </c>
      <c r="E296" s="1064">
        <v>0.15</v>
      </c>
      <c r="F296" s="1065">
        <v>0.15</v>
      </c>
    </row>
    <row r="297" spans="1:6" ht="16" thickBot="1">
      <c r="A297" s="840" t="s">
        <v>534</v>
      </c>
      <c r="B297" s="834" t="s">
        <v>993</v>
      </c>
      <c r="C297" s="1064">
        <v>0.14799999999999999</v>
      </c>
      <c r="D297" s="1064">
        <v>0.14899999999999999</v>
      </c>
      <c r="E297" s="1064">
        <v>0.15</v>
      </c>
      <c r="F297" s="1065">
        <v>0.13700000000000001</v>
      </c>
    </row>
    <row r="298" spans="1:6" ht="16" thickBot="1">
      <c r="A298" s="840" t="s">
        <v>534</v>
      </c>
      <c r="B298" s="834" t="s">
        <v>267</v>
      </c>
      <c r="C298" s="1064">
        <v>0.13400000000000001</v>
      </c>
      <c r="D298" s="1064">
        <v>0.13400000000000001</v>
      </c>
      <c r="E298" s="1064">
        <v>0.14499999999999999</v>
      </c>
      <c r="F298" s="1065">
        <v>0.14799999999999999</v>
      </c>
    </row>
    <row r="299" spans="1:6" ht="16" thickBot="1">
      <c r="A299" s="840" t="s">
        <v>534</v>
      </c>
      <c r="B299" s="834" t="s">
        <v>279</v>
      </c>
      <c r="C299" s="1064">
        <v>0.15</v>
      </c>
      <c r="D299" s="1064">
        <v>0.15</v>
      </c>
      <c r="E299" s="1064">
        <v>0.15</v>
      </c>
      <c r="F299" s="1076"/>
    </row>
    <row r="300" spans="1:6" ht="16" thickBot="1">
      <c r="A300" s="840" t="s">
        <v>534</v>
      </c>
      <c r="B300" s="834" t="s">
        <v>994</v>
      </c>
      <c r="C300" s="1064">
        <v>0.15</v>
      </c>
      <c r="D300" s="1064">
        <v>0.15</v>
      </c>
      <c r="E300" s="1064">
        <v>0.15</v>
      </c>
      <c r="F300" s="1065">
        <v>0.15</v>
      </c>
    </row>
    <row r="301" spans="1:6" ht="16" thickBot="1">
      <c r="A301" s="840" t="s">
        <v>534</v>
      </c>
      <c r="B301" s="834" t="s">
        <v>299</v>
      </c>
      <c r="C301" s="1064">
        <v>0.15</v>
      </c>
      <c r="D301" s="1064">
        <v>0.15</v>
      </c>
      <c r="E301" s="1064">
        <v>0.15</v>
      </c>
      <c r="F301" s="1076"/>
    </row>
    <row r="302" spans="1:6" ht="16" thickBot="1">
      <c r="A302" s="840" t="s">
        <v>534</v>
      </c>
      <c r="B302" s="834" t="s">
        <v>995</v>
      </c>
      <c r="C302" s="1064">
        <v>0.15</v>
      </c>
      <c r="D302" s="1064">
        <v>0.15</v>
      </c>
      <c r="E302" s="1064">
        <v>0.15</v>
      </c>
      <c r="F302" s="1065">
        <v>0.15</v>
      </c>
    </row>
    <row r="303" spans="1:6" ht="16" thickBot="1">
      <c r="A303" s="840" t="s">
        <v>534</v>
      </c>
      <c r="B303" s="834" t="s">
        <v>319</v>
      </c>
      <c r="C303" s="1064">
        <v>0.15</v>
      </c>
      <c r="D303" s="1064">
        <v>0.15</v>
      </c>
      <c r="E303" s="1064">
        <v>0.15</v>
      </c>
      <c r="F303" s="1065">
        <v>0.15</v>
      </c>
    </row>
    <row r="304" spans="1:6" ht="16" thickBot="1">
      <c r="A304" s="840" t="s">
        <v>534</v>
      </c>
      <c r="B304" s="834" t="s">
        <v>330</v>
      </c>
      <c r="C304" s="1064">
        <v>0.15</v>
      </c>
      <c r="D304" s="1064">
        <v>0.15</v>
      </c>
      <c r="E304" s="1064">
        <v>0.15</v>
      </c>
      <c r="F304" s="1076"/>
    </row>
    <row r="305" spans="1:6" ht="16" thickBot="1">
      <c r="A305" s="840" t="s">
        <v>534</v>
      </c>
      <c r="B305" s="834" t="s">
        <v>996</v>
      </c>
      <c r="C305" s="1064">
        <v>0.15</v>
      </c>
      <c r="D305" s="1064">
        <v>0.15</v>
      </c>
      <c r="E305" s="1064">
        <v>0.15</v>
      </c>
      <c r="F305" s="1065">
        <v>0.14000000000000001</v>
      </c>
    </row>
    <row r="306" spans="1:6" ht="16" thickBot="1">
      <c r="A306" s="840" t="s">
        <v>534</v>
      </c>
      <c r="B306" s="834" t="s">
        <v>351</v>
      </c>
      <c r="C306" s="1064">
        <v>0.15</v>
      </c>
      <c r="D306" s="1064">
        <v>0.15</v>
      </c>
      <c r="E306" s="1064">
        <v>0.15</v>
      </c>
      <c r="F306" s="1076"/>
    </row>
    <row r="307" spans="1:6" ht="16" thickBot="1">
      <c r="A307" s="840" t="s">
        <v>534</v>
      </c>
      <c r="B307" s="834" t="s">
        <v>997</v>
      </c>
      <c r="C307" s="1064">
        <v>0.15</v>
      </c>
      <c r="D307" s="1064">
        <v>0.15</v>
      </c>
      <c r="E307" s="1064">
        <v>0.15</v>
      </c>
      <c r="F307" s="1065">
        <v>0.14299999999999999</v>
      </c>
    </row>
    <row r="308" spans="1:6" ht="16" thickBot="1">
      <c r="A308" s="840" t="s">
        <v>534</v>
      </c>
      <c r="B308" s="834" t="s">
        <v>371</v>
      </c>
      <c r="C308" s="1064">
        <v>0.15</v>
      </c>
      <c r="D308" s="1064">
        <v>0.15</v>
      </c>
      <c r="E308" s="1064">
        <v>0.15</v>
      </c>
      <c r="F308" s="1065">
        <v>0.15</v>
      </c>
    </row>
    <row r="309" spans="1:6" ht="16" thickBot="1">
      <c r="A309" s="840" t="s">
        <v>534</v>
      </c>
      <c r="B309" s="834" t="s">
        <v>381</v>
      </c>
      <c r="C309" s="1064">
        <v>0.15</v>
      </c>
      <c r="D309" s="1064">
        <v>0.15</v>
      </c>
      <c r="E309" s="1064">
        <v>0.15</v>
      </c>
      <c r="F309" s="1076"/>
    </row>
    <row r="310" spans="1:6" ht="16" thickBot="1">
      <c r="A310" s="840" t="s">
        <v>534</v>
      </c>
      <c r="B310" s="834" t="s">
        <v>998</v>
      </c>
      <c r="C310" s="1064">
        <v>0.15</v>
      </c>
      <c r="D310" s="1064">
        <v>0.15</v>
      </c>
      <c r="E310" s="1064">
        <v>0.15</v>
      </c>
      <c r="F310" s="1065">
        <v>0.13700000000000001</v>
      </c>
    </row>
    <row r="311" spans="1:6" ht="16" thickBot="1">
      <c r="A311" s="840" t="s">
        <v>534</v>
      </c>
      <c r="B311" s="834" t="s">
        <v>999</v>
      </c>
      <c r="C311" s="1064">
        <v>0.15</v>
      </c>
      <c r="D311" s="1064">
        <v>0.15</v>
      </c>
      <c r="E311" s="1064">
        <v>0.15</v>
      </c>
      <c r="F311" s="1065">
        <v>0.15</v>
      </c>
    </row>
    <row r="312" spans="1:6" ht="16" thickBot="1">
      <c r="A312" s="840" t="s">
        <v>534</v>
      </c>
      <c r="B312" s="834" t="s">
        <v>407</v>
      </c>
      <c r="C312" s="1064">
        <v>0.15</v>
      </c>
      <c r="D312" s="1064">
        <v>0.15</v>
      </c>
      <c r="E312" s="1064">
        <v>0.15</v>
      </c>
      <c r="F312" s="1065">
        <v>0.1</v>
      </c>
    </row>
    <row r="313" spans="1:6" ht="16" thickBot="1">
      <c r="A313" s="840" t="s">
        <v>534</v>
      </c>
      <c r="B313" s="834" t="s">
        <v>1000</v>
      </c>
      <c r="C313" s="1064">
        <v>0.15</v>
      </c>
      <c r="D313" s="1064">
        <v>0.15</v>
      </c>
      <c r="E313" s="1064">
        <v>0.15</v>
      </c>
      <c r="F313" s="1065">
        <v>0.15</v>
      </c>
    </row>
    <row r="314" spans="1:6" ht="31" thickBot="1">
      <c r="A314" s="840" t="s">
        <v>534</v>
      </c>
      <c r="B314" s="834" t="s">
        <v>1001</v>
      </c>
      <c r="C314" s="1077"/>
      <c r="D314" s="1077"/>
      <c r="E314" s="1077"/>
      <c r="F314" s="1065">
        <v>0.05</v>
      </c>
    </row>
    <row r="315" spans="1:6" ht="31" thickBot="1">
      <c r="A315" s="840" t="s">
        <v>534</v>
      </c>
      <c r="B315" s="834" t="s">
        <v>1002</v>
      </c>
      <c r="C315" s="1077"/>
      <c r="D315" s="1077"/>
      <c r="E315" s="1077"/>
      <c r="F315" s="1065">
        <v>0.05</v>
      </c>
    </row>
    <row r="316" spans="1:6" ht="31" thickBot="1">
      <c r="A316" s="850" t="s">
        <v>534</v>
      </c>
      <c r="B316" s="846" t="s">
        <v>1003</v>
      </c>
      <c r="C316" s="1074"/>
      <c r="D316" s="1074"/>
      <c r="E316" s="1074"/>
      <c r="F316" s="1067">
        <v>0.05</v>
      </c>
    </row>
    <row r="317" spans="1:6" ht="16" thickBot="1">
      <c r="A317" s="840" t="s">
        <v>1004</v>
      </c>
      <c r="B317" s="841" t="s">
        <v>1005</v>
      </c>
      <c r="C317" s="1062">
        <v>0.15</v>
      </c>
      <c r="D317" s="1062">
        <v>0.15</v>
      </c>
      <c r="E317" s="1062">
        <v>0.15</v>
      </c>
      <c r="F317" s="1063">
        <v>0.15</v>
      </c>
    </row>
    <row r="318" spans="1:6" ht="16" thickBot="1">
      <c r="A318" s="840" t="s">
        <v>1004</v>
      </c>
      <c r="B318" s="834" t="s">
        <v>1006</v>
      </c>
      <c r="C318" s="1064">
        <v>0.107</v>
      </c>
      <c r="D318" s="1064">
        <v>0.11</v>
      </c>
      <c r="E318" s="1064">
        <v>0.112</v>
      </c>
      <c r="F318" s="1076"/>
    </row>
    <row r="319" spans="1:6" ht="16" thickBot="1">
      <c r="A319" s="840" t="s">
        <v>1004</v>
      </c>
      <c r="B319" s="834" t="s">
        <v>1007</v>
      </c>
      <c r="C319" s="1064">
        <v>0.15</v>
      </c>
      <c r="D319" s="1064">
        <v>0.15</v>
      </c>
      <c r="E319" s="1064">
        <v>0.15</v>
      </c>
      <c r="F319" s="1065">
        <v>0.15</v>
      </c>
    </row>
    <row r="320" spans="1:6" ht="16" thickBot="1">
      <c r="A320" s="840" t="s">
        <v>1004</v>
      </c>
      <c r="B320" s="834" t="s">
        <v>223</v>
      </c>
      <c r="C320" s="1064">
        <v>0.15</v>
      </c>
      <c r="D320" s="1064">
        <v>0.15</v>
      </c>
      <c r="E320" s="1064">
        <v>0.15</v>
      </c>
      <c r="F320" s="1076"/>
    </row>
    <row r="321" spans="1:6" ht="16" thickBot="1">
      <c r="A321" s="840" t="s">
        <v>1004</v>
      </c>
      <c r="B321" s="834" t="s">
        <v>1008</v>
      </c>
      <c r="C321" s="1064">
        <v>0.15</v>
      </c>
      <c r="D321" s="1064">
        <v>0.15</v>
      </c>
      <c r="E321" s="1064">
        <v>0.15</v>
      </c>
      <c r="F321" s="1076"/>
    </row>
    <row r="322" spans="1:6" ht="16" thickBot="1">
      <c r="A322" s="840" t="s">
        <v>1004</v>
      </c>
      <c r="B322" s="834" t="s">
        <v>1009</v>
      </c>
      <c r="C322" s="1064">
        <v>0.15</v>
      </c>
      <c r="D322" s="1064">
        <v>0.15</v>
      </c>
      <c r="E322" s="1064">
        <v>0.15</v>
      </c>
      <c r="F322" s="1065">
        <v>0.15</v>
      </c>
    </row>
    <row r="323" spans="1:6" ht="16" thickBot="1">
      <c r="A323" s="840" t="s">
        <v>1004</v>
      </c>
      <c r="B323" s="834" t="s">
        <v>1010</v>
      </c>
      <c r="C323" s="1064">
        <v>0.15</v>
      </c>
      <c r="D323" s="1064">
        <v>0.15</v>
      </c>
      <c r="E323" s="1064">
        <v>0.15</v>
      </c>
      <c r="F323" s="1076"/>
    </row>
    <row r="324" spans="1:6" ht="16" thickBot="1">
      <c r="A324" s="840" t="s">
        <v>1004</v>
      </c>
      <c r="B324" s="834" t="s">
        <v>1011</v>
      </c>
      <c r="C324" s="1064">
        <v>0.15</v>
      </c>
      <c r="D324" s="1064">
        <v>0.15</v>
      </c>
      <c r="E324" s="1064">
        <v>0.15</v>
      </c>
      <c r="F324" s="1076"/>
    </row>
    <row r="325" spans="1:6" ht="16" thickBot="1">
      <c r="A325" s="840" t="s">
        <v>1004</v>
      </c>
      <c r="B325" s="834" t="s">
        <v>1012</v>
      </c>
      <c r="C325" s="1064">
        <v>0.15</v>
      </c>
      <c r="D325" s="1064">
        <v>0.15</v>
      </c>
      <c r="E325" s="1064">
        <v>0.15</v>
      </c>
      <c r="F325" s="1065">
        <v>0.14699999999999999</v>
      </c>
    </row>
    <row r="326" spans="1:6" ht="16" thickBot="1">
      <c r="A326" s="840" t="s">
        <v>1004</v>
      </c>
      <c r="B326" s="834" t="s">
        <v>290</v>
      </c>
      <c r="C326" s="1064">
        <v>0.15</v>
      </c>
      <c r="D326" s="1064">
        <v>0.15</v>
      </c>
      <c r="E326" s="1064">
        <v>0.15</v>
      </c>
      <c r="F326" s="1076"/>
    </row>
    <row r="327" spans="1:6" ht="16" thickBot="1">
      <c r="A327" s="840" t="s">
        <v>1004</v>
      </c>
      <c r="B327" s="834" t="s">
        <v>1013</v>
      </c>
      <c r="C327" s="1064">
        <v>0.15</v>
      </c>
      <c r="D327" s="1064">
        <v>0.15</v>
      </c>
      <c r="E327" s="1064">
        <v>0.15</v>
      </c>
      <c r="F327" s="1065">
        <v>0.15</v>
      </c>
    </row>
    <row r="328" spans="1:6" ht="16" thickBot="1">
      <c r="A328" s="840" t="s">
        <v>1004</v>
      </c>
      <c r="B328" s="834" t="s">
        <v>310</v>
      </c>
      <c r="C328" s="1064">
        <v>0.15</v>
      </c>
      <c r="D328" s="1064">
        <v>0.15</v>
      </c>
      <c r="E328" s="1064">
        <v>0.15</v>
      </c>
      <c r="F328" s="1065">
        <v>0.14099999999999999</v>
      </c>
    </row>
    <row r="329" spans="1:6" ht="16" thickBot="1">
      <c r="A329" s="840" t="s">
        <v>1004</v>
      </c>
      <c r="B329" s="834" t="s">
        <v>320</v>
      </c>
      <c r="C329" s="1064">
        <v>0.15</v>
      </c>
      <c r="D329" s="1064">
        <v>0.15</v>
      </c>
      <c r="E329" s="1064">
        <v>0.15</v>
      </c>
      <c r="F329" s="1065">
        <v>0.15</v>
      </c>
    </row>
    <row r="330" spans="1:6" ht="16" thickBot="1">
      <c r="A330" s="840" t="s">
        <v>1004</v>
      </c>
      <c r="B330" s="834" t="s">
        <v>331</v>
      </c>
      <c r="C330" s="1064">
        <v>0.15</v>
      </c>
      <c r="D330" s="1064">
        <v>0.15</v>
      </c>
      <c r="E330" s="1064">
        <v>0.15</v>
      </c>
      <c r="F330" s="1076"/>
    </row>
    <row r="331" spans="1:6" ht="16" thickBot="1">
      <c r="A331" s="840" t="s">
        <v>1004</v>
      </c>
      <c r="B331" s="834" t="s">
        <v>1014</v>
      </c>
      <c r="C331" s="1064">
        <v>0.15</v>
      </c>
      <c r="D331" s="1064">
        <v>0.15</v>
      </c>
      <c r="E331" s="1064">
        <v>0.15</v>
      </c>
      <c r="F331" s="1065">
        <v>0.15</v>
      </c>
    </row>
    <row r="332" spans="1:6" ht="16" thickBot="1">
      <c r="A332" s="840" t="s">
        <v>1004</v>
      </c>
      <c r="B332" s="834" t="s">
        <v>352</v>
      </c>
      <c r="C332" s="1064">
        <v>0.15</v>
      </c>
      <c r="D332" s="1064">
        <v>0.15</v>
      </c>
      <c r="E332" s="1064">
        <v>0.15</v>
      </c>
      <c r="F332" s="1065">
        <v>0.15</v>
      </c>
    </row>
    <row r="333" spans="1:6" ht="16" thickBot="1">
      <c r="A333" s="840" t="s">
        <v>1004</v>
      </c>
      <c r="B333" s="834" t="s">
        <v>1015</v>
      </c>
      <c r="C333" s="1064">
        <v>0.15</v>
      </c>
      <c r="D333" s="1064">
        <v>0.15</v>
      </c>
      <c r="E333" s="1064">
        <v>0.15</v>
      </c>
      <c r="F333" s="1065">
        <v>0.14099999999999999</v>
      </c>
    </row>
    <row r="334" spans="1:6" ht="16" thickBot="1">
      <c r="A334" s="840" t="s">
        <v>1004</v>
      </c>
      <c r="B334" s="834" t="s">
        <v>372</v>
      </c>
      <c r="C334" s="1064">
        <v>0.15</v>
      </c>
      <c r="D334" s="1064">
        <v>0.15</v>
      </c>
      <c r="E334" s="1064">
        <v>0.15</v>
      </c>
      <c r="F334" s="1065">
        <v>0.15</v>
      </c>
    </row>
    <row r="335" spans="1:6" ht="16" thickBot="1">
      <c r="A335" s="840" t="s">
        <v>1004</v>
      </c>
      <c r="B335" s="834" t="s">
        <v>382</v>
      </c>
      <c r="C335" s="1064">
        <v>0.15</v>
      </c>
      <c r="D335" s="1064">
        <v>0.15</v>
      </c>
      <c r="E335" s="1064">
        <v>0.15</v>
      </c>
      <c r="F335" s="1076"/>
    </row>
    <row r="336" spans="1:6" ht="16" thickBot="1">
      <c r="A336" s="840" t="s">
        <v>1004</v>
      </c>
      <c r="B336" s="834" t="s">
        <v>1016</v>
      </c>
      <c r="C336" s="1064">
        <v>0.15</v>
      </c>
      <c r="D336" s="1064">
        <v>0.15</v>
      </c>
      <c r="E336" s="1064">
        <v>0.15</v>
      </c>
      <c r="F336" s="1065">
        <v>0.11799999999999999</v>
      </c>
    </row>
    <row r="337" spans="1:6" ht="16" thickBot="1">
      <c r="A337" s="850" t="s">
        <v>1004</v>
      </c>
      <c r="B337" s="846" t="s">
        <v>400</v>
      </c>
      <c r="C337" s="1074"/>
      <c r="D337" s="1074"/>
      <c r="E337" s="1074"/>
      <c r="F337" s="1067">
        <v>0.14299999999999999</v>
      </c>
    </row>
    <row r="338" spans="1:6" ht="16" thickBot="1">
      <c r="A338" s="840" t="s">
        <v>1017</v>
      </c>
      <c r="B338" s="841" t="s">
        <v>1018</v>
      </c>
      <c r="C338" s="1062">
        <v>0.15</v>
      </c>
      <c r="D338" s="1062">
        <v>0.15</v>
      </c>
      <c r="E338" s="1062">
        <v>0.15</v>
      </c>
      <c r="F338" s="1079"/>
    </row>
    <row r="339" spans="1:6" ht="16" thickBot="1">
      <c r="A339" s="840" t="s">
        <v>1017</v>
      </c>
      <c r="B339" s="834" t="s">
        <v>1019</v>
      </c>
      <c r="C339" s="1064">
        <v>0.15</v>
      </c>
      <c r="D339" s="1064">
        <v>0.15</v>
      </c>
      <c r="E339" s="1064">
        <v>0.15</v>
      </c>
      <c r="F339" s="1076"/>
    </row>
    <row r="340" spans="1:6" ht="16" thickBot="1">
      <c r="A340" s="840" t="s">
        <v>1017</v>
      </c>
      <c r="B340" s="834" t="s">
        <v>1020</v>
      </c>
      <c r="C340" s="1064">
        <v>0.15</v>
      </c>
      <c r="D340" s="1064">
        <v>0.15</v>
      </c>
      <c r="E340" s="1064">
        <v>0.15</v>
      </c>
      <c r="F340" s="1076"/>
    </row>
    <row r="341" spans="1:6" ht="16" thickBot="1">
      <c r="A341" s="840" t="s">
        <v>1017</v>
      </c>
      <c r="B341" s="834" t="s">
        <v>1021</v>
      </c>
      <c r="C341" s="1064">
        <v>0.15</v>
      </c>
      <c r="D341" s="1064">
        <v>0.15</v>
      </c>
      <c r="E341" s="1064">
        <v>0.15</v>
      </c>
      <c r="F341" s="1065">
        <v>0.15</v>
      </c>
    </row>
    <row r="342" spans="1:6" ht="16" thickBot="1">
      <c r="A342" s="840" t="s">
        <v>1017</v>
      </c>
      <c r="B342" s="834" t="s">
        <v>1022</v>
      </c>
      <c r="C342" s="1064">
        <v>0.15</v>
      </c>
      <c r="D342" s="1064">
        <v>0.15</v>
      </c>
      <c r="E342" s="1064">
        <v>0.15</v>
      </c>
      <c r="F342" s="1065">
        <v>0.15</v>
      </c>
    </row>
    <row r="343" spans="1:6" ht="16" thickBot="1">
      <c r="A343" s="840" t="s">
        <v>1017</v>
      </c>
      <c r="B343" s="834" t="s">
        <v>1023</v>
      </c>
      <c r="C343" s="1064">
        <v>0.15</v>
      </c>
      <c r="D343" s="1064">
        <v>0.15</v>
      </c>
      <c r="E343" s="1064">
        <v>0.15</v>
      </c>
      <c r="F343" s="1065">
        <v>0.15</v>
      </c>
    </row>
    <row r="344" spans="1:6" ht="16"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baseColWidth="10" defaultColWidth="8.83203125" defaultRowHeight="14"/>
  <cols>
    <col min="1" max="1" width="4.83203125" style="1637" customWidth="1"/>
    <col min="2" max="2" width="13.1640625" style="1643" customWidth="1"/>
    <col min="3" max="3" width="15.6640625" style="1643" customWidth="1"/>
    <col min="4" max="4" width="9.33203125" style="1643" bestFit="1" customWidth="1"/>
    <col min="5" max="5" width="13.5" style="1643" customWidth="1"/>
    <col min="6" max="6" width="9" style="1643"/>
    <col min="7" max="7" width="9.33203125" style="1643" bestFit="1" customWidth="1"/>
    <col min="8" max="8" width="12.1640625" style="1643" customWidth="1"/>
    <col min="9" max="9" width="9" style="1643"/>
    <col min="10" max="10" width="9.33203125" style="1643" bestFit="1" customWidth="1"/>
    <col min="11" max="11" width="4" style="1637" customWidth="1"/>
    <col min="12" max="12" width="5.1640625" style="1643" customWidth="1"/>
    <col min="13" max="13" width="13.6640625" style="1643" customWidth="1"/>
    <col min="14" max="256" width="9" style="1643"/>
    <col min="257" max="257" width="4.83203125" style="1634" customWidth="1"/>
    <col min="258" max="258" width="13.1640625" style="1634" customWidth="1"/>
    <col min="259" max="259" width="15.6640625" style="1634" customWidth="1"/>
    <col min="260" max="260" width="9.33203125" style="1634" bestFit="1" customWidth="1"/>
    <col min="261" max="261" width="13.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640625" style="1634" customWidth="1"/>
    <col min="269" max="269" width="13.6640625" style="1634" customWidth="1"/>
    <col min="270" max="512" width="9" style="1634"/>
    <col min="513" max="513" width="4.83203125" style="1634" customWidth="1"/>
    <col min="514" max="514" width="13.1640625" style="1634" customWidth="1"/>
    <col min="515" max="515" width="15.6640625" style="1634" customWidth="1"/>
    <col min="516" max="516" width="9.33203125" style="1634" bestFit="1" customWidth="1"/>
    <col min="517" max="517" width="13.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640625" style="1634" customWidth="1"/>
    <col min="525" max="525" width="13.6640625" style="1634" customWidth="1"/>
    <col min="526" max="768" width="9" style="1634"/>
    <col min="769" max="769" width="4.83203125" style="1634" customWidth="1"/>
    <col min="770" max="770" width="13.1640625" style="1634" customWidth="1"/>
    <col min="771" max="771" width="15.6640625" style="1634" customWidth="1"/>
    <col min="772" max="772" width="9.33203125" style="1634" bestFit="1" customWidth="1"/>
    <col min="773" max="773" width="13.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640625" style="1634" customWidth="1"/>
    <col min="781" max="781" width="13.6640625" style="1634" customWidth="1"/>
    <col min="782" max="1024" width="9" style="1634"/>
    <col min="1025" max="1025" width="4.83203125" style="1634" customWidth="1"/>
    <col min="1026" max="1026" width="13.1640625" style="1634" customWidth="1"/>
    <col min="1027" max="1027" width="15.6640625" style="1634" customWidth="1"/>
    <col min="1028" max="1028" width="9.33203125" style="1634" bestFit="1" customWidth="1"/>
    <col min="1029" max="1029" width="13.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640625" style="1634" customWidth="1"/>
    <col min="1037" max="1037" width="13.6640625" style="1634" customWidth="1"/>
    <col min="1038" max="1280" width="9" style="1634"/>
    <col min="1281" max="1281" width="4.83203125" style="1634" customWidth="1"/>
    <col min="1282" max="1282" width="13.1640625" style="1634" customWidth="1"/>
    <col min="1283" max="1283" width="15.6640625" style="1634" customWidth="1"/>
    <col min="1284" max="1284" width="9.33203125" style="1634" bestFit="1" customWidth="1"/>
    <col min="1285" max="1285" width="13.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640625" style="1634" customWidth="1"/>
    <col min="1293" max="1293" width="13.6640625" style="1634" customWidth="1"/>
    <col min="1294" max="1536" width="9" style="1634"/>
    <col min="1537" max="1537" width="4.83203125" style="1634" customWidth="1"/>
    <col min="1538" max="1538" width="13.1640625" style="1634" customWidth="1"/>
    <col min="1539" max="1539" width="15.6640625" style="1634" customWidth="1"/>
    <col min="1540" max="1540" width="9.33203125" style="1634" bestFit="1" customWidth="1"/>
    <col min="1541" max="1541" width="13.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640625" style="1634" customWidth="1"/>
    <col min="1549" max="1549" width="13.6640625" style="1634" customWidth="1"/>
    <col min="1550" max="1792" width="9" style="1634"/>
    <col min="1793" max="1793" width="4.83203125" style="1634" customWidth="1"/>
    <col min="1794" max="1794" width="13.1640625" style="1634" customWidth="1"/>
    <col min="1795" max="1795" width="15.6640625" style="1634" customWidth="1"/>
    <col min="1796" max="1796" width="9.33203125" style="1634" bestFit="1" customWidth="1"/>
    <col min="1797" max="1797" width="13.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640625" style="1634" customWidth="1"/>
    <col min="1805" max="1805" width="13.6640625" style="1634" customWidth="1"/>
    <col min="1806" max="2048" width="9" style="1634"/>
    <col min="2049" max="2049" width="4.83203125" style="1634" customWidth="1"/>
    <col min="2050" max="2050" width="13.1640625" style="1634" customWidth="1"/>
    <col min="2051" max="2051" width="15.6640625" style="1634" customWidth="1"/>
    <col min="2052" max="2052" width="9.33203125" style="1634" bestFit="1" customWidth="1"/>
    <col min="2053" max="2053" width="13.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640625" style="1634" customWidth="1"/>
    <col min="2061" max="2061" width="13.6640625" style="1634" customWidth="1"/>
    <col min="2062" max="2304" width="9" style="1634"/>
    <col min="2305" max="2305" width="4.83203125" style="1634" customWidth="1"/>
    <col min="2306" max="2306" width="13.1640625" style="1634" customWidth="1"/>
    <col min="2307" max="2307" width="15.6640625" style="1634" customWidth="1"/>
    <col min="2308" max="2308" width="9.33203125" style="1634" bestFit="1" customWidth="1"/>
    <col min="2309" max="2309" width="13.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640625" style="1634" customWidth="1"/>
    <col min="2317" max="2317" width="13.6640625" style="1634" customWidth="1"/>
    <col min="2318" max="2560" width="9" style="1634"/>
    <col min="2561" max="2561" width="4.83203125" style="1634" customWidth="1"/>
    <col min="2562" max="2562" width="13.1640625" style="1634" customWidth="1"/>
    <col min="2563" max="2563" width="15.6640625" style="1634" customWidth="1"/>
    <col min="2564" max="2564" width="9.33203125" style="1634" bestFit="1" customWidth="1"/>
    <col min="2565" max="2565" width="13.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640625" style="1634" customWidth="1"/>
    <col min="2573" max="2573" width="13.6640625" style="1634" customWidth="1"/>
    <col min="2574" max="2816" width="9" style="1634"/>
    <col min="2817" max="2817" width="4.83203125" style="1634" customWidth="1"/>
    <col min="2818" max="2818" width="13.1640625" style="1634" customWidth="1"/>
    <col min="2819" max="2819" width="15.6640625" style="1634" customWidth="1"/>
    <col min="2820" max="2820" width="9.33203125" style="1634" bestFit="1" customWidth="1"/>
    <col min="2821" max="2821" width="13.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640625" style="1634" customWidth="1"/>
    <col min="2829" max="2829" width="13.6640625" style="1634" customWidth="1"/>
    <col min="2830" max="3072" width="9" style="1634"/>
    <col min="3073" max="3073" width="4.83203125" style="1634" customWidth="1"/>
    <col min="3074" max="3074" width="13.1640625" style="1634" customWidth="1"/>
    <col min="3075" max="3075" width="15.6640625" style="1634" customWidth="1"/>
    <col min="3076" max="3076" width="9.33203125" style="1634" bestFit="1" customWidth="1"/>
    <col min="3077" max="3077" width="13.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640625" style="1634" customWidth="1"/>
    <col min="3085" max="3085" width="13.6640625" style="1634" customWidth="1"/>
    <col min="3086" max="3328" width="9" style="1634"/>
    <col min="3329" max="3329" width="4.83203125" style="1634" customWidth="1"/>
    <col min="3330" max="3330" width="13.1640625" style="1634" customWidth="1"/>
    <col min="3331" max="3331" width="15.6640625" style="1634" customWidth="1"/>
    <col min="3332" max="3332" width="9.33203125" style="1634" bestFit="1" customWidth="1"/>
    <col min="3333" max="3333" width="13.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640625" style="1634" customWidth="1"/>
    <col min="3341" max="3341" width="13.6640625" style="1634" customWidth="1"/>
    <col min="3342" max="3584" width="9" style="1634"/>
    <col min="3585" max="3585" width="4.83203125" style="1634" customWidth="1"/>
    <col min="3586" max="3586" width="13.1640625" style="1634" customWidth="1"/>
    <col min="3587" max="3587" width="15.6640625" style="1634" customWidth="1"/>
    <col min="3588" max="3588" width="9.33203125" style="1634" bestFit="1" customWidth="1"/>
    <col min="3589" max="3589" width="13.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640625" style="1634" customWidth="1"/>
    <col min="3597" max="3597" width="13.6640625" style="1634" customWidth="1"/>
    <col min="3598" max="3840" width="9" style="1634"/>
    <col min="3841" max="3841" width="4.83203125" style="1634" customWidth="1"/>
    <col min="3842" max="3842" width="13.1640625" style="1634" customWidth="1"/>
    <col min="3843" max="3843" width="15.6640625" style="1634" customWidth="1"/>
    <col min="3844" max="3844" width="9.33203125" style="1634" bestFit="1" customWidth="1"/>
    <col min="3845" max="3845" width="13.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640625" style="1634" customWidth="1"/>
    <col min="3853" max="3853" width="13.6640625" style="1634" customWidth="1"/>
    <col min="3854" max="4096" width="9" style="1634"/>
    <col min="4097" max="4097" width="4.83203125" style="1634" customWidth="1"/>
    <col min="4098" max="4098" width="13.1640625" style="1634" customWidth="1"/>
    <col min="4099" max="4099" width="15.6640625" style="1634" customWidth="1"/>
    <col min="4100" max="4100" width="9.33203125" style="1634" bestFit="1" customWidth="1"/>
    <col min="4101" max="4101" width="13.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640625" style="1634" customWidth="1"/>
    <col min="4109" max="4109" width="13.6640625" style="1634" customWidth="1"/>
    <col min="4110" max="4352" width="9" style="1634"/>
    <col min="4353" max="4353" width="4.83203125" style="1634" customWidth="1"/>
    <col min="4354" max="4354" width="13.1640625" style="1634" customWidth="1"/>
    <col min="4355" max="4355" width="15.6640625" style="1634" customWidth="1"/>
    <col min="4356" max="4356" width="9.33203125" style="1634" bestFit="1" customWidth="1"/>
    <col min="4357" max="4357" width="13.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640625" style="1634" customWidth="1"/>
    <col min="4365" max="4365" width="13.6640625" style="1634" customWidth="1"/>
    <col min="4366" max="4608" width="9" style="1634"/>
    <col min="4609" max="4609" width="4.83203125" style="1634" customWidth="1"/>
    <col min="4610" max="4610" width="13.1640625" style="1634" customWidth="1"/>
    <col min="4611" max="4611" width="15.6640625" style="1634" customWidth="1"/>
    <col min="4612" max="4612" width="9.33203125" style="1634" bestFit="1" customWidth="1"/>
    <col min="4613" max="4613" width="13.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640625" style="1634" customWidth="1"/>
    <col min="4621" max="4621" width="13.6640625" style="1634" customWidth="1"/>
    <col min="4622" max="4864" width="9" style="1634"/>
    <col min="4865" max="4865" width="4.83203125" style="1634" customWidth="1"/>
    <col min="4866" max="4866" width="13.1640625" style="1634" customWidth="1"/>
    <col min="4867" max="4867" width="15.6640625" style="1634" customWidth="1"/>
    <col min="4868" max="4868" width="9.33203125" style="1634" bestFit="1" customWidth="1"/>
    <col min="4869" max="4869" width="13.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640625" style="1634" customWidth="1"/>
    <col min="4877" max="4877" width="13.6640625" style="1634" customWidth="1"/>
    <col min="4878" max="5120" width="9" style="1634"/>
    <col min="5121" max="5121" width="4.83203125" style="1634" customWidth="1"/>
    <col min="5122" max="5122" width="13.1640625" style="1634" customWidth="1"/>
    <col min="5123" max="5123" width="15.6640625" style="1634" customWidth="1"/>
    <col min="5124" max="5124" width="9.33203125" style="1634" bestFit="1" customWidth="1"/>
    <col min="5125" max="5125" width="13.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640625" style="1634" customWidth="1"/>
    <col min="5133" max="5133" width="13.6640625" style="1634" customWidth="1"/>
    <col min="5134" max="5376" width="9" style="1634"/>
    <col min="5377" max="5377" width="4.83203125" style="1634" customWidth="1"/>
    <col min="5378" max="5378" width="13.1640625" style="1634" customWidth="1"/>
    <col min="5379" max="5379" width="15.6640625" style="1634" customWidth="1"/>
    <col min="5380" max="5380" width="9.33203125" style="1634" bestFit="1" customWidth="1"/>
    <col min="5381" max="5381" width="13.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640625" style="1634" customWidth="1"/>
    <col min="5389" max="5389" width="13.6640625" style="1634" customWidth="1"/>
    <col min="5390" max="5632" width="9" style="1634"/>
    <col min="5633" max="5633" width="4.83203125" style="1634" customWidth="1"/>
    <col min="5634" max="5634" width="13.1640625" style="1634" customWidth="1"/>
    <col min="5635" max="5635" width="15.6640625" style="1634" customWidth="1"/>
    <col min="5636" max="5636" width="9.33203125" style="1634" bestFit="1" customWidth="1"/>
    <col min="5637" max="5637" width="13.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640625" style="1634" customWidth="1"/>
    <col min="5645" max="5645" width="13.6640625" style="1634" customWidth="1"/>
    <col min="5646" max="5888" width="9" style="1634"/>
    <col min="5889" max="5889" width="4.83203125" style="1634" customWidth="1"/>
    <col min="5890" max="5890" width="13.1640625" style="1634" customWidth="1"/>
    <col min="5891" max="5891" width="15.6640625" style="1634" customWidth="1"/>
    <col min="5892" max="5892" width="9.33203125" style="1634" bestFit="1" customWidth="1"/>
    <col min="5893" max="5893" width="13.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640625" style="1634" customWidth="1"/>
    <col min="5901" max="5901" width="13.6640625" style="1634" customWidth="1"/>
    <col min="5902" max="6144" width="9" style="1634"/>
    <col min="6145" max="6145" width="4.83203125" style="1634" customWidth="1"/>
    <col min="6146" max="6146" width="13.1640625" style="1634" customWidth="1"/>
    <col min="6147" max="6147" width="15.6640625" style="1634" customWidth="1"/>
    <col min="6148" max="6148" width="9.33203125" style="1634" bestFit="1" customWidth="1"/>
    <col min="6149" max="6149" width="13.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640625" style="1634" customWidth="1"/>
    <col min="6157" max="6157" width="13.6640625" style="1634" customWidth="1"/>
    <col min="6158" max="6400" width="9" style="1634"/>
    <col min="6401" max="6401" width="4.83203125" style="1634" customWidth="1"/>
    <col min="6402" max="6402" width="13.1640625" style="1634" customWidth="1"/>
    <col min="6403" max="6403" width="15.6640625" style="1634" customWidth="1"/>
    <col min="6404" max="6404" width="9.33203125" style="1634" bestFit="1" customWidth="1"/>
    <col min="6405" max="6405" width="13.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640625" style="1634" customWidth="1"/>
    <col min="6413" max="6413" width="13.6640625" style="1634" customWidth="1"/>
    <col min="6414" max="6656" width="9" style="1634"/>
    <col min="6657" max="6657" width="4.83203125" style="1634" customWidth="1"/>
    <col min="6658" max="6658" width="13.1640625" style="1634" customWidth="1"/>
    <col min="6659" max="6659" width="15.6640625" style="1634" customWidth="1"/>
    <col min="6660" max="6660" width="9.33203125" style="1634" bestFit="1" customWidth="1"/>
    <col min="6661" max="6661" width="13.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640625" style="1634" customWidth="1"/>
    <col min="6669" max="6669" width="13.6640625" style="1634" customWidth="1"/>
    <col min="6670" max="6912" width="9" style="1634"/>
    <col min="6913" max="6913" width="4.83203125" style="1634" customWidth="1"/>
    <col min="6914" max="6914" width="13.1640625" style="1634" customWidth="1"/>
    <col min="6915" max="6915" width="15.6640625" style="1634" customWidth="1"/>
    <col min="6916" max="6916" width="9.33203125" style="1634" bestFit="1" customWidth="1"/>
    <col min="6917" max="6917" width="13.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640625" style="1634" customWidth="1"/>
    <col min="6925" max="6925" width="13.6640625" style="1634" customWidth="1"/>
    <col min="6926" max="7168" width="9" style="1634"/>
    <col min="7169" max="7169" width="4.83203125" style="1634" customWidth="1"/>
    <col min="7170" max="7170" width="13.1640625" style="1634" customWidth="1"/>
    <col min="7171" max="7171" width="15.6640625" style="1634" customWidth="1"/>
    <col min="7172" max="7172" width="9.33203125" style="1634" bestFit="1" customWidth="1"/>
    <col min="7173" max="7173" width="13.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640625" style="1634" customWidth="1"/>
    <col min="7181" max="7181" width="13.6640625" style="1634" customWidth="1"/>
    <col min="7182" max="7424" width="9" style="1634"/>
    <col min="7425" max="7425" width="4.83203125" style="1634" customWidth="1"/>
    <col min="7426" max="7426" width="13.1640625" style="1634" customWidth="1"/>
    <col min="7427" max="7427" width="15.6640625" style="1634" customWidth="1"/>
    <col min="7428" max="7428" width="9.33203125" style="1634" bestFit="1" customWidth="1"/>
    <col min="7429" max="7429" width="13.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640625" style="1634" customWidth="1"/>
    <col min="7437" max="7437" width="13.6640625" style="1634" customWidth="1"/>
    <col min="7438" max="7680" width="9" style="1634"/>
    <col min="7681" max="7681" width="4.83203125" style="1634" customWidth="1"/>
    <col min="7682" max="7682" width="13.1640625" style="1634" customWidth="1"/>
    <col min="7683" max="7683" width="15.6640625" style="1634" customWidth="1"/>
    <col min="7684" max="7684" width="9.33203125" style="1634" bestFit="1" customWidth="1"/>
    <col min="7685" max="7685" width="13.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640625" style="1634" customWidth="1"/>
    <col min="7693" max="7693" width="13.6640625" style="1634" customWidth="1"/>
    <col min="7694" max="7936" width="9" style="1634"/>
    <col min="7937" max="7937" width="4.83203125" style="1634" customWidth="1"/>
    <col min="7938" max="7938" width="13.1640625" style="1634" customWidth="1"/>
    <col min="7939" max="7939" width="15.6640625" style="1634" customWidth="1"/>
    <col min="7940" max="7940" width="9.33203125" style="1634" bestFit="1" customWidth="1"/>
    <col min="7941" max="7941" width="13.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640625" style="1634" customWidth="1"/>
    <col min="7949" max="7949" width="13.6640625" style="1634" customWidth="1"/>
    <col min="7950" max="8192" width="9" style="1634"/>
    <col min="8193" max="8193" width="4.83203125" style="1634" customWidth="1"/>
    <col min="8194" max="8194" width="13.1640625" style="1634" customWidth="1"/>
    <col min="8195" max="8195" width="15.6640625" style="1634" customWidth="1"/>
    <col min="8196" max="8196" width="9.33203125" style="1634" bestFit="1" customWidth="1"/>
    <col min="8197" max="8197" width="13.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640625" style="1634" customWidth="1"/>
    <col min="8205" max="8205" width="13.6640625" style="1634" customWidth="1"/>
    <col min="8206" max="8448" width="9" style="1634"/>
    <col min="8449" max="8449" width="4.83203125" style="1634" customWidth="1"/>
    <col min="8450" max="8450" width="13.1640625" style="1634" customWidth="1"/>
    <col min="8451" max="8451" width="15.6640625" style="1634" customWidth="1"/>
    <col min="8452" max="8452" width="9.33203125" style="1634" bestFit="1" customWidth="1"/>
    <col min="8453" max="8453" width="13.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640625" style="1634" customWidth="1"/>
    <col min="8461" max="8461" width="13.6640625" style="1634" customWidth="1"/>
    <col min="8462" max="8704" width="9" style="1634"/>
    <col min="8705" max="8705" width="4.83203125" style="1634" customWidth="1"/>
    <col min="8706" max="8706" width="13.1640625" style="1634" customWidth="1"/>
    <col min="8707" max="8707" width="15.6640625" style="1634" customWidth="1"/>
    <col min="8708" max="8708" width="9.33203125" style="1634" bestFit="1" customWidth="1"/>
    <col min="8709" max="8709" width="13.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640625" style="1634" customWidth="1"/>
    <col min="8717" max="8717" width="13.6640625" style="1634" customWidth="1"/>
    <col min="8718" max="8960" width="9" style="1634"/>
    <col min="8961" max="8961" width="4.83203125" style="1634" customWidth="1"/>
    <col min="8962" max="8962" width="13.1640625" style="1634" customWidth="1"/>
    <col min="8963" max="8963" width="15.6640625" style="1634" customWidth="1"/>
    <col min="8964" max="8964" width="9.33203125" style="1634" bestFit="1" customWidth="1"/>
    <col min="8965" max="8965" width="13.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640625" style="1634" customWidth="1"/>
    <col min="8973" max="8973" width="13.6640625" style="1634" customWidth="1"/>
    <col min="8974" max="9216" width="9" style="1634"/>
    <col min="9217" max="9217" width="4.83203125" style="1634" customWidth="1"/>
    <col min="9218" max="9218" width="13.1640625" style="1634" customWidth="1"/>
    <col min="9219" max="9219" width="15.6640625" style="1634" customWidth="1"/>
    <col min="9220" max="9220" width="9.33203125" style="1634" bestFit="1" customWidth="1"/>
    <col min="9221" max="9221" width="13.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640625" style="1634" customWidth="1"/>
    <col min="9229" max="9229" width="13.6640625" style="1634" customWidth="1"/>
    <col min="9230" max="9472" width="9" style="1634"/>
    <col min="9473" max="9473" width="4.83203125" style="1634" customWidth="1"/>
    <col min="9474" max="9474" width="13.1640625" style="1634" customWidth="1"/>
    <col min="9475" max="9475" width="15.6640625" style="1634" customWidth="1"/>
    <col min="9476" max="9476" width="9.33203125" style="1634" bestFit="1" customWidth="1"/>
    <col min="9477" max="9477" width="13.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640625" style="1634" customWidth="1"/>
    <col min="9485" max="9485" width="13.6640625" style="1634" customWidth="1"/>
    <col min="9486" max="9728" width="9" style="1634"/>
    <col min="9729" max="9729" width="4.83203125" style="1634" customWidth="1"/>
    <col min="9730" max="9730" width="13.1640625" style="1634" customWidth="1"/>
    <col min="9731" max="9731" width="15.6640625" style="1634" customWidth="1"/>
    <col min="9732" max="9732" width="9.33203125" style="1634" bestFit="1" customWidth="1"/>
    <col min="9733" max="9733" width="13.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640625" style="1634" customWidth="1"/>
    <col min="9741" max="9741" width="13.6640625" style="1634" customWidth="1"/>
    <col min="9742" max="9984" width="9" style="1634"/>
    <col min="9985" max="9985" width="4.83203125" style="1634" customWidth="1"/>
    <col min="9986" max="9986" width="13.1640625" style="1634" customWidth="1"/>
    <col min="9987" max="9987" width="15.6640625" style="1634" customWidth="1"/>
    <col min="9988" max="9988" width="9.33203125" style="1634" bestFit="1" customWidth="1"/>
    <col min="9989" max="9989" width="13.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640625" style="1634" customWidth="1"/>
    <col min="9997" max="9997" width="13.6640625" style="1634" customWidth="1"/>
    <col min="9998" max="10240" width="9" style="1634"/>
    <col min="10241" max="10241" width="4.83203125" style="1634" customWidth="1"/>
    <col min="10242" max="10242" width="13.1640625" style="1634" customWidth="1"/>
    <col min="10243" max="10243" width="15.6640625" style="1634" customWidth="1"/>
    <col min="10244" max="10244" width="9.33203125" style="1634" bestFit="1" customWidth="1"/>
    <col min="10245" max="10245" width="13.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640625" style="1634" customWidth="1"/>
    <col min="10253" max="10253" width="13.6640625" style="1634" customWidth="1"/>
    <col min="10254" max="10496" width="9" style="1634"/>
    <col min="10497" max="10497" width="4.83203125" style="1634" customWidth="1"/>
    <col min="10498" max="10498" width="13.1640625" style="1634" customWidth="1"/>
    <col min="10499" max="10499" width="15.6640625" style="1634" customWidth="1"/>
    <col min="10500" max="10500" width="9.33203125" style="1634" bestFit="1" customWidth="1"/>
    <col min="10501" max="10501" width="13.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640625" style="1634" customWidth="1"/>
    <col min="10509" max="10509" width="13.6640625" style="1634" customWidth="1"/>
    <col min="10510" max="10752" width="9" style="1634"/>
    <col min="10753" max="10753" width="4.83203125" style="1634" customWidth="1"/>
    <col min="10754" max="10754" width="13.1640625" style="1634" customWidth="1"/>
    <col min="10755" max="10755" width="15.6640625" style="1634" customWidth="1"/>
    <col min="10756" max="10756" width="9.33203125" style="1634" bestFit="1" customWidth="1"/>
    <col min="10757" max="10757" width="13.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640625" style="1634" customWidth="1"/>
    <col min="10765" max="10765" width="13.6640625" style="1634" customWidth="1"/>
    <col min="10766" max="11008" width="9" style="1634"/>
    <col min="11009" max="11009" width="4.83203125" style="1634" customWidth="1"/>
    <col min="11010" max="11010" width="13.1640625" style="1634" customWidth="1"/>
    <col min="11011" max="11011" width="15.6640625" style="1634" customWidth="1"/>
    <col min="11012" max="11012" width="9.33203125" style="1634" bestFit="1" customWidth="1"/>
    <col min="11013" max="11013" width="13.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640625" style="1634" customWidth="1"/>
    <col min="11021" max="11021" width="13.6640625" style="1634" customWidth="1"/>
    <col min="11022" max="11264" width="9" style="1634"/>
    <col min="11265" max="11265" width="4.83203125" style="1634" customWidth="1"/>
    <col min="11266" max="11266" width="13.1640625" style="1634" customWidth="1"/>
    <col min="11267" max="11267" width="15.6640625" style="1634" customWidth="1"/>
    <col min="11268" max="11268" width="9.33203125" style="1634" bestFit="1" customWidth="1"/>
    <col min="11269" max="11269" width="13.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640625" style="1634" customWidth="1"/>
    <col min="11277" max="11277" width="13.6640625" style="1634" customWidth="1"/>
    <col min="11278" max="11520" width="9" style="1634"/>
    <col min="11521" max="11521" width="4.83203125" style="1634" customWidth="1"/>
    <col min="11522" max="11522" width="13.1640625" style="1634" customWidth="1"/>
    <col min="11523" max="11523" width="15.6640625" style="1634" customWidth="1"/>
    <col min="11524" max="11524" width="9.33203125" style="1634" bestFit="1" customWidth="1"/>
    <col min="11525" max="11525" width="13.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640625" style="1634" customWidth="1"/>
    <col min="11533" max="11533" width="13.6640625" style="1634" customWidth="1"/>
    <col min="11534" max="11776" width="9" style="1634"/>
    <col min="11777" max="11777" width="4.83203125" style="1634" customWidth="1"/>
    <col min="11778" max="11778" width="13.1640625" style="1634" customWidth="1"/>
    <col min="11779" max="11779" width="15.6640625" style="1634" customWidth="1"/>
    <col min="11780" max="11780" width="9.33203125" style="1634" bestFit="1" customWidth="1"/>
    <col min="11781" max="11781" width="13.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640625" style="1634" customWidth="1"/>
    <col min="11789" max="11789" width="13.6640625" style="1634" customWidth="1"/>
    <col min="11790" max="12032" width="9" style="1634"/>
    <col min="12033" max="12033" width="4.83203125" style="1634" customWidth="1"/>
    <col min="12034" max="12034" width="13.1640625" style="1634" customWidth="1"/>
    <col min="12035" max="12035" width="15.6640625" style="1634" customWidth="1"/>
    <col min="12036" max="12036" width="9.33203125" style="1634" bestFit="1" customWidth="1"/>
    <col min="12037" max="12037" width="13.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640625" style="1634" customWidth="1"/>
    <col min="12045" max="12045" width="13.6640625" style="1634" customWidth="1"/>
    <col min="12046" max="12288" width="9" style="1634"/>
    <col min="12289" max="12289" width="4.83203125" style="1634" customWidth="1"/>
    <col min="12290" max="12290" width="13.1640625" style="1634" customWidth="1"/>
    <col min="12291" max="12291" width="15.6640625" style="1634" customWidth="1"/>
    <col min="12292" max="12292" width="9.33203125" style="1634" bestFit="1" customWidth="1"/>
    <col min="12293" max="12293" width="13.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640625" style="1634" customWidth="1"/>
    <col min="12301" max="12301" width="13.6640625" style="1634" customWidth="1"/>
    <col min="12302" max="12544" width="9" style="1634"/>
    <col min="12545" max="12545" width="4.83203125" style="1634" customWidth="1"/>
    <col min="12546" max="12546" width="13.1640625" style="1634" customWidth="1"/>
    <col min="12547" max="12547" width="15.6640625" style="1634" customWidth="1"/>
    <col min="12548" max="12548" width="9.33203125" style="1634" bestFit="1" customWidth="1"/>
    <col min="12549" max="12549" width="13.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640625" style="1634" customWidth="1"/>
    <col min="12557" max="12557" width="13.6640625" style="1634" customWidth="1"/>
    <col min="12558" max="12800" width="9" style="1634"/>
    <col min="12801" max="12801" width="4.83203125" style="1634" customWidth="1"/>
    <col min="12802" max="12802" width="13.1640625" style="1634" customWidth="1"/>
    <col min="12803" max="12803" width="15.6640625" style="1634" customWidth="1"/>
    <col min="12804" max="12804" width="9.33203125" style="1634" bestFit="1" customWidth="1"/>
    <col min="12805" max="12805" width="13.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640625" style="1634" customWidth="1"/>
    <col min="12813" max="12813" width="13.6640625" style="1634" customWidth="1"/>
    <col min="12814" max="13056" width="9" style="1634"/>
    <col min="13057" max="13057" width="4.83203125" style="1634" customWidth="1"/>
    <col min="13058" max="13058" width="13.1640625" style="1634" customWidth="1"/>
    <col min="13059" max="13059" width="15.6640625" style="1634" customWidth="1"/>
    <col min="13060" max="13060" width="9.33203125" style="1634" bestFit="1" customWidth="1"/>
    <col min="13061" max="13061" width="13.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640625" style="1634" customWidth="1"/>
    <col min="13069" max="13069" width="13.6640625" style="1634" customWidth="1"/>
    <col min="13070" max="13312" width="9" style="1634"/>
    <col min="13313" max="13313" width="4.83203125" style="1634" customWidth="1"/>
    <col min="13314" max="13314" width="13.1640625" style="1634" customWidth="1"/>
    <col min="13315" max="13315" width="15.6640625" style="1634" customWidth="1"/>
    <col min="13316" max="13316" width="9.33203125" style="1634" bestFit="1" customWidth="1"/>
    <col min="13317" max="13317" width="13.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640625" style="1634" customWidth="1"/>
    <col min="13325" max="13325" width="13.6640625" style="1634" customWidth="1"/>
    <col min="13326" max="13568" width="9" style="1634"/>
    <col min="13569" max="13569" width="4.83203125" style="1634" customWidth="1"/>
    <col min="13570" max="13570" width="13.1640625" style="1634" customWidth="1"/>
    <col min="13571" max="13571" width="15.6640625" style="1634" customWidth="1"/>
    <col min="13572" max="13572" width="9.33203125" style="1634" bestFit="1" customWidth="1"/>
    <col min="13573" max="13573" width="13.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640625" style="1634" customWidth="1"/>
    <col min="13581" max="13581" width="13.6640625" style="1634" customWidth="1"/>
    <col min="13582" max="13824" width="9" style="1634"/>
    <col min="13825" max="13825" width="4.83203125" style="1634" customWidth="1"/>
    <col min="13826" max="13826" width="13.1640625" style="1634" customWidth="1"/>
    <col min="13827" max="13827" width="15.6640625" style="1634" customWidth="1"/>
    <col min="13828" max="13828" width="9.33203125" style="1634" bestFit="1" customWidth="1"/>
    <col min="13829" max="13829" width="13.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640625" style="1634" customWidth="1"/>
    <col min="13837" max="13837" width="13.6640625" style="1634" customWidth="1"/>
    <col min="13838" max="14080" width="9" style="1634"/>
    <col min="14081" max="14081" width="4.83203125" style="1634" customWidth="1"/>
    <col min="14082" max="14082" width="13.1640625" style="1634" customWidth="1"/>
    <col min="14083" max="14083" width="15.6640625" style="1634" customWidth="1"/>
    <col min="14084" max="14084" width="9.33203125" style="1634" bestFit="1" customWidth="1"/>
    <col min="14085" max="14085" width="13.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640625" style="1634" customWidth="1"/>
    <col min="14093" max="14093" width="13.6640625" style="1634" customWidth="1"/>
    <col min="14094" max="14336" width="9" style="1634"/>
    <col min="14337" max="14337" width="4.83203125" style="1634" customWidth="1"/>
    <col min="14338" max="14338" width="13.1640625" style="1634" customWidth="1"/>
    <col min="14339" max="14339" width="15.6640625" style="1634" customWidth="1"/>
    <col min="14340" max="14340" width="9.33203125" style="1634" bestFit="1" customWidth="1"/>
    <col min="14341" max="14341" width="13.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640625" style="1634" customWidth="1"/>
    <col min="14349" max="14349" width="13.6640625" style="1634" customWidth="1"/>
    <col min="14350" max="14592" width="9" style="1634"/>
    <col min="14593" max="14593" width="4.83203125" style="1634" customWidth="1"/>
    <col min="14594" max="14594" width="13.1640625" style="1634" customWidth="1"/>
    <col min="14595" max="14595" width="15.6640625" style="1634" customWidth="1"/>
    <col min="14596" max="14596" width="9.33203125" style="1634" bestFit="1" customWidth="1"/>
    <col min="14597" max="14597" width="13.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640625" style="1634" customWidth="1"/>
    <col min="14605" max="14605" width="13.6640625" style="1634" customWidth="1"/>
    <col min="14606" max="14848" width="9" style="1634"/>
    <col min="14849" max="14849" width="4.83203125" style="1634" customWidth="1"/>
    <col min="14850" max="14850" width="13.1640625" style="1634" customWidth="1"/>
    <col min="14851" max="14851" width="15.6640625" style="1634" customWidth="1"/>
    <col min="14852" max="14852" width="9.33203125" style="1634" bestFit="1" customWidth="1"/>
    <col min="14853" max="14853" width="13.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640625" style="1634" customWidth="1"/>
    <col min="14861" max="14861" width="13.6640625" style="1634" customWidth="1"/>
    <col min="14862" max="15104" width="9" style="1634"/>
    <col min="15105" max="15105" width="4.83203125" style="1634" customWidth="1"/>
    <col min="15106" max="15106" width="13.1640625" style="1634" customWidth="1"/>
    <col min="15107" max="15107" width="15.6640625" style="1634" customWidth="1"/>
    <col min="15108" max="15108" width="9.33203125" style="1634" bestFit="1" customWidth="1"/>
    <col min="15109" max="15109" width="13.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640625" style="1634" customWidth="1"/>
    <col min="15117" max="15117" width="13.6640625" style="1634" customWidth="1"/>
    <col min="15118" max="15360" width="9" style="1634"/>
    <col min="15361" max="15361" width="4.83203125" style="1634" customWidth="1"/>
    <col min="15362" max="15362" width="13.1640625" style="1634" customWidth="1"/>
    <col min="15363" max="15363" width="15.6640625" style="1634" customWidth="1"/>
    <col min="15364" max="15364" width="9.33203125" style="1634" bestFit="1" customWidth="1"/>
    <col min="15365" max="15365" width="13.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640625" style="1634" customWidth="1"/>
    <col min="15373" max="15373" width="13.6640625" style="1634" customWidth="1"/>
    <col min="15374" max="15616" width="9" style="1634"/>
    <col min="15617" max="15617" width="4.83203125" style="1634" customWidth="1"/>
    <col min="15618" max="15618" width="13.1640625" style="1634" customWidth="1"/>
    <col min="15619" max="15619" width="15.6640625" style="1634" customWidth="1"/>
    <col min="15620" max="15620" width="9.33203125" style="1634" bestFit="1" customWidth="1"/>
    <col min="15621" max="15621" width="13.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640625" style="1634" customWidth="1"/>
    <col min="15629" max="15629" width="13.6640625" style="1634" customWidth="1"/>
    <col min="15630" max="15872" width="9" style="1634"/>
    <col min="15873" max="15873" width="4.83203125" style="1634" customWidth="1"/>
    <col min="15874" max="15874" width="13.1640625" style="1634" customWidth="1"/>
    <col min="15875" max="15875" width="15.6640625" style="1634" customWidth="1"/>
    <col min="15876" max="15876" width="9.33203125" style="1634" bestFit="1" customWidth="1"/>
    <col min="15877" max="15877" width="13.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640625" style="1634" customWidth="1"/>
    <col min="15885" max="15885" width="13.6640625" style="1634" customWidth="1"/>
    <col min="15886" max="16128" width="9" style="1634"/>
    <col min="16129" max="16129" width="4.83203125" style="1634" customWidth="1"/>
    <col min="16130" max="16130" width="13.1640625" style="1634" customWidth="1"/>
    <col min="16131" max="16131" width="15.6640625" style="1634" customWidth="1"/>
    <col min="16132" max="16132" width="9.33203125" style="1634" bestFit="1" customWidth="1"/>
    <col min="16133" max="16133" width="13.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640625" style="1634" customWidth="1"/>
    <col min="16141" max="16141" width="13.6640625" style="1634" customWidth="1"/>
    <col min="16142" max="16384" width="9" style="1634"/>
  </cols>
  <sheetData>
    <row r="1" spans="1:257" s="1698" customFormat="1" ht="15" thickBot="1">
      <c r="A1" s="1692"/>
      <c r="B1" s="1699" t="s">
        <v>1295</v>
      </c>
      <c r="C1" s="1693">
        <f>项目基本情况!D3</f>
        <v>43906</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1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4">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ht="15">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6">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ht="15">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ht="15">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ht="15">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ht="15">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ht="15">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ht="15">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ht="15">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ht="15">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ht="15">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ht="15">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ht="15">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baseColWidth="10" defaultColWidth="8.83203125" defaultRowHeight="14"/>
  <sheetData>
    <row r="1" spans="1:13" ht="28">
      <c r="A1" s="1781" t="s">
        <v>1367</v>
      </c>
      <c r="E1" s="1775" t="s">
        <v>1371</v>
      </c>
      <c r="F1" s="1776" t="s">
        <v>1375</v>
      </c>
    </row>
    <row r="2" spans="1:13" ht="22">
      <c r="A2" s="1782" t="s">
        <v>1368</v>
      </c>
    </row>
    <row r="3" spans="1:13" ht="17">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3" customWidth="1"/>
    <col min="2" max="9" width="12.1640625" style="1943" customWidth="1"/>
    <col min="10" max="16384" width="9" style="1943"/>
  </cols>
  <sheetData>
    <row r="1" spans="1:9" ht="19"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7">
      <c r="A3" s="3019"/>
      <c r="B3" s="3019"/>
      <c r="C3" s="3019"/>
      <c r="D3" s="1044" t="s">
        <v>1632</v>
      </c>
      <c r="E3" s="1044" t="s">
        <v>1638</v>
      </c>
      <c r="F3" s="1044" t="s">
        <v>1632</v>
      </c>
      <c r="G3" s="1044" t="s">
        <v>1633</v>
      </c>
      <c r="H3" s="1044" t="s">
        <v>1632</v>
      </c>
      <c r="I3" s="1044" t="s">
        <v>1633</v>
      </c>
    </row>
    <row r="4" spans="1:9" ht="34">
      <c r="A4" s="1971" t="str">
        <f>项目基本情况!S2</f>
        <v>北京市出让国有建设用地使用权及在建建筑物房地产</v>
      </c>
      <c r="B4" s="1044">
        <f>项目基本情况!C17</f>
        <v>15182.239999999998</v>
      </c>
      <c r="C4" s="1044">
        <f>项目基本情况!C18</f>
        <v>5095.4399999999996</v>
      </c>
      <c r="D4" s="1044">
        <f ca="1">结果表!D118</f>
        <v>20028</v>
      </c>
      <c r="E4" s="1044">
        <f ca="1">结果表!E118</f>
        <v>13192</v>
      </c>
      <c r="F4" s="1044">
        <f ca="1">结果表!F118</f>
        <v>5164</v>
      </c>
      <c r="G4" s="1044">
        <f ca="1">结果表!G118</f>
        <v>3401</v>
      </c>
      <c r="H4" s="1044">
        <f ca="1">结果表!H118</f>
        <v>25192</v>
      </c>
      <c r="I4" s="1044">
        <f ca="1">结果表!I118</f>
        <v>16593</v>
      </c>
    </row>
    <row r="5" spans="1:9" ht="30" customHeight="1">
      <c r="A5" s="3019" t="s">
        <v>1634</v>
      </c>
      <c r="B5" s="3019"/>
      <c r="C5" s="3019"/>
      <c r="D5" s="3020" t="str">
        <f ca="1">结果表!D119</f>
        <v>贰亿零贰拾捌万元整</v>
      </c>
      <c r="E5" s="3020"/>
      <c r="F5" s="3020" t="str">
        <f ca="1">结果表!F119</f>
        <v>伍仟壹佰陆拾肆万元整</v>
      </c>
      <c r="G5" s="3020"/>
      <c r="H5" s="3020" t="str">
        <f ca="1">结果表!H119</f>
        <v>贰亿伍仟壹佰玖拾贰万元整</v>
      </c>
      <c r="I5" s="3020"/>
    </row>
    <row r="6" spans="1:9" ht="16">
      <c r="A6" s="3021" t="str">
        <f>结果表!A120</f>
        <v>估价师知悉的法定优先受偿款</v>
      </c>
      <c r="B6" s="3021"/>
      <c r="C6" s="3021"/>
      <c r="D6" s="3021">
        <f>结果表!D120</f>
        <v>0</v>
      </c>
      <c r="E6" s="3021"/>
      <c r="F6" s="3021"/>
      <c r="G6" s="3021"/>
      <c r="H6" s="3021"/>
      <c r="I6" s="3021"/>
    </row>
    <row r="7" spans="1:9" ht="16">
      <c r="A7" s="3019" t="s">
        <v>1634</v>
      </c>
      <c r="B7" s="3019"/>
      <c r="C7" s="3019"/>
      <c r="D7" s="3022" t="str">
        <f>结果表!D121</f>
        <v>零元整</v>
      </c>
      <c r="E7" s="3023"/>
      <c r="F7" s="3023"/>
      <c r="G7" s="3023"/>
      <c r="H7" s="3023"/>
      <c r="I7" s="3024"/>
    </row>
    <row r="8" spans="1:9" ht="16">
      <c r="A8" s="3021" t="str">
        <f>结果表!A122</f>
        <v/>
      </c>
      <c r="B8" s="3021"/>
      <c r="C8" s="3021"/>
      <c r="D8" s="3021" t="str">
        <f>结果表!D122</f>
        <v>——</v>
      </c>
      <c r="E8" s="3021"/>
      <c r="F8" s="3021"/>
      <c r="G8" s="3021"/>
      <c r="H8" s="3021"/>
      <c r="I8" s="3021"/>
    </row>
    <row r="9" spans="1:9" ht="16">
      <c r="A9" s="3019" t="s">
        <v>1634</v>
      </c>
      <c r="B9" s="3019"/>
      <c r="C9" s="3019"/>
      <c r="D9" s="3020" t="e">
        <f>结果表!D123</f>
        <v>#VALUE!</v>
      </c>
      <c r="E9" s="3020"/>
      <c r="F9" s="3020"/>
      <c r="G9" s="3020"/>
      <c r="H9" s="3020"/>
      <c r="I9" s="3020"/>
    </row>
    <row r="10" spans="1:9" ht="16">
      <c r="A10" s="3021" t="str">
        <f>结果表!A124</f>
        <v>抵押担保权已注销时的房地产抵押价值</v>
      </c>
      <c r="B10" s="3021"/>
      <c r="C10" s="3021"/>
      <c r="D10" s="3021">
        <f ca="1">结果表!D124</f>
        <v>25192</v>
      </c>
      <c r="E10" s="3021"/>
      <c r="F10" s="3021"/>
      <c r="G10" s="3021"/>
      <c r="H10" s="3021"/>
      <c r="I10" s="3021"/>
    </row>
    <row r="11" spans="1:9" ht="16">
      <c r="A11" s="3019" t="s">
        <v>1634</v>
      </c>
      <c r="B11" s="3019"/>
      <c r="C11" s="3019"/>
      <c r="D11" s="3020" t="str">
        <f ca="1">结果表!D125</f>
        <v>贰亿伍仟壹佰玖拾贰万元整</v>
      </c>
      <c r="E11" s="3020"/>
      <c r="F11" s="3020"/>
      <c r="G11" s="3020"/>
      <c r="H11" s="3020"/>
      <c r="I11" s="3020"/>
    </row>
    <row r="12" spans="1:9" ht="16">
      <c r="A12" s="3021" t="str">
        <f>结果表!A126</f>
        <v/>
      </c>
      <c r="B12" s="3021"/>
      <c r="C12" s="3021"/>
      <c r="D12" s="3021" t="str">
        <f>结果表!D126</f>
        <v>——</v>
      </c>
      <c r="E12" s="3021"/>
      <c r="F12" s="3021"/>
      <c r="G12" s="3021"/>
      <c r="H12" s="3021"/>
      <c r="I12" s="3021"/>
    </row>
    <row r="13" spans="1:9" ht="17" thickBot="1">
      <c r="A13" s="3025" t="s">
        <v>1634</v>
      </c>
      <c r="B13" s="3025"/>
      <c r="C13" s="3025"/>
      <c r="D13" s="3026" t="e">
        <f>结果表!D127</f>
        <v>#VALUE!</v>
      </c>
      <c r="E13" s="3026"/>
      <c r="F13" s="3026"/>
      <c r="G13" s="3026"/>
      <c r="H13" s="3026"/>
      <c r="I13" s="3026"/>
    </row>
    <row r="14" spans="1:9" ht="15" thickTop="1">
      <c r="A14" s="3027" t="s">
        <v>1639</v>
      </c>
      <c r="B14" s="3027"/>
      <c r="C14" s="3027"/>
      <c r="D14" s="3027"/>
      <c r="E14" s="3027"/>
      <c r="F14" s="3027"/>
      <c r="G14" s="3027"/>
      <c r="H14" s="3027"/>
      <c r="I14" s="3027"/>
    </row>
    <row r="16" spans="1:9" ht="18">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3" customWidth="1"/>
    <col min="2" max="3" width="22.33203125" style="1943" customWidth="1"/>
    <col min="4" max="4" width="23" style="1943" customWidth="1"/>
    <col min="5" max="16384" width="9" style="1943"/>
  </cols>
  <sheetData>
    <row r="1" spans="1:4" ht="18">
      <c r="A1" s="3028" t="s">
        <v>1656</v>
      </c>
      <c r="B1" s="3028"/>
      <c r="C1" s="3028"/>
      <c r="D1" s="3028"/>
    </row>
    <row r="2" spans="1:4" ht="18">
      <c r="A2" s="3029" t="s">
        <v>1640</v>
      </c>
      <c r="B2" s="3029"/>
      <c r="C2" s="3029"/>
      <c r="D2" s="3029"/>
    </row>
    <row r="3" spans="1:4" ht="18">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029" t="s">
        <v>1646</v>
      </c>
      <c r="B6" s="3029"/>
      <c r="C6" s="3029"/>
      <c r="D6" s="3029"/>
    </row>
    <row r="7" spans="1:4" ht="18">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
      <c r="A10" s="1982" t="s">
        <v>1648</v>
      </c>
      <c r="B10" s="728"/>
      <c r="C10" s="728"/>
      <c r="D10" s="728"/>
    </row>
    <row r="11" spans="1:4" ht="30" customHeight="1">
      <c r="A11" s="3030" t="s">
        <v>1649</v>
      </c>
      <c r="B11" s="3031"/>
      <c r="C11" s="3031"/>
      <c r="D11" s="3031"/>
    </row>
    <row r="12" spans="1:4" ht="16">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（1）根据估价对象《不动产权证书》复印件、，截至价值时点，估价对象抵押权未见登记。</v>
      </c>
      <c r="B15" s="3031"/>
      <c r="C15" s="3031"/>
      <c r="D15" s="3031"/>
    </row>
    <row r="16" spans="1:4" ht="30" customHeight="1">
      <c r="A16" s="3034" t="s">
        <v>1650</v>
      </c>
      <c r="B16" s="3034"/>
      <c r="C16" s="3034"/>
      <c r="D16" s="3034"/>
    </row>
    <row r="17" spans="1:4" ht="144" customHeight="1">
      <c r="A17" s="3034" t="s">
        <v>1651</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1652</v>
      </c>
      <c r="B22" s="3036"/>
      <c r="C22" s="3036"/>
      <c r="D22" s="3036"/>
    </row>
    <row r="23" spans="1:4">
      <c r="A23" s="1983"/>
      <c r="B23" s="1955"/>
      <c r="C23" s="1955"/>
      <c r="D23" s="1955"/>
    </row>
    <row r="24" spans="1:4">
      <c r="A24" s="1983"/>
      <c r="B24" s="1955"/>
      <c r="C24" s="1955"/>
      <c r="D24" s="1955"/>
    </row>
    <row r="25" spans="1:4" ht="18">
      <c r="A25" s="1984" t="s">
        <v>1653</v>
      </c>
    </row>
    <row r="26" spans="1:4" ht="18">
      <c r="A26" s="1953"/>
    </row>
    <row r="27" spans="1:4" ht="18">
      <c r="A27" s="1953" t="s">
        <v>1654</v>
      </c>
    </row>
    <row r="30" spans="1:4" ht="18">
      <c r="D30" s="1984" t="s">
        <v>1655</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41" customWidth="1"/>
    <col min="3" max="10" width="12.5" style="1941" customWidth="1"/>
    <col min="11" max="16384" width="9" style="1941"/>
  </cols>
  <sheetData>
    <row r="1" spans="1:10" ht="17">
      <c r="A1" s="1974" t="s">
        <v>866</v>
      </c>
      <c r="B1" s="1985"/>
      <c r="C1" s="1985"/>
      <c r="D1" s="1985"/>
      <c r="E1" s="1985"/>
      <c r="F1" s="1985"/>
      <c r="G1" s="1985"/>
      <c r="H1" s="1985"/>
      <c r="I1" s="1985"/>
      <c r="J1" s="1985"/>
    </row>
    <row r="2" spans="1:10" ht="17">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23" sqref="E23"/>
      <selection pane="bottomLeft" activeCell="E23" sqref="E23"/>
    </sheetView>
  </sheetViews>
  <sheetFormatPr baseColWidth="10" defaultColWidth="14.5" defaultRowHeight="15"/>
  <cols>
    <col min="1" max="1" width="14.5" style="1991" customWidth="1"/>
    <col min="2" max="16384" width="14.5" style="1973"/>
  </cols>
  <sheetData>
    <row r="1" spans="1:7" s="1988" customFormat="1" ht="17">
      <c r="A1" s="1987" t="s">
        <v>1657</v>
      </c>
    </row>
    <row r="3" spans="1:7" ht="16">
      <c r="A3" s="1989" t="s">
        <v>82</v>
      </c>
      <c r="B3" s="1973" t="s">
        <v>1658</v>
      </c>
      <c r="G3" s="1990"/>
    </row>
    <row r="4" spans="1:7">
      <c r="G4" s="1990"/>
    </row>
    <row r="5" spans="1:7" ht="16">
      <c r="A5" s="1992" t="s">
        <v>73</v>
      </c>
      <c r="B5" s="1973" t="s">
        <v>1659</v>
      </c>
      <c r="G5" s="1990"/>
    </row>
    <row r="6" spans="1:7">
      <c r="G6" s="1990"/>
    </row>
    <row r="7" spans="1:7" ht="16">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
      <c r="A15" s="3042" t="s">
        <v>1663</v>
      </c>
      <c r="B15" s="3037" t="s">
        <v>136</v>
      </c>
      <c r="C15" s="3038"/>
    </row>
    <row r="16" spans="1:7" ht="14">
      <c r="A16" s="3043"/>
      <c r="B16" s="3037" t="s">
        <v>69</v>
      </c>
      <c r="C16" s="3038"/>
    </row>
    <row r="17" spans="1:3" ht="14">
      <c r="A17" s="3043"/>
      <c r="B17" s="3040" t="s">
        <v>1664</v>
      </c>
      <c r="C17" s="1998" t="s">
        <v>1663</v>
      </c>
    </row>
    <row r="18" spans="1:3" ht="14">
      <c r="A18" s="3043"/>
      <c r="B18" s="3040"/>
      <c r="C18" s="1998" t="s">
        <v>1665</v>
      </c>
    </row>
    <row r="19" spans="1:3" ht="14">
      <c r="A19" s="3043"/>
      <c r="B19" s="3040"/>
      <c r="C19" s="1998" t="s">
        <v>1666</v>
      </c>
    </row>
    <row r="20" spans="1:3" ht="14">
      <c r="A20" s="3044"/>
      <c r="B20" s="3039" t="s">
        <v>1667</v>
      </c>
      <c r="C20" s="3038"/>
    </row>
    <row r="21" spans="1:3" ht="14">
      <c r="A21" s="1999" t="s">
        <v>1668</v>
      </c>
      <c r="B21" s="2000"/>
      <c r="C21" s="2001"/>
    </row>
    <row r="22" spans="1:3" ht="14">
      <c r="A22" s="3041" t="s">
        <v>1669</v>
      </c>
      <c r="B22" s="3039" t="s">
        <v>1670</v>
      </c>
      <c r="C22" s="3038"/>
    </row>
    <row r="23" spans="1:3" ht="14">
      <c r="A23" s="3041"/>
      <c r="B23" s="3039" t="s">
        <v>1671</v>
      </c>
      <c r="C23" s="3038"/>
    </row>
    <row r="24" spans="1:3" ht="14">
      <c r="A24" s="3041"/>
      <c r="B24" s="3039" t="s">
        <v>1672</v>
      </c>
      <c r="C24" s="3038"/>
    </row>
    <row r="25" spans="1:3" ht="14">
      <c r="A25" s="3041"/>
      <c r="B25" s="3040" t="s">
        <v>1673</v>
      </c>
      <c r="C25" s="1998" t="s">
        <v>1674</v>
      </c>
    </row>
    <row r="26" spans="1:3" ht="14">
      <c r="A26" s="3041"/>
      <c r="B26" s="3040"/>
      <c r="C26" s="1998" t="s">
        <v>1675</v>
      </c>
    </row>
    <row r="27" spans="1:3" ht="14">
      <c r="A27" s="3041"/>
      <c r="B27" s="3040"/>
      <c r="C27" s="1998" t="s">
        <v>1676</v>
      </c>
    </row>
    <row r="28" spans="1:3" ht="14">
      <c r="A28" s="3041"/>
      <c r="B28" s="3040"/>
      <c r="C28" s="1998" t="s">
        <v>1677</v>
      </c>
    </row>
    <row r="29" spans="1:3" ht="14">
      <c r="A29" s="3041"/>
      <c r="B29" s="3040"/>
      <c r="C29" s="1998" t="s">
        <v>1678</v>
      </c>
    </row>
    <row r="30" spans="1:3" ht="14">
      <c r="A30" s="3041"/>
      <c r="B30" s="3040"/>
      <c r="C30" s="1998" t="s">
        <v>1679</v>
      </c>
    </row>
    <row r="31" spans="1:3" ht="14">
      <c r="A31" s="3041"/>
      <c r="B31" s="3040"/>
      <c r="C31" s="1998" t="s">
        <v>1680</v>
      </c>
    </row>
    <row r="32" spans="1:3" ht="14">
      <c r="A32" s="3041"/>
      <c r="B32" s="3040"/>
      <c r="C32" s="1998" t="s">
        <v>1681</v>
      </c>
    </row>
    <row r="33" spans="1:3" ht="14">
      <c r="A33" s="3041"/>
      <c r="B33" s="3040"/>
      <c r="C33" s="1998" t="s">
        <v>1682</v>
      </c>
    </row>
    <row r="34" spans="1:3">
      <c r="A34" s="2002" t="s">
        <v>76</v>
      </c>
    </row>
    <row r="37" spans="1:3">
      <c r="A37" s="2002" t="s">
        <v>1683</v>
      </c>
    </row>
    <row r="38" spans="1:3" ht="14">
      <c r="A38" s="2003" t="s">
        <v>77</v>
      </c>
    </row>
    <row r="39" spans="1:3" ht="14">
      <c r="A39" s="2003" t="s">
        <v>78</v>
      </c>
    </row>
    <row r="40" spans="1:3" ht="14">
      <c r="A40" s="2003" t="s">
        <v>79</v>
      </c>
    </row>
    <row r="41" spans="1:3" ht="14">
      <c r="A41" s="2004" t="s">
        <v>80</v>
      </c>
    </row>
    <row r="42" spans="1:3" ht="1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E23" sqref="E23"/>
    </sheetView>
  </sheetViews>
  <sheetFormatPr baseColWidth="10" defaultColWidth="22.6640625" defaultRowHeight="24" customHeight="1"/>
  <cols>
    <col min="1" max="2" width="22.6640625" style="1015"/>
    <col min="3" max="3" width="32.1640625" style="1015" customWidth="1"/>
    <col min="4" max="5" width="22.6640625" style="1015"/>
    <col min="6" max="6" width="25.6640625" style="1015" customWidth="1"/>
    <col min="7" max="16384" width="22.6640625" style="1015"/>
  </cols>
  <sheetData>
    <row r="2" spans="1:6" ht="24" customHeight="1">
      <c r="A2" s="1017" t="s">
        <v>825</v>
      </c>
      <c r="B2" s="1018">
        <f ca="1">TODAY()</f>
        <v>43913</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5">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5">
        <v>44876</v>
      </c>
      <c r="D8" s="2347" t="s">
        <v>835</v>
      </c>
      <c r="E8" s="1022">
        <f ca="1">IF(F8&lt;B2,"已过期",2000110082)</f>
        <v>2000110082</v>
      </c>
      <c r="F8" s="1030">
        <v>46387</v>
      </c>
    </row>
    <row r="9" spans="1:6" ht="24" customHeight="1">
      <c r="A9" s="1701" t="s">
        <v>836</v>
      </c>
      <c r="B9" s="1022">
        <f ca="1">IF(C9&lt;B2,"已过期",1419970001)</f>
        <v>1419970001</v>
      </c>
      <c r="C9" s="2925">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3026</v>
      </c>
      <c r="B14" s="1022">
        <f ca="1">IF(C14&lt;B2,"已过期",1120040230)</f>
        <v>1120040230</v>
      </c>
      <c r="C14" s="2344">
        <v>44864</v>
      </c>
      <c r="D14" s="2347" t="s">
        <v>3026</v>
      </c>
      <c r="E14" s="1022">
        <f ca="1">IF(F14&lt;B2,"已过期",98030020)</f>
        <v>98030020</v>
      </c>
      <c r="F14" s="1030">
        <v>47118</v>
      </c>
    </row>
    <row r="15" spans="1:6" ht="24" customHeight="1">
      <c r="A15" s="1702"/>
      <c r="B15" s="1022"/>
      <c r="C15" s="2344"/>
      <c r="D15" s="2348"/>
      <c r="E15" s="1022"/>
      <c r="F15" s="1023"/>
    </row>
    <row r="16" spans="1:6" ht="24" customHeight="1">
      <c r="A16" s="1701"/>
      <c r="B16" s="1022"/>
      <c r="C16" s="2925"/>
      <c r="D16" s="2347"/>
      <c r="E16" s="1022"/>
      <c r="F16" s="1030"/>
    </row>
    <row r="17" spans="1:7" ht="24" customHeight="1">
      <c r="A17" s="1701"/>
      <c r="B17" s="1022"/>
      <c r="C17" s="2344"/>
      <c r="D17" s="2347"/>
      <c r="E17" s="1022"/>
      <c r="F17" s="1030"/>
    </row>
    <row r="18" spans="1:7" ht="24" customHeight="1">
      <c r="A18" s="1701" t="s">
        <v>3033</v>
      </c>
      <c r="B18" s="1022">
        <v>1120190079</v>
      </c>
      <c r="C18" s="2925">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t="s">
        <v>3035</v>
      </c>
      <c r="B23" s="1022">
        <v>1119980106</v>
      </c>
      <c r="C23" s="2344">
        <v>43916</v>
      </c>
      <c r="D23" s="1701" t="s">
        <v>3038</v>
      </c>
      <c r="E23" s="1022">
        <v>96010063</v>
      </c>
      <c r="F23" s="1030">
        <v>47118</v>
      </c>
    </row>
    <row r="24" spans="1:7" s="1024" customFormat="1" ht="24" customHeight="1">
      <c r="A24" s="1702" t="s">
        <v>1328</v>
      </c>
      <c r="B24" s="1702" t="s">
        <v>1328</v>
      </c>
      <c r="C24" s="2345" t="s">
        <v>1328</v>
      </c>
      <c r="D24" s="2348" t="s">
        <v>1328</v>
      </c>
      <c r="E24" s="1702" t="s">
        <v>1328</v>
      </c>
      <c r="F24" s="1702"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3034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酒店收入计算</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2020-03-23T06:27:56Z</dcterms:modified>
</cp:coreProperties>
</file>