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6" i="11" l="1"/>
  <c r="K20" i="11"/>
  <c r="K8" i="11"/>
  <c r="K9" i="11"/>
  <c r="K10" i="11"/>
  <c r="K11" i="11"/>
  <c r="K12" i="11"/>
  <c r="K13" i="11"/>
  <c r="K14" i="11"/>
  <c r="K15" i="11"/>
  <c r="K16" i="11"/>
  <c r="K17" i="11"/>
  <c r="K18" i="11"/>
  <c r="K19" i="11"/>
  <c r="K7" i="11"/>
  <c r="J19" i="11"/>
  <c r="J9" i="11"/>
  <c r="J10" i="11"/>
  <c r="J11" i="11"/>
  <c r="J12" i="11"/>
  <c r="J13" i="11"/>
  <c r="J14" i="11"/>
  <c r="J15" i="11"/>
  <c r="J16" i="11"/>
  <c r="J17" i="11"/>
  <c r="J18" i="11"/>
  <c r="J8" i="11"/>
  <c r="J7" i="11"/>
  <c r="I19" i="11"/>
  <c r="I10" i="11"/>
  <c r="I9" i="11"/>
  <c r="I8" i="11"/>
  <c r="I7" i="11"/>
  <c r="E20" i="1" l="1"/>
  <c r="I57" i="1" l="1"/>
  <c r="I56" i="1"/>
  <c r="I55" i="1"/>
  <c r="I54" i="1"/>
  <c r="J53" i="15" l="1"/>
  <c r="G20"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F25" i="59"/>
  <c r="C25" i="59"/>
  <c r="A2" i="50"/>
  <c r="B16" i="60" s="1"/>
  <c r="D25" i="59"/>
  <c r="K60" i="15"/>
  <c r="P59" i="15" s="1"/>
  <c r="P72" i="15"/>
  <c r="A127" i="57"/>
  <c r="A123" i="9"/>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Y30" i="59"/>
  <c r="Z30" i="59" s="1"/>
  <c r="Z33" i="59"/>
  <c r="Y34" i="59"/>
  <c r="Z34" i="59" s="1"/>
  <c r="X35" i="59"/>
  <c r="Z37" i="59"/>
  <c r="Y38" i="59"/>
  <c r="Z38" i="59" s="1"/>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E81" i="59"/>
  <c r="C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U69" i="59"/>
  <c r="F69" i="59"/>
  <c r="E69" i="59"/>
  <c r="E68" i="59" s="1"/>
  <c r="E67" i="59" s="1"/>
  <c r="P68" i="59"/>
  <c r="C69" i="59"/>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F61" i="59"/>
  <c r="V61" i="59" s="1"/>
  <c r="Q59" i="59"/>
  <c r="P59" i="59"/>
  <c r="O59" i="59"/>
  <c r="N59" i="59"/>
  <c r="Q58" i="59"/>
  <c r="F59" i="59" s="1"/>
  <c r="F60" i="59" s="1"/>
  <c r="P58" i="59"/>
  <c r="E59" i="59" s="1"/>
  <c r="E60" i="59" s="1"/>
  <c r="E61" i="59" s="1"/>
  <c r="U61" i="59" s="1"/>
  <c r="O58" i="59"/>
  <c r="C59" i="59" s="1"/>
  <c r="C60" i="59" s="1"/>
  <c r="C61" i="59" s="1"/>
  <c r="D61"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c r="C52" i="59" s="1"/>
  <c r="D52" i="59" s="1"/>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D43" i="59" s="1"/>
  <c r="N42" i="59"/>
  <c r="B43" i="59"/>
  <c r="B44" i="59" s="1"/>
  <c r="B45" i="59"/>
  <c r="S45" i="59" s="1"/>
  <c r="D42" i="59"/>
  <c r="Q41" i="59"/>
  <c r="P41" i="59"/>
  <c r="O41" i="59"/>
  <c r="N41" i="59"/>
  <c r="Q40" i="59"/>
  <c r="P40" i="59"/>
  <c r="AA40" i="59"/>
  <c r="O40" i="59"/>
  <c r="Y40" i="59"/>
  <c r="Z40" i="59" s="1"/>
  <c r="N40" i="59"/>
  <c r="Z39" i="59"/>
  <c r="Q39" i="59"/>
  <c r="P39" i="59"/>
  <c r="AA39" i="59" s="1"/>
  <c r="O39" i="59"/>
  <c r="Y39" i="59" s="1"/>
  <c r="N39" i="59"/>
  <c r="X39" i="59" s="1"/>
  <c r="Q38" i="59"/>
  <c r="P38" i="59"/>
  <c r="O38" i="59"/>
  <c r="C39" i="59"/>
  <c r="N38" i="59"/>
  <c r="B39" i="59"/>
  <c r="B40" i="59" s="1"/>
  <c r="B41" i="59" s="1"/>
  <c r="S41" i="59" s="1"/>
  <c r="D38" i="59"/>
  <c r="Q37" i="59"/>
  <c r="P37" i="59"/>
  <c r="O37" i="59"/>
  <c r="Y37" i="59" s="1"/>
  <c r="N37" i="59"/>
  <c r="X37" i="59" s="1"/>
  <c r="Q36" i="59"/>
  <c r="P36" i="59"/>
  <c r="O36" i="59"/>
  <c r="Y36" i="59" s="1"/>
  <c r="Z36" i="59" s="1"/>
  <c r="N36" i="59"/>
  <c r="X36" i="59" s="1"/>
  <c r="Q35" i="59"/>
  <c r="P35" i="59"/>
  <c r="O35" i="59"/>
  <c r="Y35" i="59" s="1"/>
  <c r="Z35" i="59" s="1"/>
  <c r="N35" i="59"/>
  <c r="Q34" i="59"/>
  <c r="P34" i="59"/>
  <c r="O34" i="59"/>
  <c r="C35" i="59"/>
  <c r="N34" i="59"/>
  <c r="B35" i="59"/>
  <c r="B36" i="59" s="1"/>
  <c r="B37" i="59" s="1"/>
  <c r="S37" i="59" s="1"/>
  <c r="D34" i="59"/>
  <c r="Q33" i="59"/>
  <c r="P33" i="59"/>
  <c r="O33" i="59"/>
  <c r="Y33" i="59" s="1"/>
  <c r="N33" i="59"/>
  <c r="Q32" i="59"/>
  <c r="P32" i="59"/>
  <c r="O32" i="59"/>
  <c r="Y32" i="59" s="1"/>
  <c r="Z32" i="59" s="1"/>
  <c r="N32" i="59"/>
  <c r="Q31" i="59"/>
  <c r="P31" i="59"/>
  <c r="O31" i="59"/>
  <c r="Y31" i="59" s="1"/>
  <c r="Z31" i="59" s="1"/>
  <c r="N31" i="59"/>
  <c r="Q30" i="59"/>
  <c r="P30" i="59"/>
  <c r="O30" i="59"/>
  <c r="C31" i="59"/>
  <c r="N30" i="59"/>
  <c r="B31" i="59"/>
  <c r="B32" i="59" s="1"/>
  <c r="B33" i="59" s="1"/>
  <c r="S33" i="59" s="1"/>
  <c r="D30" i="59"/>
  <c r="O29" i="59"/>
  <c r="N29" i="59"/>
  <c r="C29" i="59"/>
  <c r="T29" i="59"/>
  <c r="Y29" i="59"/>
  <c r="Z29" i="59"/>
  <c r="Y28" i="59"/>
  <c r="Z28" i="59"/>
  <c r="X26" i="59"/>
  <c r="C44" i="59"/>
  <c r="C48" i="59"/>
  <c r="D48" i="59" s="1"/>
  <c r="D47" i="59"/>
  <c r="D51" i="59"/>
  <c r="P29" i="59"/>
  <c r="E64" i="59"/>
  <c r="E65" i="59" s="1"/>
  <c r="U65" i="59" s="1"/>
  <c r="P67" i="59"/>
  <c r="Q29" i="59"/>
  <c r="D59" i="59"/>
  <c r="B67" i="59"/>
  <c r="T69" i="59"/>
  <c r="O69" i="59"/>
  <c r="D69" i="59"/>
  <c r="C68" i="59"/>
  <c r="T73" i="59"/>
  <c r="D73" i="59"/>
  <c r="C72" i="59"/>
  <c r="C76" i="59"/>
  <c r="E76" i="59"/>
  <c r="E75" i="59"/>
  <c r="D77" i="59"/>
  <c r="C80" i="59"/>
  <c r="C84" i="59"/>
  <c r="C88" i="59"/>
  <c r="E29" i="59"/>
  <c r="C28" i="59"/>
  <c r="D29" i="59"/>
  <c r="C53" i="59"/>
  <c r="T53" i="59" s="1"/>
  <c r="D88" i="59"/>
  <c r="C87" i="59"/>
  <c r="D87" i="59"/>
  <c r="C67" i="59"/>
  <c r="O68" i="59"/>
  <c r="D68" i="59"/>
  <c r="D60" i="59"/>
  <c r="D28" i="59"/>
  <c r="E28" i="59"/>
  <c r="E27" i="59" s="1"/>
  <c r="U29" i="59"/>
  <c r="O67" i="59"/>
  <c r="D53" i="59"/>
  <c r="T61" i="59"/>
  <c r="B86" i="43"/>
  <c r="B66" i="43"/>
  <c r="Q25" i="40"/>
  <c r="Z25" i="40" s="1"/>
  <c r="D93" i="40"/>
  <c r="E93" i="40" s="1"/>
  <c r="F93" i="40" s="1"/>
  <c r="G93" i="40" s="1"/>
  <c r="H25" i="40"/>
  <c r="F25" i="40"/>
  <c r="AA25" i="40" s="1"/>
  <c r="C25" i="40"/>
  <c r="Q27" i="39"/>
  <c r="Z27" i="39" s="1"/>
  <c r="D100" i="39"/>
  <c r="E100" i="39" s="1"/>
  <c r="F100" i="39" s="1"/>
  <c r="G100" i="39" s="1"/>
  <c r="C29" i="39"/>
  <c r="Z18" i="36"/>
  <c r="Q18" i="36"/>
  <c r="F18" i="36"/>
  <c r="C18" i="36"/>
  <c r="F66" i="36"/>
  <c r="G66" i="36" s="1"/>
  <c r="D66" i="36"/>
  <c r="E66" i="36" s="1"/>
  <c r="Q18" i="35"/>
  <c r="Z18" i="35" s="1"/>
  <c r="D68" i="35"/>
  <c r="E68" i="35"/>
  <c r="F68" i="35" s="1"/>
  <c r="G68" i="35" s="1"/>
  <c r="J18" i="35"/>
  <c r="AC18" i="35"/>
  <c r="H18" i="35"/>
  <c r="AB18" i="35"/>
  <c r="F18" i="35"/>
  <c r="AA18" i="35"/>
  <c r="C18" i="35"/>
  <c r="Z21" i="37"/>
  <c r="Q21" i="37"/>
  <c r="D77" i="37"/>
  <c r="E77" i="37" s="1"/>
  <c r="F77" i="37"/>
  <c r="G77" i="37" s="1"/>
  <c r="H21" i="37"/>
  <c r="AB21" i="37"/>
  <c r="F21" i="37"/>
  <c r="AA21" i="37"/>
  <c r="C21" i="37"/>
  <c r="Z21" i="34"/>
  <c r="Q21" i="34"/>
  <c r="D84" i="34"/>
  <c r="E84" i="34" s="1"/>
  <c r="F84" i="34" s="1"/>
  <c r="F21" i="34"/>
  <c r="C21" i="34"/>
  <c r="Q21" i="33"/>
  <c r="Z21" i="33" s="1"/>
  <c r="D83" i="33"/>
  <c r="E83" i="33"/>
  <c r="F83" i="33" s="1"/>
  <c r="G83" i="33" s="1"/>
  <c r="H21" i="33"/>
  <c r="F21" i="33"/>
  <c r="C21" i="33"/>
  <c r="Q21" i="21"/>
  <c r="Z21" i="21" s="1"/>
  <c r="D83" i="21"/>
  <c r="E83" i="21"/>
  <c r="F83" i="21" s="1"/>
  <c r="F21" i="21"/>
  <c r="AA21" i="21"/>
  <c r="C21" i="21"/>
  <c r="G20" i="20"/>
  <c r="C22" i="20"/>
  <c r="B75" i="43" s="1"/>
  <c r="W18" i="35"/>
  <c r="U18" i="35"/>
  <c r="S18" i="35"/>
  <c r="U21" i="37"/>
  <c r="S21" i="37"/>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R59" i="31"/>
  <c r="R60" i="31"/>
  <c r="T60" i="31" s="1"/>
  <c r="R61" i="31"/>
  <c r="R62" i="31"/>
  <c r="R63" i="31"/>
  <c r="R64" i="31"/>
  <c r="R65" i="31"/>
  <c r="R66" i="31"/>
  <c r="R67" i="31"/>
  <c r="R68" i="31"/>
  <c r="T68" i="31" s="1"/>
  <c r="R69" i="31"/>
  <c r="R70" i="31"/>
  <c r="R71" i="31"/>
  <c r="R72" i="31"/>
  <c r="R73" i="31"/>
  <c r="R74" i="31"/>
  <c r="R75" i="31"/>
  <c r="R76" i="31"/>
  <c r="R77" i="31"/>
  <c r="T77" i="31" s="1"/>
  <c r="R78" i="31"/>
  <c r="R79" i="31"/>
  <c r="R80" i="31"/>
  <c r="R81" i="31"/>
  <c r="T81" i="31" s="1"/>
  <c r="R82" i="31"/>
  <c r="R83" i="31"/>
  <c r="T83" i="31" s="1"/>
  <c r="R84" i="31"/>
  <c r="R85" i="31"/>
  <c r="T85" i="31" s="1"/>
  <c r="R86" i="31"/>
  <c r="R87" i="31"/>
  <c r="T87" i="31" s="1"/>
  <c r="R88" i="31"/>
  <c r="T88" i="31" s="1"/>
  <c r="R89" i="31"/>
  <c r="T89" i="31" s="1"/>
  <c r="R90" i="31"/>
  <c r="R91" i="31"/>
  <c r="T91" i="31" s="1"/>
  <c r="R92" i="31"/>
  <c r="R93" i="31"/>
  <c r="T93" i="31" s="1"/>
  <c r="R94" i="31"/>
  <c r="R95" i="31"/>
  <c r="T95" i="31" s="1"/>
  <c r="R96" i="31"/>
  <c r="T96" i="31" s="1"/>
  <c r="R97" i="31"/>
  <c r="T97" i="31" s="1"/>
  <c r="R98" i="31"/>
  <c r="R99" i="31"/>
  <c r="T99" i="31" s="1"/>
  <c r="R100" i="31"/>
  <c r="R101" i="31"/>
  <c r="T101" i="31" s="1"/>
  <c r="R102" i="31"/>
  <c r="R103" i="31"/>
  <c r="T103" i="31" s="1"/>
  <c r="R104" i="31"/>
  <c r="R105" i="31"/>
  <c r="T105" i="31" s="1"/>
  <c r="R106" i="31"/>
  <c r="T106" i="31" s="1"/>
  <c r="R107" i="31"/>
  <c r="T107" i="31" s="1"/>
  <c r="R108" i="31"/>
  <c r="R109" i="31"/>
  <c r="T109" i="31" s="1"/>
  <c r="R110" i="31"/>
  <c r="R111" i="31"/>
  <c r="T111" i="31" s="1"/>
  <c r="R112" i="31"/>
  <c r="R113" i="31"/>
  <c r="T113" i="31" s="1"/>
  <c r="R114" i="31"/>
  <c r="T114" i="31" s="1"/>
  <c r="R115" i="31"/>
  <c r="T115" i="31" s="1"/>
  <c r="R116" i="31"/>
  <c r="R117" i="31"/>
  <c r="T117" i="31" s="1"/>
  <c r="R118" i="31"/>
  <c r="R119" i="31"/>
  <c r="T119" i="31" s="1"/>
  <c r="R120" i="31"/>
  <c r="T120" i="31" s="1"/>
  <c r="R121" i="31"/>
  <c r="T121" i="31" s="1"/>
  <c r="R122" i="31"/>
  <c r="R123" i="31"/>
  <c r="T123" i="31" s="1"/>
  <c r="R124" i="31"/>
  <c r="R125" i="31"/>
  <c r="T125" i="31" s="1"/>
  <c r="R126" i="31"/>
  <c r="R127" i="31"/>
  <c r="T127" i="31" s="1"/>
  <c r="R128" i="31"/>
  <c r="R129" i="31"/>
  <c r="T129" i="31" s="1"/>
  <c r="R130" i="31"/>
  <c r="T130" i="31" s="1"/>
  <c r="R131" i="31"/>
  <c r="T131" i="31" s="1"/>
  <c r="R132" i="31"/>
  <c r="R133" i="31"/>
  <c r="T133" i="31" s="1"/>
  <c r="R134" i="31"/>
  <c r="R135" i="31"/>
  <c r="T135" i="31" s="1"/>
  <c r="R136" i="31"/>
  <c r="R137" i="31"/>
  <c r="T137" i="31" s="1"/>
  <c r="R138" i="31"/>
  <c r="T138" i="31" s="1"/>
  <c r="R139" i="31"/>
  <c r="T139" i="31" s="1"/>
  <c r="R140" i="31"/>
  <c r="R141" i="31"/>
  <c r="T141" i="31" s="1"/>
  <c r="R142" i="31"/>
  <c r="R143" i="31"/>
  <c r="T143" i="31" s="1"/>
  <c r="R144" i="31"/>
  <c r="R145" i="31"/>
  <c r="T145" i="31" s="1"/>
  <c r="R146" i="31"/>
  <c r="T146" i="31" s="1"/>
  <c r="R147" i="31"/>
  <c r="T147" i="31" s="1"/>
  <c r="R148" i="31"/>
  <c r="R149" i="31"/>
  <c r="T149" i="31" s="1"/>
  <c r="R150" i="31"/>
  <c r="R151" i="31"/>
  <c r="T151" i="31" s="1"/>
  <c r="R152" i="31"/>
  <c r="R153" i="31"/>
  <c r="T153" i="31" s="1"/>
  <c r="R154" i="31"/>
  <c r="T154" i="31" s="1"/>
  <c r="R155" i="31"/>
  <c r="T155" i="31" s="1"/>
  <c r="R156" i="31"/>
  <c r="R157" i="31"/>
  <c r="T157" i="31" s="1"/>
  <c r="R158" i="31"/>
  <c r="R159" i="31"/>
  <c r="T159" i="31" s="1"/>
  <c r="R160" i="3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R484" i="31"/>
  <c r="R485" i="31"/>
  <c r="R486" i="31"/>
  <c r="R487" i="31"/>
  <c r="T487" i="31" s="1"/>
  <c r="R488" i="31"/>
  <c r="R489" i="31"/>
  <c r="R490" i="31"/>
  <c r="R491" i="31"/>
  <c r="T491" i="31" s="1"/>
  <c r="R492" i="31"/>
  <c r="R493" i="31"/>
  <c r="R494" i="31"/>
  <c r="R495" i="31"/>
  <c r="T495" i="31" s="1"/>
  <c r="R496" i="31"/>
  <c r="R497" i="31"/>
  <c r="R498" i="31"/>
  <c r="R499" i="31"/>
  <c r="R500" i="31"/>
  <c r="R501" i="31"/>
  <c r="T501" i="31" s="1"/>
  <c r="R502" i="31"/>
  <c r="T502" i="31" s="1"/>
  <c r="R503" i="3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L41" i="47"/>
  <c r="M41" i="47" s="1"/>
  <c r="J41" i="47"/>
  <c r="I41" i="47" s="1"/>
  <c r="L40" i="47"/>
  <c r="M40" i="47" s="1"/>
  <c r="J40" i="47"/>
  <c r="I40" i="47" s="1"/>
  <c r="L39" i="47"/>
  <c r="M39" i="47" s="1"/>
  <c r="J39" i="47"/>
  <c r="L38" i="47"/>
  <c r="M38" i="47" s="1"/>
  <c r="J38" i="47"/>
  <c r="L37" i="47"/>
  <c r="M37" i="47" s="1"/>
  <c r="J37" i="47"/>
  <c r="I37" i="47" s="1"/>
  <c r="L34" i="47"/>
  <c r="M34" i="47" s="1"/>
  <c r="J34" i="47"/>
  <c r="I34" i="47" s="1"/>
  <c r="L33" i="47"/>
  <c r="M33" i="47" s="1"/>
  <c r="J33" i="47"/>
  <c r="L32" i="47"/>
  <c r="M32" i="47" s="1"/>
  <c r="J32" i="47"/>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54" i="31"/>
  <c r="S146" i="31"/>
  <c r="S138" i="31"/>
  <c r="S130" i="31"/>
  <c r="S491" i="31"/>
  <c r="S444" i="31"/>
  <c r="S440" i="31"/>
  <c r="S436" i="31"/>
  <c r="S120" i="31"/>
  <c r="S468" i="31"/>
  <c r="S464" i="31"/>
  <c r="S460" i="31"/>
  <c r="S456" i="31"/>
  <c r="S51" i="31"/>
  <c r="S43" i="31"/>
  <c r="S35" i="31"/>
  <c r="S68" i="31"/>
  <c r="S60" i="31"/>
  <c r="S96" i="31"/>
  <c r="S88" i="31"/>
  <c r="S34" i="31"/>
  <c r="S106"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H30" i="36"/>
  <c r="F30" i="36"/>
  <c r="AA30" i="36" s="1"/>
  <c r="C79" i="35"/>
  <c r="J31" i="35"/>
  <c r="H31" i="35"/>
  <c r="AB31" i="35" s="1"/>
  <c r="F31" i="35"/>
  <c r="D87" i="35"/>
  <c r="E87" i="35"/>
  <c r="F87" i="35" s="1"/>
  <c r="G87" i="35" s="1"/>
  <c r="H87" i="35" s="1"/>
  <c r="I87" i="35"/>
  <c r="J87" i="35" s="1"/>
  <c r="K87" i="35" s="1"/>
  <c r="L87" i="35" s="1"/>
  <c r="M87" i="35" s="1"/>
  <c r="H29" i="35"/>
  <c r="H34" i="37"/>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J41" i="33"/>
  <c r="W41" i="33"/>
  <c r="D113" i="33"/>
  <c r="F37" i="33"/>
  <c r="D111" i="33"/>
  <c r="E111" i="33" s="1"/>
  <c r="F111" i="33"/>
  <c r="G111" i="33" s="1"/>
  <c r="H111" i="33" s="1"/>
  <c r="I111" i="33" s="1"/>
  <c r="J111" i="33"/>
  <c r="K111" i="33" s="1"/>
  <c r="L111" i="33" s="1"/>
  <c r="M111" i="33" s="1"/>
  <c r="S518" i="31"/>
  <c r="S520" i="31"/>
  <c r="S522" i="31"/>
  <c r="S524" i="31"/>
  <c r="S526"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D92" i="39"/>
  <c r="E92" i="39" s="1"/>
  <c r="F92" i="39" s="1"/>
  <c r="G92" i="39" s="1"/>
  <c r="D90" i="39"/>
  <c r="E90" i="39" s="1"/>
  <c r="F90" i="39" s="1"/>
  <c r="G90" i="39" s="1"/>
  <c r="D88" i="39"/>
  <c r="E88" i="39" s="1"/>
  <c r="F88" i="39" s="1"/>
  <c r="G88" i="39" s="1"/>
  <c r="B85" i="39"/>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s="1"/>
  <c r="J63" i="37"/>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c r="Q10" i="37"/>
  <c r="Z10" i="37"/>
  <c r="Q9" i="37"/>
  <c r="Z9" i="37"/>
  <c r="J8" i="37"/>
  <c r="W8" i="37" s="1"/>
  <c r="H8" i="37"/>
  <c r="F8" i="37"/>
  <c r="S8" i="37" s="1"/>
  <c r="J31" i="36"/>
  <c r="AC31" i="36" s="1"/>
  <c r="H31" i="36"/>
  <c r="AB31" i="36"/>
  <c r="F31" i="36"/>
  <c r="S31" i="36"/>
  <c r="M86" i="36"/>
  <c r="L86" i="36"/>
  <c r="K86" i="36"/>
  <c r="J86" i="36"/>
  <c r="I86" i="36"/>
  <c r="H86" i="36"/>
  <c r="G86" i="36"/>
  <c r="F86" i="36"/>
  <c r="E86" i="36"/>
  <c r="D86" i="36"/>
  <c r="C86" i="36"/>
  <c r="D85" i="36"/>
  <c r="E85" i="36" s="1"/>
  <c r="H29" i="36"/>
  <c r="U29" i="36"/>
  <c r="D81" i="36"/>
  <c r="E81" i="36"/>
  <c r="F81" i="36" s="1"/>
  <c r="G81" i="36"/>
  <c r="H81" i="36" s="1"/>
  <c r="I81" i="36" s="1"/>
  <c r="J81" i="36" s="1"/>
  <c r="K81" i="36" s="1"/>
  <c r="L81" i="36" s="1"/>
  <c r="M81" i="36" s="1"/>
  <c r="G79" i="36"/>
  <c r="F79" i="36"/>
  <c r="E79" i="36"/>
  <c r="D79" i="36"/>
  <c r="C79" i="36"/>
  <c r="B93" i="36"/>
  <c r="B91" i="36"/>
  <c r="F32" i="36"/>
  <c r="S32" i="36" s="1"/>
  <c r="B95" i="36"/>
  <c r="H34" i="36"/>
  <c r="U34" i="36" s="1"/>
  <c r="D83" i="36"/>
  <c r="E83" i="36" s="1"/>
  <c r="F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J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B75" i="35"/>
  <c r="J24" i="35" s="1"/>
  <c r="B73" i="35"/>
  <c r="H23" i="35"/>
  <c r="U23" i="35" s="1"/>
  <c r="B57" i="35"/>
  <c r="B61" i="35"/>
  <c r="B59" i="35"/>
  <c r="B131" i="34"/>
  <c r="B129" i="34"/>
  <c r="B127" i="34"/>
  <c r="B99" i="34"/>
  <c r="H32" i="34" s="1"/>
  <c r="B97" i="34"/>
  <c r="B95" i="34"/>
  <c r="B93" i="34"/>
  <c r="B75" i="34"/>
  <c r="H14" i="34" s="1"/>
  <c r="B73" i="34"/>
  <c r="B71" i="34"/>
  <c r="J12" i="34" s="1"/>
  <c r="B130" i="33"/>
  <c r="B128" i="33"/>
  <c r="B126" i="33"/>
  <c r="B98" i="33"/>
  <c r="B96" i="33"/>
  <c r="B94" i="33"/>
  <c r="J29" i="33" s="1"/>
  <c r="AC29" i="33" s="1"/>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c r="L102" i="34" s="1"/>
  <c r="M102" i="34" s="1"/>
  <c r="H33" i="34"/>
  <c r="U33" i="34"/>
  <c r="D92" i="34"/>
  <c r="E92" i="34"/>
  <c r="F92" i="34" s="1"/>
  <c r="G92" i="34"/>
  <c r="H92" i="34" s="1"/>
  <c r="I92" i="34" s="1"/>
  <c r="J92" i="34" s="1"/>
  <c r="K92" i="34"/>
  <c r="L92" i="34" s="1"/>
  <c r="M92" i="34" s="1"/>
  <c r="B91" i="34"/>
  <c r="B89" i="34"/>
  <c r="D88" i="34"/>
  <c r="E88" i="34" s="1"/>
  <c r="F88" i="34" s="1"/>
  <c r="G88" i="34" s="1"/>
  <c r="H88" i="34"/>
  <c r="I88" i="34" s="1"/>
  <c r="J88" i="34" s="1"/>
  <c r="K88" i="34" s="1"/>
  <c r="L88" i="34" s="1"/>
  <c r="M88" i="34" s="1"/>
  <c r="D86" i="34"/>
  <c r="E86" i="34" s="1"/>
  <c r="F86" i="34"/>
  <c r="G86" i="34" s="1"/>
  <c r="F23" i="34"/>
  <c r="AA23" i="34" s="1"/>
  <c r="D82" i="34"/>
  <c r="E82" i="34" s="1"/>
  <c r="F82" i="34" s="1"/>
  <c r="G82" i="34" s="1"/>
  <c r="F19" i="34"/>
  <c r="AA19" i="34" s="1"/>
  <c r="D80" i="34"/>
  <c r="E80" i="34"/>
  <c r="D78" i="34"/>
  <c r="E78" i="34"/>
  <c r="F78" i="34" s="1"/>
  <c r="G78" i="34" s="1"/>
  <c r="F15" i="34"/>
  <c r="AA15" i="34"/>
  <c r="D70" i="34"/>
  <c r="E70" i="34"/>
  <c r="F70" i="34" s="1"/>
  <c r="G70" i="34"/>
  <c r="H70" i="34" s="1"/>
  <c r="I70" i="34" s="1"/>
  <c r="J70" i="34" s="1"/>
  <c r="K70" i="34"/>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c r="K123" i="33" s="1"/>
  <c r="L123" i="33" s="1"/>
  <c r="M123" i="33" s="1"/>
  <c r="D117" i="33"/>
  <c r="D115" i="33"/>
  <c r="E115" i="33"/>
  <c r="F115" i="33" s="1"/>
  <c r="G115" i="33" s="1"/>
  <c r="H115" i="33" s="1"/>
  <c r="I115" i="33"/>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c r="G123" i="21" s="1"/>
  <c r="H123" i="21" s="1"/>
  <c r="I123" i="21" s="1"/>
  <c r="J123" i="21" s="1"/>
  <c r="K123" i="21" s="1"/>
  <c r="L123" i="21" s="1"/>
  <c r="M123" i="21" s="1"/>
  <c r="F42" i="21"/>
  <c r="AA42" i="21" s="1"/>
  <c r="D119" i="21"/>
  <c r="E119" i="21" s="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H33" i="21"/>
  <c r="F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J45" i="39"/>
  <c r="W45" i="39" s="1"/>
  <c r="J44" i="39"/>
  <c r="F36" i="39"/>
  <c r="S36" i="39" s="1"/>
  <c r="H36" i="39"/>
  <c r="J36" i="39"/>
  <c r="AC36" i="39" s="1"/>
  <c r="S8" i="39"/>
  <c r="U38" i="39"/>
  <c r="H32" i="37"/>
  <c r="AB32" i="37" s="1"/>
  <c r="F39" i="37"/>
  <c r="U14" i="37"/>
  <c r="F29" i="36"/>
  <c r="AA29" i="36" s="1"/>
  <c r="F16" i="36"/>
  <c r="S16" i="36" s="1"/>
  <c r="U22" i="36"/>
  <c r="AA31" i="36"/>
  <c r="W31" i="36"/>
  <c r="U31" i="36"/>
  <c r="J33" i="36"/>
  <c r="W33" i="36" s="1"/>
  <c r="AB34" i="36"/>
  <c r="H22" i="35"/>
  <c r="AB22" i="35"/>
  <c r="U31" i="35"/>
  <c r="S32" i="35"/>
  <c r="S31" i="35"/>
  <c r="W31" i="35"/>
  <c r="U32" i="35"/>
  <c r="F36" i="34"/>
  <c r="AA36" i="34"/>
  <c r="H39" i="33"/>
  <c r="AB39" i="33" s="1"/>
  <c r="F26" i="33"/>
  <c r="AA26" i="33" s="1"/>
  <c r="S40" i="33"/>
  <c r="AC38" i="21"/>
  <c r="H39" i="37"/>
  <c r="AB39" i="37"/>
  <c r="F11" i="40"/>
  <c r="AA11" i="40" s="1"/>
  <c r="H11" i="40"/>
  <c r="U9" i="40"/>
  <c r="W39" i="40"/>
  <c r="F42" i="39"/>
  <c r="AA42" i="39"/>
  <c r="F41" i="39"/>
  <c r="AA41" i="39"/>
  <c r="H40" i="39"/>
  <c r="AB40" i="39"/>
  <c r="H39" i="39"/>
  <c r="U39" i="39"/>
  <c r="H34" i="39"/>
  <c r="H31" i="39"/>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1" i="39"/>
  <c r="H11" i="39"/>
  <c r="AB11" i="39" s="1"/>
  <c r="AB39" i="39"/>
  <c r="H11" i="21"/>
  <c r="U11" i="21"/>
  <c r="J11" i="21"/>
  <c r="AC11" i="21"/>
  <c r="H36" i="40"/>
  <c r="U36" i="40" s="1"/>
  <c r="F35" i="40"/>
  <c r="S35" i="40" s="1"/>
  <c r="J30" i="40"/>
  <c r="W30" i="40" s="1"/>
  <c r="F30" i="40"/>
  <c r="H27" i="40"/>
  <c r="H23" i="40"/>
  <c r="AB23" i="40" s="1"/>
  <c r="J11" i="40"/>
  <c r="AB12" i="33"/>
  <c r="AA12" i="33"/>
  <c r="S44" i="39"/>
  <c r="F37" i="39"/>
  <c r="S37" i="39"/>
  <c r="J34" i="36"/>
  <c r="U30" i="36"/>
  <c r="F22" i="35"/>
  <c r="AA22" i="35"/>
  <c r="H10" i="35"/>
  <c r="U10" i="35"/>
  <c r="AB29"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F38" i="34"/>
  <c r="AA38" i="34"/>
  <c r="G114" i="34"/>
  <c r="H114" i="34" s="1"/>
  <c r="I114" i="34" s="1"/>
  <c r="J114" i="34" s="1"/>
  <c r="K114" i="34" s="1"/>
  <c r="L114" i="34" s="1"/>
  <c r="M114" i="34" s="1"/>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B30" i="36"/>
  <c r="F29" i="35"/>
  <c r="S29" i="35"/>
  <c r="AB42" i="34"/>
  <c r="H38" i="34"/>
  <c r="U15" i="34"/>
  <c r="F113" i="33"/>
  <c r="G113" i="33"/>
  <c r="H113" i="33" s="1"/>
  <c r="I113" i="33" s="1"/>
  <c r="J113" i="33" s="1"/>
  <c r="K113" i="33" s="1"/>
  <c r="L113" i="33" s="1"/>
  <c r="M113" i="33" s="1"/>
  <c r="H37" i="33"/>
  <c r="AB37" i="33"/>
  <c r="H36" i="33"/>
  <c r="U36" i="33" s="1"/>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s="1"/>
  <c r="K119" i="21" s="1"/>
  <c r="L119" i="21" s="1"/>
  <c r="M119" i="21" s="1"/>
  <c r="H26" i="33"/>
  <c r="U26" i="33" s="1"/>
  <c r="H28" i="33"/>
  <c r="F28" i="33"/>
  <c r="S28" i="33" s="1"/>
  <c r="J28" i="33"/>
  <c r="AC28" i="33" s="1"/>
  <c r="F33" i="35"/>
  <c r="S33" i="35" s="1"/>
  <c r="J33" i="35"/>
  <c r="AC33" i="35" s="1"/>
  <c r="F30" i="35"/>
  <c r="S30" i="35" s="1"/>
  <c r="E89" i="35"/>
  <c r="F89" i="35" s="1"/>
  <c r="G89" i="35"/>
  <c r="H89" i="35" s="1"/>
  <c r="I89" i="35" s="1"/>
  <c r="J89" i="35" s="1"/>
  <c r="K89" i="35" s="1"/>
  <c r="L89" i="35" s="1"/>
  <c r="M89" i="35" s="1"/>
  <c r="H10" i="36"/>
  <c r="AB10" i="36"/>
  <c r="G83" i="36"/>
  <c r="H83" i="36" s="1"/>
  <c r="I83" i="36" s="1"/>
  <c r="J83" i="36" s="1"/>
  <c r="K83" i="36" s="1"/>
  <c r="L83" i="36" s="1"/>
  <c r="M83" i="36" s="1"/>
  <c r="F28" i="36"/>
  <c r="AA28" i="36"/>
  <c r="H29" i="33"/>
  <c r="U29" i="33" s="1"/>
  <c r="F29" i="33"/>
  <c r="S29" i="33" s="1"/>
  <c r="J31" i="33"/>
  <c r="H31" i="33"/>
  <c r="AB31" i="33" s="1"/>
  <c r="F31" i="33"/>
  <c r="AA31" i="33" s="1"/>
  <c r="H45" i="33"/>
  <c r="J45" i="33"/>
  <c r="W45" i="33" s="1"/>
  <c r="F45" i="33"/>
  <c r="S45" i="33" s="1"/>
  <c r="J14" i="34"/>
  <c r="F14" i="34"/>
  <c r="S14" i="34" s="1"/>
  <c r="U14"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H11" i="36"/>
  <c r="AB11" i="36" s="1"/>
  <c r="H13" i="36"/>
  <c r="AB13" i="36" s="1"/>
  <c r="F13" i="36"/>
  <c r="S13" i="36" s="1"/>
  <c r="H36" i="37"/>
  <c r="AB36" i="37" s="1"/>
  <c r="H37" i="37"/>
  <c r="AC12" i="40"/>
  <c r="W12" i="40"/>
  <c r="H14" i="33"/>
  <c r="U14" i="33" s="1"/>
  <c r="F14" i="33"/>
  <c r="J14" i="33"/>
  <c r="H30" i="33"/>
  <c r="AB30" i="33" s="1"/>
  <c r="F30" i="33"/>
  <c r="S30" i="33" s="1"/>
  <c r="J30" i="33"/>
  <c r="AC30" i="33" s="1"/>
  <c r="H44" i="33"/>
  <c r="AB44" i="33" s="1"/>
  <c r="J44" i="33"/>
  <c r="AC44" i="33" s="1"/>
  <c r="F44" i="33"/>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F38" i="37"/>
  <c r="S38" i="37" s="1"/>
  <c r="F43" i="39"/>
  <c r="AA43" i="39" s="1"/>
  <c r="J14" i="39"/>
  <c r="W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W13" i="35"/>
  <c r="AB14" i="33"/>
  <c r="W28" i="37"/>
  <c r="AC32" i="34"/>
  <c r="J10" i="36"/>
  <c r="AC10" i="36" s="1"/>
  <c r="AB46" i="21"/>
  <c r="U14" i="21"/>
  <c r="AC14" i="21"/>
  <c r="U32" i="36"/>
  <c r="W29" i="33"/>
  <c r="U42" i="21"/>
  <c r="S19" i="21"/>
  <c r="J41" i="39"/>
  <c r="W41" i="39" s="1"/>
  <c r="AC45" i="39"/>
  <c r="S508" i="31"/>
  <c r="S506" i="31"/>
  <c r="S504" i="31"/>
  <c r="S502" i="31"/>
  <c r="O30" i="31"/>
  <c r="O31" i="31"/>
  <c r="O29" i="31"/>
  <c r="M30" i="31"/>
  <c r="M31" i="31"/>
  <c r="M29"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s="1"/>
  <c r="S30" i="31"/>
  <c r="AC33" i="36"/>
  <c r="AB20" i="35"/>
  <c r="AA11" i="35"/>
  <c r="S28" i="37"/>
  <c r="U39" i="37"/>
  <c r="S25" i="37"/>
  <c r="AB8" i="34"/>
  <c r="AA30" i="33"/>
  <c r="AB10" i="33"/>
  <c r="S11" i="33"/>
  <c r="AB38" i="21"/>
  <c r="AA23" i="37"/>
  <c r="W10" i="36"/>
  <c r="H37" i="21"/>
  <c r="U37" i="21" s="1"/>
  <c r="J37" i="21"/>
  <c r="W37" i="21" s="1"/>
  <c r="H19" i="34"/>
  <c r="U19" i="34" s="1"/>
  <c r="F36" i="35"/>
  <c r="AA36" i="35" s="1"/>
  <c r="J9" i="37"/>
  <c r="H9" i="37"/>
  <c r="AB9" i="37" s="1"/>
  <c r="F9" i="37"/>
  <c r="AA9" i="37" s="1"/>
  <c r="F11" i="37"/>
  <c r="S11" i="37" s="1"/>
  <c r="J42" i="39"/>
  <c r="AC42" i="39" s="1"/>
  <c r="S37" i="21"/>
  <c r="AB37" i="21"/>
  <c r="AC31" i="39"/>
  <c r="C12" i="43"/>
  <c r="D15" i="47"/>
  <c r="D17" i="47"/>
  <c r="D19" i="47"/>
  <c r="D21" i="47"/>
  <c r="D23" i="47"/>
  <c r="D27" i="47"/>
  <c r="D37" i="47"/>
  <c r="D41" i="47"/>
  <c r="D43" i="47"/>
  <c r="D16" i="47"/>
  <c r="D18" i="47"/>
  <c r="D20" i="47"/>
  <c r="D22" i="47"/>
  <c r="D26" i="47"/>
  <c r="D28" i="47"/>
  <c r="D30" i="47"/>
  <c r="D34" i="47"/>
  <c r="D40" i="47"/>
  <c r="D44" i="47"/>
  <c r="D9" i="47"/>
  <c r="D8" i="47"/>
  <c r="H19" i="40"/>
  <c r="AB19" i="40" s="1"/>
  <c r="F19" i="40"/>
  <c r="S19" i="40" s="1"/>
  <c r="S13" i="40"/>
  <c r="S17" i="39"/>
  <c r="AB44" i="39"/>
  <c r="U44" i="39"/>
  <c r="G102"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AB25" i="39"/>
  <c r="J11" i="39"/>
  <c r="W11" i="39" s="1"/>
  <c r="J32" i="39"/>
  <c r="AC32" i="39" s="1"/>
  <c r="E65" i="39"/>
  <c r="E60" i="40"/>
  <c r="F34" i="43"/>
  <c r="H55" i="39"/>
  <c r="H16" i="44"/>
  <c r="D17" i="43"/>
  <c r="I17" i="43"/>
  <c r="D108" i="9"/>
  <c r="F22" i="43"/>
  <c r="G22" i="43"/>
  <c r="H14" i="44"/>
  <c r="W40" i="39"/>
  <c r="AC20" i="35"/>
  <c r="AC10" i="34"/>
  <c r="AB12" i="34"/>
  <c r="H23" i="34"/>
  <c r="AB23" i="34" s="1"/>
  <c r="F33" i="34"/>
  <c r="S33" i="34" s="1"/>
  <c r="F109" i="34"/>
  <c r="G109" i="34" s="1"/>
  <c r="H109" i="34"/>
  <c r="I109" i="34" s="1"/>
  <c r="J109" i="34" s="1"/>
  <c r="K109" i="34" s="1"/>
  <c r="L109" i="34" s="1"/>
  <c r="M109" i="34" s="1"/>
  <c r="H36" i="34"/>
  <c r="AB36" i="34" s="1"/>
  <c r="F35" i="34"/>
  <c r="AA35" i="34" s="1"/>
  <c r="F107" i="34"/>
  <c r="G107" i="34" s="1"/>
  <c r="H107" i="34"/>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AB29" i="35"/>
  <c r="U29" i="35"/>
  <c r="AA35" i="39"/>
  <c r="AB21" i="39"/>
  <c r="U25" i="35"/>
  <c r="W44" i="33"/>
  <c r="U36" i="37"/>
  <c r="AB46" i="34"/>
  <c r="AA14" i="34"/>
  <c r="W44" i="21"/>
  <c r="AB38" i="34"/>
  <c r="U38" i="34"/>
  <c r="F40" i="34"/>
  <c r="AA40" i="34" s="1"/>
  <c r="G118" i="34"/>
  <c r="U20" i="36"/>
  <c r="AB20" i="36"/>
  <c r="AA16" i="36"/>
  <c r="AC44" i="39"/>
  <c r="W44" i="39"/>
  <c r="H13" i="21"/>
  <c r="U13" i="21" s="1"/>
  <c r="J13" i="21"/>
  <c r="W13" i="21" s="1"/>
  <c r="F13" i="21"/>
  <c r="AA13" i="21"/>
  <c r="J45" i="21"/>
  <c r="F45" i="21"/>
  <c r="AA45" i="21" s="1"/>
  <c r="S42" i="21"/>
  <c r="B41" i="47"/>
  <c r="C23" i="40"/>
  <c r="AC8" i="34"/>
  <c r="W8" i="34"/>
  <c r="W12" i="34"/>
  <c r="AC12" i="34"/>
  <c r="J9" i="34"/>
  <c r="AC9" i="34"/>
  <c r="F9" i="34"/>
  <c r="S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H32" i="39"/>
  <c r="U32" i="39" s="1"/>
  <c r="F21" i="39"/>
  <c r="AA21" i="39" s="1"/>
  <c r="F31" i="37"/>
  <c r="AA31" i="37" s="1"/>
  <c r="U25" i="36"/>
  <c r="S44" i="21"/>
  <c r="AC36" i="40"/>
  <c r="F17" i="37"/>
  <c r="AA17" i="37"/>
  <c r="AB28" i="36"/>
  <c r="AB13" i="40"/>
  <c r="U33" i="40"/>
  <c r="U44" i="33"/>
  <c r="AB11" i="35"/>
  <c r="U32" i="34"/>
  <c r="AB32" i="34"/>
  <c r="H45" i="21"/>
  <c r="AB45" i="21" s="1"/>
  <c r="J14" i="36"/>
  <c r="AC14" i="36" s="1"/>
  <c r="AC30" i="21"/>
  <c r="S15" i="34"/>
  <c r="J40" i="34"/>
  <c r="AC40" i="34" s="1"/>
  <c r="S37" i="40"/>
  <c r="H19" i="33"/>
  <c r="AB19" i="33"/>
  <c r="AB23" i="33"/>
  <c r="U23" i="33"/>
  <c r="W23" i="33"/>
  <c r="AA41" i="33"/>
  <c r="J23" i="34"/>
  <c r="W23" i="34"/>
  <c r="AB17" i="39"/>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H28" i="34"/>
  <c r="U28" i="34"/>
  <c r="E116" i="34"/>
  <c r="F116" i="34"/>
  <c r="G116" i="34" s="1"/>
  <c r="H116" i="34" s="1"/>
  <c r="I116" i="34" s="1"/>
  <c r="J116" i="34" s="1"/>
  <c r="K116" i="34" s="1"/>
  <c r="L116" i="34" s="1"/>
  <c r="M116" i="34" s="1"/>
  <c r="J39" i="34"/>
  <c r="W39" i="34" s="1"/>
  <c r="J27" i="36"/>
  <c r="AC27" i="36" s="1"/>
  <c r="F37" i="34"/>
  <c r="AA37" i="34"/>
  <c r="H37" i="34"/>
  <c r="U37" i="34"/>
  <c r="AA32" i="37"/>
  <c r="U12" i="40"/>
  <c r="AC46" i="34"/>
  <c r="AA32" i="34"/>
  <c r="S31" i="33"/>
  <c r="U10" i="36"/>
  <c r="W28" i="33"/>
  <c r="W34" i="33"/>
  <c r="AC34" i="33"/>
  <c r="AA14" i="35"/>
  <c r="S14" i="35"/>
  <c r="W11" i="21"/>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c r="AB35" i="39"/>
  <c r="AC40" i="37"/>
  <c r="S27" i="37"/>
  <c r="AA12" i="37"/>
  <c r="J17" i="34"/>
  <c r="AC17" i="34" s="1"/>
  <c r="G80" i="34"/>
  <c r="F17" i="34"/>
  <c r="AA17" i="34"/>
  <c r="H27" i="33"/>
  <c r="AB27" i="33"/>
  <c r="F43" i="33"/>
  <c r="S43" i="33"/>
  <c r="J43" i="33"/>
  <c r="AC43" i="33"/>
  <c r="AB31" i="21"/>
  <c r="U31" i="21"/>
  <c r="S29" i="21"/>
  <c r="AC27" i="21"/>
  <c r="S37" i="34"/>
  <c r="H27" i="36"/>
  <c r="AB27" i="36" s="1"/>
  <c r="F27" i="36"/>
  <c r="AA27" i="36" s="1"/>
  <c r="J28" i="34"/>
  <c r="W28" i="34" s="1"/>
  <c r="AB34" i="21"/>
  <c r="H11" i="34"/>
  <c r="U11" i="34"/>
  <c r="S17" i="37"/>
  <c r="J11" i="37"/>
  <c r="AC11" i="37" s="1"/>
  <c r="AC36" i="34"/>
  <c r="W12" i="39"/>
  <c r="AC12" i="39"/>
  <c r="W9" i="34"/>
  <c r="S45" i="21"/>
  <c r="AC37" i="37"/>
  <c r="U38" i="40"/>
  <c r="F23" i="39"/>
  <c r="AA23" i="39" s="1"/>
  <c r="F96" i="39"/>
  <c r="G96" i="39" s="1"/>
  <c r="S26" i="37"/>
  <c r="F44" i="34"/>
  <c r="AA44" i="34" s="1"/>
  <c r="F126" i="34"/>
  <c r="G126" i="34"/>
  <c r="J44" i="34"/>
  <c r="AC44" i="34"/>
  <c r="U31" i="37"/>
  <c r="W27" i="37"/>
  <c r="AB27" i="37"/>
  <c r="H10" i="37"/>
  <c r="U10" i="37" s="1"/>
  <c r="AB43" i="33"/>
  <c r="AB29" i="21"/>
  <c r="W27" i="36"/>
  <c r="U9" i="34"/>
  <c r="F101" i="33"/>
  <c r="G101" i="33" s="1"/>
  <c r="H101" i="33" s="1"/>
  <c r="I101" i="33" s="1"/>
  <c r="J101" i="33" s="1"/>
  <c r="K101" i="33" s="1"/>
  <c r="L101" i="33" s="1"/>
  <c r="M101" i="33" s="1"/>
  <c r="J32" i="33"/>
  <c r="W32" i="33" s="1"/>
  <c r="H32" i="33"/>
  <c r="AB32" i="33" s="1"/>
  <c r="W40" i="34"/>
  <c r="U12" i="36"/>
  <c r="AC45" i="21"/>
  <c r="W45" i="21"/>
  <c r="AC13" i="21"/>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8" i="40"/>
  <c r="AA19" i="40"/>
  <c r="S36" i="40"/>
  <c r="AA35" i="40"/>
  <c r="AC38" i="39"/>
  <c r="AA37" i="39"/>
  <c r="AC25" i="39"/>
  <c r="AC23" i="39"/>
  <c r="W27" i="39"/>
  <c r="AC27" i="39"/>
  <c r="U41" i="39"/>
  <c r="U42" i="39"/>
  <c r="AB13" i="39"/>
  <c r="U19" i="39"/>
  <c r="AB27" i="39"/>
  <c r="U27" i="39"/>
  <c r="AA27" i="39"/>
  <c r="S27" i="39"/>
  <c r="S40" i="39"/>
  <c r="S31" i="39"/>
  <c r="AC11" i="39"/>
  <c r="S13" i="39"/>
  <c r="AC24" i="36"/>
  <c r="S12" i="36"/>
  <c r="S22" i="36"/>
  <c r="AC16" i="36"/>
  <c r="S26" i="36"/>
  <c r="AC26" i="36"/>
  <c r="S14" i="36"/>
  <c r="U14" i="36"/>
  <c r="S10" i="36"/>
  <c r="W18" i="36"/>
  <c r="AC18" i="36"/>
  <c r="AC12" i="36"/>
  <c r="W25" i="36"/>
  <c r="AC20" i="36"/>
  <c r="W28" i="36"/>
  <c r="W8" i="36"/>
  <c r="AB16" i="36"/>
  <c r="AB18" i="36"/>
  <c r="U18" i="36"/>
  <c r="S28" i="36"/>
  <c r="W35" i="35"/>
  <c r="AC25" i="35"/>
  <c r="W23" i="35"/>
  <c r="S23" i="35"/>
  <c r="W11" i="35"/>
  <c r="W10" i="35"/>
  <c r="AB16" i="35"/>
  <c r="W14" i="35"/>
  <c r="AC26" i="35"/>
  <c r="W28" i="35"/>
  <c r="AC27"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AC17" i="37"/>
  <c r="AB17" i="37"/>
  <c r="S15" i="37"/>
  <c r="J15" i="37"/>
  <c r="W10" i="37"/>
  <c r="S10" i="37"/>
  <c r="AA11" i="37"/>
  <c r="U9" i="37"/>
  <c r="AB10" i="37"/>
  <c r="AC21" i="37"/>
  <c r="W21" i="37"/>
  <c r="W14" i="37"/>
  <c r="AC19" i="37"/>
  <c r="W39" i="37"/>
  <c r="AB11" i="37"/>
  <c r="S37" i="37"/>
  <c r="AA38" i="37"/>
  <c r="W35" i="34"/>
  <c r="AB11" i="34"/>
  <c r="AC28" i="34"/>
  <c r="AB41" i="34"/>
  <c r="S38" i="34"/>
  <c r="S36" i="34"/>
  <c r="S43" i="34"/>
  <c r="S17" i="34"/>
  <c r="AB17" i="34"/>
  <c r="AA9" i="34"/>
  <c r="W15" i="34"/>
  <c r="W31" i="34"/>
  <c r="U23" i="34"/>
  <c r="U36" i="34"/>
  <c r="U21" i="34"/>
  <c r="AB21" i="34"/>
  <c r="AA25" i="34"/>
  <c r="AA41" i="34"/>
  <c r="W42" i="33"/>
  <c r="U25" i="33"/>
  <c r="W11" i="33"/>
  <c r="W25" i="33"/>
  <c r="U27" i="33"/>
  <c r="U34" i="33"/>
  <c r="W37" i="33"/>
  <c r="W43" i="33"/>
  <c r="AC41" i="33"/>
  <c r="AA45" i="33"/>
  <c r="S23" i="33"/>
  <c r="S17" i="33"/>
  <c r="W17" i="33"/>
  <c r="U15" i="33"/>
  <c r="AB9" i="33"/>
  <c r="U9" i="33"/>
  <c r="S10" i="33"/>
  <c r="AC12" i="33"/>
  <c r="W39" i="33"/>
  <c r="W9" i="33"/>
  <c r="AC19" i="33"/>
  <c r="W21" i="33"/>
  <c r="AC21" i="33"/>
  <c r="AB42" i="33"/>
  <c r="U39" i="33"/>
  <c r="S42" i="33"/>
  <c r="S9" i="33"/>
  <c r="W42" i="21"/>
  <c r="AA39" i="21"/>
  <c r="W39" i="21"/>
  <c r="AA34" i="21"/>
  <c r="AC26" i="21"/>
  <c r="AB39" i="21"/>
  <c r="AC37" i="21"/>
  <c r="AC28" i="21"/>
  <c r="AB23" i="21"/>
  <c r="U19" i="21"/>
  <c r="U43" i="21"/>
  <c r="U26" i="21"/>
  <c r="AB44" i="21"/>
  <c r="U30" i="21"/>
  <c r="AB36" i="21"/>
  <c r="AA36" i="21"/>
  <c r="AA43" i="21"/>
  <c r="AB32" i="21"/>
  <c r="S28" i="21"/>
  <c r="AB21" i="21"/>
  <c r="U21" i="21"/>
  <c r="AC19"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C41" i="39"/>
  <c r="U11" i="39"/>
  <c r="W36" i="39"/>
  <c r="S34" i="39"/>
  <c r="S39" i="39"/>
  <c r="U9" i="39"/>
  <c r="S20" i="36"/>
  <c r="AA13" i="36"/>
  <c r="S8" i="36"/>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c r="K84" i="43"/>
  <c r="J84" i="43"/>
  <c r="D84" i="43"/>
  <c r="M81" i="43"/>
  <c r="N81" i="43"/>
  <c r="K81" i="43"/>
  <c r="J81" i="43"/>
  <c r="D81" i="43"/>
  <c r="M88" i="43"/>
  <c r="N88" i="43"/>
  <c r="K88" i="43"/>
  <c r="J88" i="43"/>
  <c r="D88" i="43"/>
  <c r="E81" i="43" s="1"/>
  <c r="B79" i="43" s="1"/>
  <c r="I114" i="57"/>
  <c r="D131" i="57" s="1"/>
  <c r="B41" i="1"/>
  <c r="M27" i="15"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H23" i="31"/>
  <c r="D20" i="57"/>
  <c r="E2" i="11"/>
  <c r="E2" i="37"/>
  <c r="D5" i="61"/>
  <c r="D7" i="61"/>
  <c r="F5" i="61"/>
  <c r="D4" i="61"/>
  <c r="F6" i="61"/>
  <c r="C20" i="57"/>
  <c r="F4" i="61"/>
  <c r="E2" i="33"/>
  <c r="D6" i="61"/>
  <c r="F7" i="61"/>
  <c r="E2" i="21"/>
  <c r="E2" i="36"/>
  <c r="D3" i="61"/>
  <c r="E2" i="34"/>
  <c r="E2" i="35"/>
  <c r="C19" i="57"/>
  <c r="D19" i="57"/>
  <c r="F3" i="61"/>
  <c r="W24" i="35" l="1"/>
  <c r="AC24" i="35"/>
  <c r="B20" i="59"/>
  <c r="B19" i="59" s="1"/>
  <c r="B18" i="59" s="1"/>
  <c r="B17" i="59" s="1"/>
  <c r="S21" i="59"/>
  <c r="W11" i="36"/>
  <c r="AC11" i="36"/>
  <c r="W13" i="36"/>
  <c r="AC13" i="36"/>
  <c r="F15" i="47"/>
  <c r="B13" i="47" s="1"/>
  <c r="W9" i="37"/>
  <c r="AC9" i="37"/>
  <c r="W13" i="39"/>
  <c r="AC13" i="39"/>
  <c r="AA47" i="34"/>
  <c r="S47" i="34"/>
  <c r="AA14" i="33"/>
  <c r="S14" i="33"/>
  <c r="U37" i="37"/>
  <c r="AB37" i="37"/>
  <c r="U45" i="33"/>
  <c r="AB45" i="33"/>
  <c r="W34" i="36"/>
  <c r="AC34" i="36"/>
  <c r="W11" i="40"/>
  <c r="AC11" i="40"/>
  <c r="U27" i="40"/>
  <c r="AB27" i="40"/>
  <c r="AB34" i="39"/>
  <c r="U34" i="39"/>
  <c r="S39" i="37"/>
  <c r="AA39" i="37"/>
  <c r="AB33" i="21"/>
  <c r="U33" i="21"/>
  <c r="AC8" i="21"/>
  <c r="W8" i="21"/>
  <c r="AA10" i="21"/>
  <c r="S10" i="21"/>
  <c r="B77" i="43"/>
  <c r="C25" i="39"/>
  <c r="J9" i="35"/>
  <c r="H9" i="35"/>
  <c r="F9" i="35"/>
  <c r="AC22" i="36"/>
  <c r="W22" i="36"/>
  <c r="AA23" i="36"/>
  <c r="S23" i="36"/>
  <c r="AB8" i="21"/>
  <c r="U10" i="21"/>
  <c r="U12" i="21"/>
  <c r="U17" i="21"/>
  <c r="S17" i="21"/>
  <c r="U27" i="21"/>
  <c r="W34" i="21"/>
  <c r="W40" i="21"/>
  <c r="AC32" i="21"/>
  <c r="AA15" i="21"/>
  <c r="AB41" i="33"/>
  <c r="AC46" i="33"/>
  <c r="U46" i="33"/>
  <c r="AC27" i="33"/>
  <c r="U38" i="33"/>
  <c r="U17" i="33"/>
  <c r="AA46" i="34"/>
  <c r="AB19" i="34"/>
  <c r="U43" i="34"/>
  <c r="S40" i="34"/>
  <c r="AC39" i="34"/>
  <c r="AA14" i="37"/>
  <c r="W11" i="37"/>
  <c r="U14" i="35"/>
  <c r="W34" i="35"/>
  <c r="AB23" i="35"/>
  <c r="S29" i="36"/>
  <c r="U13" i="36"/>
  <c r="W29" i="36"/>
  <c r="AC32" i="36"/>
  <c r="AA25" i="36"/>
  <c r="U27" i="36"/>
  <c r="W14" i="36"/>
  <c r="S34" i="36"/>
  <c r="AA12" i="39"/>
  <c r="W35" i="39"/>
  <c r="S23" i="39"/>
  <c r="AB29" i="39"/>
  <c r="AC17" i="39"/>
  <c r="U14" i="40"/>
  <c r="W35" i="40"/>
  <c r="U23" i="39"/>
  <c r="S27" i="36"/>
  <c r="U45" i="21"/>
  <c r="S31" i="21"/>
  <c r="AA27" i="33"/>
  <c r="S40" i="21"/>
  <c r="S24" i="36"/>
  <c r="AB13" i="21"/>
  <c r="W29" i="21"/>
  <c r="G103" i="43"/>
  <c r="C21" i="40"/>
  <c r="F34" i="35"/>
  <c r="H34" i="35"/>
  <c r="H24" i="35"/>
  <c r="F24" i="35"/>
  <c r="AC14" i="39"/>
  <c r="W22" i="35"/>
  <c r="AC30" i="40"/>
  <c r="U11" i="36"/>
  <c r="AB13" i="37"/>
  <c r="AA29" i="33"/>
  <c r="W17" i="21"/>
  <c r="U31" i="33"/>
  <c r="W30" i="33"/>
  <c r="AC38" i="37"/>
  <c r="W38" i="37"/>
  <c r="AC47" i="34"/>
  <c r="W47" i="34"/>
  <c r="AA46" i="33"/>
  <c r="S46" i="33"/>
  <c r="S44" i="33"/>
  <c r="AA44" i="33"/>
  <c r="AC14" i="33"/>
  <c r="W14" i="33"/>
  <c r="F11" i="36"/>
  <c r="W14" i="34"/>
  <c r="AC14" i="34"/>
  <c r="W31" i="33"/>
  <c r="AC31" i="33"/>
  <c r="U28" i="33"/>
  <c r="AB28" i="33"/>
  <c r="W32" i="35"/>
  <c r="AA30" i="40"/>
  <c r="S30" i="40"/>
  <c r="AB31" i="39"/>
  <c r="U31" i="39"/>
  <c r="AB11" i="40"/>
  <c r="U11" i="40"/>
  <c r="AB36" i="39"/>
  <c r="U36" i="39"/>
  <c r="AA33" i="21"/>
  <c r="S33" i="21"/>
  <c r="W33" i="21"/>
  <c r="AC33" i="21"/>
  <c r="W9" i="21"/>
  <c r="AC9" i="21"/>
  <c r="AA39" i="34"/>
  <c r="S39" i="34"/>
  <c r="C27" i="39"/>
  <c r="B74" i="43"/>
  <c r="AB40" i="33"/>
  <c r="U40" i="33"/>
  <c r="AB39" i="34"/>
  <c r="U39" i="34"/>
  <c r="J27" i="34"/>
  <c r="H27" i="34"/>
  <c r="J13" i="33"/>
  <c r="H13" i="33"/>
  <c r="F13" i="33"/>
  <c r="H30" i="34"/>
  <c r="F30" i="34"/>
  <c r="J30" i="34"/>
  <c r="J12" i="35"/>
  <c r="H12" i="35"/>
  <c r="F12" i="35"/>
  <c r="H36" i="35"/>
  <c r="J36" i="35"/>
  <c r="AA27" i="35"/>
  <c r="S27" i="35"/>
  <c r="J23" i="36"/>
  <c r="H23" i="36"/>
  <c r="H33" i="36"/>
  <c r="F33" i="36"/>
  <c r="AB8" i="37"/>
  <c r="U8" i="37"/>
  <c r="AC30" i="37"/>
  <c r="W30" i="37"/>
  <c r="F14" i="39"/>
  <c r="H14" i="39"/>
  <c r="AC21" i="39"/>
  <c r="W21" i="39"/>
  <c r="J43" i="39"/>
  <c r="H43" i="39"/>
  <c r="H45" i="39"/>
  <c r="F45" i="39"/>
  <c r="AA38" i="39"/>
  <c r="S38" i="39"/>
  <c r="AA8" i="40"/>
  <c r="S8" i="40"/>
  <c r="AB34" i="40"/>
  <c r="U34" i="40"/>
  <c r="S37" i="33"/>
  <c r="AA37" i="33"/>
  <c r="AB34" i="37"/>
  <c r="U34" i="37"/>
  <c r="I6" i="47"/>
  <c r="D6" i="47"/>
  <c r="AA18" i="36"/>
  <c r="S18" i="36"/>
  <c r="U25" i="40"/>
  <c r="AB25" i="40"/>
  <c r="D80" i="59"/>
  <c r="C79" i="59"/>
  <c r="D79" i="59" s="1"/>
  <c r="C75" i="59"/>
  <c r="D75" i="59" s="1"/>
  <c r="D76" i="59"/>
  <c r="N66" i="59"/>
  <c r="N67" i="59"/>
  <c r="F29" i="59"/>
  <c r="AB28" i="59"/>
  <c r="AB29" i="59"/>
  <c r="AA30" i="59"/>
  <c r="E31" i="59"/>
  <c r="E32" i="59" s="1"/>
  <c r="E33" i="59" s="1"/>
  <c r="U33" i="59" s="1"/>
  <c r="AA28" i="59"/>
  <c r="AA22" i="59"/>
  <c r="AA29" i="59"/>
  <c r="AA20" i="59"/>
  <c r="AA27" i="59"/>
  <c r="D35" i="59"/>
  <c r="C36" i="59"/>
  <c r="AA38" i="59"/>
  <c r="E39" i="59"/>
  <c r="E40" i="59" s="1"/>
  <c r="E41" i="59" s="1"/>
  <c r="Y19" i="59"/>
  <c r="Z19" i="59" s="1"/>
  <c r="Y18" i="59"/>
  <c r="Z18" i="59" s="1"/>
  <c r="Y13" i="59"/>
  <c r="Z13" i="59" s="1"/>
  <c r="Y20" i="59"/>
  <c r="Z20" i="59" s="1"/>
  <c r="Y15" i="59"/>
  <c r="Z15" i="59" s="1"/>
  <c r="F40" i="11"/>
  <c r="C21" i="11"/>
  <c r="C29" i="11" s="1"/>
  <c r="D27" i="11" s="1"/>
  <c r="I32" i="47"/>
  <c r="D32" i="47"/>
  <c r="F26" i="47" s="1"/>
  <c r="B24" i="47" s="1"/>
  <c r="I33" i="47"/>
  <c r="D33" i="47"/>
  <c r="I38" i="47"/>
  <c r="D38" i="47"/>
  <c r="I39" i="47"/>
  <c r="D39" i="47"/>
  <c r="I42" i="47"/>
  <c r="D42" i="47"/>
  <c r="T527" i="31"/>
  <c r="S527" i="31"/>
  <c r="T525" i="31"/>
  <c r="S525" i="31"/>
  <c r="T523" i="31"/>
  <c r="S523" i="31"/>
  <c r="T521" i="31"/>
  <c r="S521" i="31"/>
  <c r="T519" i="31"/>
  <c r="S519" i="31"/>
  <c r="T503" i="31"/>
  <c r="S503" i="31"/>
  <c r="T499" i="31"/>
  <c r="S499" i="31"/>
  <c r="T483" i="31"/>
  <c r="S483" i="31"/>
  <c r="T475" i="31"/>
  <c r="S475" i="31"/>
  <c r="T160" i="31"/>
  <c r="S160" i="31"/>
  <c r="T158" i="31"/>
  <c r="S158" i="31"/>
  <c r="T156" i="31"/>
  <c r="S156" i="31"/>
  <c r="T152" i="31"/>
  <c r="S152" i="31"/>
  <c r="T150" i="31"/>
  <c r="S150" i="31"/>
  <c r="T148" i="31"/>
  <c r="S148" i="31"/>
  <c r="T144" i="31"/>
  <c r="S144" i="31"/>
  <c r="T142" i="31"/>
  <c r="S142" i="31"/>
  <c r="T140" i="31"/>
  <c r="S140" i="31"/>
  <c r="T136" i="31"/>
  <c r="S136" i="31"/>
  <c r="T134" i="31"/>
  <c r="S134" i="31"/>
  <c r="T132" i="31"/>
  <c r="S132" i="31"/>
  <c r="T128" i="31"/>
  <c r="S128" i="31"/>
  <c r="T126" i="31"/>
  <c r="S126" i="31"/>
  <c r="T124" i="31"/>
  <c r="S124" i="31"/>
  <c r="T122" i="31"/>
  <c r="S122" i="31"/>
  <c r="T118" i="31"/>
  <c r="S118" i="31"/>
  <c r="T116" i="31"/>
  <c r="S116" i="31"/>
  <c r="T112" i="31"/>
  <c r="S112" i="31"/>
  <c r="T110" i="31"/>
  <c r="S110" i="31"/>
  <c r="T108" i="31"/>
  <c r="S108" i="31"/>
  <c r="T104" i="31"/>
  <c r="S104" i="31"/>
  <c r="T102" i="31"/>
  <c r="S102" i="31"/>
  <c r="T100" i="31"/>
  <c r="S100" i="31"/>
  <c r="T98" i="31"/>
  <c r="S98" i="31"/>
  <c r="T94" i="31"/>
  <c r="S94" i="31"/>
  <c r="T92" i="31"/>
  <c r="S92" i="31"/>
  <c r="T90" i="31"/>
  <c r="S90" i="31"/>
  <c r="T86" i="31"/>
  <c r="S86" i="31"/>
  <c r="T84" i="31"/>
  <c r="S84" i="31"/>
  <c r="T82" i="31"/>
  <c r="S82" i="31"/>
  <c r="T74" i="31"/>
  <c r="S74" i="31"/>
  <c r="T72" i="31"/>
  <c r="S72" i="31"/>
  <c r="T70" i="31"/>
  <c r="S70" i="31"/>
  <c r="T66" i="31"/>
  <c r="S66" i="31"/>
  <c r="T64" i="31"/>
  <c r="S64" i="31"/>
  <c r="T62" i="31"/>
  <c r="S62" i="31"/>
  <c r="T58" i="31"/>
  <c r="S58" i="31"/>
  <c r="T32" i="31"/>
  <c r="S32" i="31"/>
  <c r="AB21" i="33"/>
  <c r="U21" i="33"/>
  <c r="AA26" i="59"/>
  <c r="AB3" i="59"/>
  <c r="C45" i="59"/>
  <c r="D44" i="59"/>
  <c r="B29" i="59"/>
  <c r="X28" i="59"/>
  <c r="X27" i="59"/>
  <c r="X29" i="59"/>
  <c r="AA35" i="59"/>
  <c r="AA36" i="59"/>
  <c r="AA37" i="59"/>
  <c r="S81" i="59"/>
  <c r="B80" i="59"/>
  <c r="B79" i="59" s="1"/>
  <c r="U81" i="59"/>
  <c r="E80" i="59"/>
  <c r="E79" i="59" s="1"/>
  <c r="AB27" i="59"/>
  <c r="Y27" i="59"/>
  <c r="Z27" i="59" s="1"/>
  <c r="C27" i="59"/>
  <c r="D27" i="59" s="1"/>
  <c r="F24" i="59"/>
  <c r="F23" i="59" s="1"/>
  <c r="F22" i="59" s="1"/>
  <c r="F21" i="59" s="1"/>
  <c r="V25" i="59"/>
  <c r="AA17" i="59"/>
  <c r="Y11" i="59"/>
  <c r="Z11" i="59" s="1"/>
  <c r="I4" i="47"/>
  <c r="D4" i="47"/>
  <c r="F4" i="47" s="1"/>
  <c r="B2" i="47" s="1"/>
  <c r="F7" i="15"/>
  <c r="K53" i="1"/>
  <c r="B53" i="1"/>
  <c r="AA21" i="33"/>
  <c r="S21" i="33"/>
  <c r="AA21" i="34"/>
  <c r="S21" i="34"/>
  <c r="D67" i="59"/>
  <c r="O66" i="59"/>
  <c r="D84" i="59"/>
  <c r="C83" i="59"/>
  <c r="D83" i="59" s="1"/>
  <c r="D31" i="59"/>
  <c r="C32" i="59"/>
  <c r="X31" i="59"/>
  <c r="AA31" i="59"/>
  <c r="X32" i="59"/>
  <c r="AA32" i="59"/>
  <c r="X33" i="59"/>
  <c r="AA33" i="59"/>
  <c r="AA34" i="59"/>
  <c r="E35" i="59"/>
  <c r="E36" i="59" s="1"/>
  <c r="E37" i="59" s="1"/>
  <c r="U37" i="59" s="1"/>
  <c r="D39" i="59"/>
  <c r="C40" i="59"/>
  <c r="AB8" i="59"/>
  <c r="AB5" i="59"/>
  <c r="AB6" i="59"/>
  <c r="AB7" i="59"/>
  <c r="AB10" i="59"/>
  <c r="AB9" i="59"/>
  <c r="AB40" i="59"/>
  <c r="AB11" i="59"/>
  <c r="AB35" i="59"/>
  <c r="AB39" i="59"/>
  <c r="C56" i="59"/>
  <c r="D55" i="59"/>
  <c r="C64" i="59"/>
  <c r="D63" i="59"/>
  <c r="S69" i="59"/>
  <c r="N69" i="59"/>
  <c r="V69" i="59"/>
  <c r="F68" i="59"/>
  <c r="Q69" i="59"/>
  <c r="S73" i="59"/>
  <c r="B72" i="59"/>
  <c r="B71" i="59" s="1"/>
  <c r="U73" i="59"/>
  <c r="E72" i="59"/>
  <c r="E71" i="59" s="1"/>
  <c r="AB31" i="59"/>
  <c r="AB23" i="59"/>
  <c r="Y24" i="59"/>
  <c r="Z24" i="59" s="1"/>
  <c r="Y22" i="59"/>
  <c r="Z22" i="59" s="1"/>
  <c r="AB22" i="59"/>
  <c r="AB18" i="59"/>
  <c r="X18" i="59"/>
  <c r="X16" i="59"/>
  <c r="X15" i="59"/>
  <c r="X13" i="59"/>
  <c r="X14" i="59"/>
  <c r="AA16" i="59"/>
  <c r="AA14" i="59"/>
  <c r="AA13" i="59"/>
  <c r="AA15" i="59"/>
  <c r="AA3" i="59"/>
  <c r="AA12" i="59"/>
  <c r="B55" i="43"/>
  <c r="C71" i="59"/>
  <c r="D71" i="59" s="1"/>
  <c r="D72" i="59"/>
  <c r="AB33" i="59"/>
  <c r="AB37" i="59"/>
  <c r="X5" i="59"/>
  <c r="X6" i="59"/>
  <c r="X7" i="59"/>
  <c r="X9" i="59"/>
  <c r="X8" i="59"/>
  <c r="X11" i="59"/>
  <c r="X12" i="59"/>
  <c r="X40" i="59"/>
  <c r="B56" i="59"/>
  <c r="B57" i="59" s="1"/>
  <c r="S57" i="59" s="1"/>
  <c r="B64" i="59"/>
  <c r="B65" i="59" s="1"/>
  <c r="S65" i="59" s="1"/>
  <c r="P69" i="59"/>
  <c r="V73" i="59"/>
  <c r="F72" i="59"/>
  <c r="F71" i="59" s="1"/>
  <c r="T81" i="59"/>
  <c r="D81" i="59"/>
  <c r="V81" i="59"/>
  <c r="F80" i="59"/>
  <c r="F79" i="59" s="1"/>
  <c r="C24" i="59"/>
  <c r="T25" i="59"/>
  <c r="E21" i="59"/>
  <c r="Y25" i="59"/>
  <c r="Z25" i="59" s="1"/>
  <c r="Y26" i="59"/>
  <c r="Z26" i="59" s="1"/>
  <c r="AB26" i="59"/>
  <c r="AA18" i="59"/>
  <c r="X10" i="59"/>
  <c r="X30" i="59"/>
  <c r="AB30" i="59"/>
  <c r="F31" i="59"/>
  <c r="F32" i="59" s="1"/>
  <c r="F33" i="59" s="1"/>
  <c r="V33" i="59" s="1"/>
  <c r="AB32" i="59"/>
  <c r="X34" i="59"/>
  <c r="AB34" i="59"/>
  <c r="F35" i="59"/>
  <c r="F36" i="59" s="1"/>
  <c r="F37" i="59" s="1"/>
  <c r="V37" i="59" s="1"/>
  <c r="AB36" i="59"/>
  <c r="X38" i="59"/>
  <c r="AB38" i="59"/>
  <c r="F39" i="59"/>
  <c r="F40" i="59" s="1"/>
  <c r="F41" i="59" s="1"/>
  <c r="V41" i="59" s="1"/>
  <c r="Y8" i="59"/>
  <c r="Z8" i="59" s="1"/>
  <c r="Y6" i="59"/>
  <c r="Z6" i="59" s="1"/>
  <c r="Y5" i="59"/>
  <c r="Z5" i="59" s="1"/>
  <c r="Y7" i="59"/>
  <c r="Z7" i="59" s="1"/>
  <c r="Y9" i="59"/>
  <c r="Z9" i="59" s="1"/>
  <c r="Y10" i="59"/>
  <c r="Z10" i="59" s="1"/>
  <c r="AA5" i="59"/>
  <c r="AA7" i="59"/>
  <c r="AA6" i="59"/>
  <c r="AA8" i="59"/>
  <c r="AA11" i="59"/>
  <c r="AA10" i="59"/>
  <c r="AA25" i="59"/>
  <c r="X25" i="59"/>
  <c r="X23" i="59"/>
  <c r="X22" i="59"/>
  <c r="AB17" i="59"/>
  <c r="AB13" i="59"/>
  <c r="AB14" i="59"/>
  <c r="AA9" i="59"/>
  <c r="B15" i="50"/>
  <c r="Y16" i="59"/>
  <c r="Z16" i="59" s="1"/>
  <c r="AB16" i="59"/>
  <c r="AB12" i="59"/>
  <c r="AB15" i="59"/>
  <c r="Y12" i="59"/>
  <c r="Z12" i="59" s="1"/>
  <c r="Y14" i="59"/>
  <c r="Z14" i="59" s="1"/>
  <c r="D42" i="50"/>
  <c r="D43" i="50"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C18" i="12"/>
  <c r="C65" i="59"/>
  <c r="D64" i="59"/>
  <c r="C57" i="59"/>
  <c r="D56" i="59"/>
  <c r="K56" i="1"/>
  <c r="K54" i="1"/>
  <c r="K55" i="1"/>
  <c r="I59" i="1"/>
  <c r="F37" i="47"/>
  <c r="B35" i="47" s="1"/>
  <c r="F28" i="59"/>
  <c r="F27" i="59" s="1"/>
  <c r="V29" i="59"/>
  <c r="AB45" i="39"/>
  <c r="U45" i="39"/>
  <c r="W43" i="39"/>
  <c r="AC43" i="39"/>
  <c r="AA14" i="39"/>
  <c r="S14" i="39"/>
  <c r="U33" i="36"/>
  <c r="AB33" i="36"/>
  <c r="AC23" i="36"/>
  <c r="W23" i="36"/>
  <c r="AB36" i="35"/>
  <c r="U36" i="35"/>
  <c r="AB12" i="35"/>
  <c r="U12" i="35"/>
  <c r="AC30" i="34"/>
  <c r="W30" i="34"/>
  <c r="AB30" i="34"/>
  <c r="U30" i="34"/>
  <c r="AB13" i="33"/>
  <c r="U13" i="33"/>
  <c r="U27" i="34"/>
  <c r="AB27" i="34"/>
  <c r="AB24" i="35"/>
  <c r="U24" i="35"/>
  <c r="AA34" i="35"/>
  <c r="S34" i="35"/>
  <c r="U9" i="35"/>
  <c r="AB9" i="35"/>
  <c r="F7" i="35"/>
  <c r="E20" i="59"/>
  <c r="E19" i="59" s="1"/>
  <c r="E18" i="59" s="1"/>
  <c r="E17" i="59" s="1"/>
  <c r="U21" i="59"/>
  <c r="C23" i="59"/>
  <c r="D24" i="59"/>
  <c r="Q68" i="59"/>
  <c r="F67" i="59"/>
  <c r="C41" i="59"/>
  <c r="D40" i="59"/>
  <c r="C33" i="59"/>
  <c r="D32" i="59"/>
  <c r="F20" i="59"/>
  <c r="F19" i="59" s="1"/>
  <c r="F18" i="59" s="1"/>
  <c r="F17" i="59" s="1"/>
  <c r="V21" i="59"/>
  <c r="S29" i="59"/>
  <c r="B28" i="59"/>
  <c r="B27" i="59" s="1"/>
  <c r="D45" i="59"/>
  <c r="T45" i="59"/>
  <c r="M19" i="43"/>
  <c r="U41" i="59"/>
  <c r="C37" i="59"/>
  <c r="D36" i="59"/>
  <c r="AA45" i="39"/>
  <c r="S45" i="39"/>
  <c r="U43" i="39"/>
  <c r="AB43" i="39"/>
  <c r="AB14" i="39"/>
  <c r="U14" i="39"/>
  <c r="S33" i="36"/>
  <c r="AA33" i="36"/>
  <c r="AB23" i="36"/>
  <c r="U23" i="36"/>
  <c r="AC36" i="35"/>
  <c r="W36" i="35"/>
  <c r="S12" i="35"/>
  <c r="AA12" i="35"/>
  <c r="AC12" i="35"/>
  <c r="W12" i="35"/>
  <c r="S30" i="34"/>
  <c r="AA30" i="34"/>
  <c r="AA13" i="33"/>
  <c r="S13" i="33"/>
  <c r="AC13" i="33"/>
  <c r="W13" i="33"/>
  <c r="W27" i="34"/>
  <c r="AC27" i="34"/>
  <c r="AA11" i="36"/>
  <c r="S11" i="36"/>
  <c r="AA24" i="35"/>
  <c r="S24" i="35"/>
  <c r="AB34" i="35"/>
  <c r="U34" i="35"/>
  <c r="AA9" i="35"/>
  <c r="S9" i="35"/>
  <c r="AC9" i="35"/>
  <c r="W9" i="35"/>
  <c r="B16" i="59"/>
  <c r="B15" i="59" s="1"/>
  <c r="B14" i="59" s="1"/>
  <c r="B13" i="59" s="1"/>
  <c r="S17" i="59"/>
  <c r="H7" i="37"/>
  <c r="AB7" i="37" s="1"/>
  <c r="T42" i="37" s="1"/>
  <c r="G42" i="37" s="1"/>
  <c r="G46" i="37" s="1"/>
  <c r="H46" i="37" s="1"/>
  <c r="F69" i="39"/>
  <c r="C7" i="43"/>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Q67" i="59"/>
  <c r="Q66" i="59"/>
  <c r="C19" i="15"/>
  <c r="C20" i="15" s="1"/>
  <c r="C26" i="15" s="1"/>
  <c r="B12" i="59"/>
  <c r="B11" i="59" s="1"/>
  <c r="B10" i="59" s="1"/>
  <c r="B9" i="59" s="1"/>
  <c r="S13" i="59"/>
  <c r="D37" i="59"/>
  <c r="T37" i="59"/>
  <c r="F16" i="59"/>
  <c r="F15" i="59" s="1"/>
  <c r="F14" i="59" s="1"/>
  <c r="F13" i="59" s="1"/>
  <c r="V17" i="59"/>
  <c r="T33" i="59"/>
  <c r="D33" i="59"/>
  <c r="D41" i="59"/>
  <c r="T41" i="59"/>
  <c r="D23" i="59"/>
  <c r="C22" i="59"/>
  <c r="E16" i="59"/>
  <c r="E15" i="59" s="1"/>
  <c r="E14" i="59" s="1"/>
  <c r="E13" i="59" s="1"/>
  <c r="U17" i="59"/>
  <c r="D57" i="59"/>
  <c r="T57" i="59"/>
  <c r="D65" i="59"/>
  <c r="T65" i="59"/>
  <c r="J7" i="36"/>
  <c r="W7" i="36" s="1"/>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1" i="59" l="1"/>
  <c r="D22" i="59"/>
  <c r="E12" i="59"/>
  <c r="E11" i="59" s="1"/>
  <c r="E10" i="59" s="1"/>
  <c r="E9" i="59" s="1"/>
  <c r="U13" i="59"/>
  <c r="F12" i="59"/>
  <c r="F11" i="59" s="1"/>
  <c r="F10" i="59" s="1"/>
  <c r="F9" i="59" s="1"/>
  <c r="V13" i="59"/>
  <c r="B8" i="59"/>
  <c r="B7" i="59" s="1"/>
  <c r="S9" i="59"/>
  <c r="B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8" i="59" l="1"/>
  <c r="F7" i="59" s="1"/>
  <c r="F6" i="59" s="1"/>
  <c r="V9" i="59"/>
  <c r="E8" i="59"/>
  <c r="E7" i="59" s="1"/>
  <c r="E6" i="59" s="1"/>
  <c r="U9" i="59"/>
  <c r="C20" i="59"/>
  <c r="T21" i="59"/>
  <c r="D21"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6" i="59" l="1"/>
  <c r="T17" i="59"/>
  <c r="D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5" i="59" l="1"/>
  <c r="D16" i="59"/>
  <c r="D35" i="9"/>
  <c r="D34" i="9" s="1"/>
  <c r="L64" i="40"/>
  <c r="M62" i="40"/>
  <c r="AA7" i="39"/>
  <c r="R47" i="39" s="1"/>
  <c r="R48" i="39" s="1"/>
  <c r="S7" i="39"/>
  <c r="M59" i="34"/>
  <c r="N59" i="34" s="1"/>
  <c r="O59" i="34" s="1"/>
  <c r="H7" i="34" s="1"/>
  <c r="AB7" i="39"/>
  <c r="U7" i="39"/>
  <c r="AC7" i="39"/>
  <c r="W7" i="39"/>
  <c r="L58" i="15"/>
  <c r="L61" i="15" s="1"/>
  <c r="D15" i="59" l="1"/>
  <c r="C14"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C20" i="9"/>
  <c r="C19" i="9"/>
  <c r="D19" i="9"/>
  <c r="D20" i="9"/>
  <c r="D101" i="9" l="1"/>
  <c r="D102" i="9"/>
  <c r="C12" i="59"/>
  <c r="T13" i="59"/>
  <c r="D13" i="59"/>
  <c r="E54" i="34"/>
  <c r="F54" i="34" s="1"/>
  <c r="D22" i="9"/>
  <c r="G19" i="9"/>
  <c r="C101" i="9"/>
  <c r="G20" i="9"/>
  <c r="C32" i="9" s="1"/>
  <c r="C35" i="9" s="1"/>
  <c r="C34" i="9" s="1"/>
  <c r="C102"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AC7" i="40"/>
  <c r="V42" i="40" s="1"/>
  <c r="I42" i="40" s="1"/>
  <c r="I46" i="40" s="1"/>
  <c r="J46" i="40" s="1"/>
  <c r="W7" i="40"/>
  <c r="S7" i="40"/>
  <c r="AA7" i="40"/>
  <c r="R42" i="40" s="1"/>
  <c r="R43" i="40" s="1"/>
  <c r="AB7" i="40"/>
  <c r="T42" i="40" s="1"/>
  <c r="G42" i="40" s="1"/>
  <c r="G46" i="40" s="1"/>
  <c r="H46" i="40" s="1"/>
  <c r="U7" i="40"/>
  <c r="D11" i="59" l="1"/>
  <c r="C10" i="59"/>
  <c r="G47" i="40"/>
  <c r="H47" i="40" s="1"/>
  <c r="E42" i="40"/>
  <c r="D10" i="59" l="1"/>
  <c r="C9"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E121" i="9"/>
  <c r="D121" i="9" s="1"/>
  <c r="D122" i="9" s="1"/>
  <c r="G121" i="9"/>
  <c r="F121" i="9" s="1"/>
  <c r="F122" i="9" s="1"/>
  <c r="I121" i="9"/>
  <c r="M63" i="9" l="1"/>
  <c r="N63" i="9" s="1"/>
  <c r="N69" i="9" s="1"/>
  <c r="O69" i="9" s="1"/>
  <c r="M64" i="9"/>
  <c r="N64" i="9" s="1"/>
  <c r="M66" i="9"/>
  <c r="N66" i="9" s="1"/>
  <c r="D8" i="50"/>
  <c r="B22" i="60" s="1"/>
  <c r="M68" i="9"/>
  <c r="N68" i="9" s="1"/>
  <c r="M67" i="9"/>
  <c r="N67" i="9" s="1"/>
  <c r="D8" i="59"/>
  <c r="C7" i="59"/>
  <c r="D16" i="50"/>
  <c r="B30" i="60" s="1"/>
  <c r="C104" i="9"/>
  <c r="I103" i="9"/>
  <c r="D107" i="9"/>
  <c r="H121" i="9"/>
  <c r="D7" i="59" l="1"/>
  <c r="C6" i="59"/>
  <c r="C103" i="9"/>
  <c r="D106" i="9"/>
  <c r="D112" i="9" s="1"/>
  <c r="H122" i="9"/>
  <c r="D14" i="62"/>
  <c r="I102" i="9"/>
  <c r="D6" i="59" l="1"/>
  <c r="C5" i="59"/>
  <c r="N48" i="9"/>
  <c r="I110" i="9"/>
  <c r="D125" i="9" s="1"/>
  <c r="G14" i="62" s="1"/>
  <c r="B6" i="62" s="1"/>
  <c r="D45" i="9"/>
  <c r="E14" i="62"/>
  <c r="B5" i="62"/>
  <c r="F14" i="62"/>
  <c r="D113" i="9"/>
  <c r="I111" i="9" s="1"/>
  <c r="D126" i="9" s="1"/>
  <c r="D117" i="9"/>
  <c r="I115" i="9" s="1"/>
  <c r="T5" i="59" l="1"/>
  <c r="M20" i="43"/>
  <c r="D5" i="59"/>
  <c r="D5" i="62"/>
  <c r="C5" i="62"/>
  <c r="D52" i="9"/>
  <c r="C78" i="9"/>
  <c r="C73" i="9" s="1"/>
  <c r="C85" i="9"/>
  <c r="C64" i="9"/>
  <c r="C63" i="9" s="1"/>
  <c r="C67" i="9" s="1"/>
  <c r="C68" i="9" s="1"/>
  <c r="D54" i="9" s="1"/>
  <c r="C72" i="9"/>
  <c r="C93" i="9"/>
  <c r="C86" i="9" s="1"/>
  <c r="D53" i="9"/>
  <c r="D48" i="9" s="1"/>
  <c r="N52" i="9" s="1"/>
  <c r="O57" i="9" s="1"/>
  <c r="C6" i="62"/>
  <c r="D6" i="62"/>
  <c r="C79" i="9" l="1"/>
  <c r="C95" i="9"/>
  <c r="C96" i="9" s="1"/>
  <c r="E96" i="9" s="1"/>
  <c r="E97" i="9" s="1"/>
  <c r="Q57" i="9"/>
  <c r="O58" i="9"/>
  <c r="O59" i="9"/>
  <c r="C97" i="9"/>
  <c r="D58" i="9" s="1"/>
  <c r="C80" i="9" l="1"/>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<sst xmlns="http://schemas.openxmlformats.org/spreadsheetml/2006/main" count="6904" uniqueCount="3047">
  <si>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</si>
  <si>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</si>
  <si>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</si>
  <si>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</si>
  <si>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</si>
  <si>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</si>
  <si>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</si>
  <si>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</si>
  <si>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</si>
  <si>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</si>
  <si>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</si>
  <si>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</si>
  <si>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</si>
  <si>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</si>
  <si>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</si>
  <si>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</si>
  <si>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</si>
  <si>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</si>
  <si>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</si>
  <si>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</si>
  <si>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</si>
  <si>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</si>
  <si>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</si>
  <si>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</si>
  <si>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</si>
  <si>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</si>
  <si>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</si>
  <si>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</si>
  <si>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</si>
  <si>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</si>
  <si>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</si>
  <si>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</si>
  <si>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</si>
  <si>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</si>
  <si>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</si>
  <si>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</si>
  <si>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</si>
  <si>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</si>
  <si>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</si>
  <si>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</si>
  <si>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</si>
  <si>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</si>
  <si>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</si>
  <si>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</si>
  <si>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</si>
  <si>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</si>
  <si>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</si>
  <si>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</si>
  <si>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</si>
  <si>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</si>
  <si>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</si>
  <si>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</si>
  <si>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</si>
  <si>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</si>
  <si>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</si>
  <si>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</si>
  <si>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</si>
  <si>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</si>
  <si>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</si>
  <si>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</si>
  <si>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</si>
  <si>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</si>
  <si>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</si>
  <si>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</si>
  <si>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</si>
  <si>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</si>
  <si>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</si>
  <si>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</si>
  <si>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</si>
  <si>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</si>
  <si>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</si>
  <si>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</si>
  <si>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</si>
  <si>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</si>
  <si>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</si>
  <si>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</si>
  <si>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</si>
  <si>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</si>
  <si>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</si>
  <si>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</si>
  <si>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</si>
  <si>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</si>
  <si>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</si>
  <si>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</si>
  <si>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</si>
  <si>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</si>
  <si>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</si>
  <si>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</si>
  <si>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</si>
  <si>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</si>
  <si>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</si>
  <si>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</si>
  <si>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</si>
  <si>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</si>
  <si>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</si>
  <si>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</si>
  <si>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</si>
  <si>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</si>
  <si>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</si>
  <si>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</si>
  <si>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</si>
  <si>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</si>
  <si>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</si>
  <si>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</si>
  <si>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</si>
  <si>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</si>
  <si>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</si>
  <si>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</si>
  <si>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</si>
  <si>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</si>
  <si>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</si>
  <si>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</si>
  <si>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</si>
  <si>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</si>
  <si>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</si>
  <si>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</si>
  <si>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</si>
  <si>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</si>
  <si>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</si>
  <si>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</si>
  <si>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</si>
  <si>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</si>
  <si>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</si>
  <si>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</si>
  <si>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</si>
  <si>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</si>
  <si>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</si>
  <si>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</si>
  <si>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</si>
  <si>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</si>
  <si>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</si>
  <si>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</si>
  <si>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</si>
  <si>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</si>
  <si>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</si>
  <si>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</si>
  <si>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</si>
  <si>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</si>
  <si>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</si>
  <si>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</si>
  <si>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</si>
  <si>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</si>
  <si>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</si>
  <si>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</si>
  <si>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</si>
  <si>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</si>
  <si>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</si>
  <si>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</si>
  <si>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</si>
  <si>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</si>
  <si>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</si>
  <si>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</si>
  <si>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</si>
  <si>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</si>
  <si>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</si>
  <si>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</si>
  <si>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</si>
  <si>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</si>
  <si>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</si>
  <si>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</si>
  <si>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</si>
  <si>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</si>
  <si>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</si>
  <si>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</si>
  <si>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</si>
  <si>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</si>
  <si>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</si>
  <si>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</si>
  <si>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</si>
  <si>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</si>
  <si>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</si>
  <si>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</si>
  <si>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</si>
  <si>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</si>
  <si>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</si>
  <si>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</si>
  <si>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</si>
  <si>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</si>
  <si>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</si>
  <si>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</si>
  <si>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</si>
  <si>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</si>
  <si>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</si>
  <si>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</si>
  <si>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</si>
  <si>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</si>
  <si>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</si>
  <si>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</si>
  <si>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</si>
  <si>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</si>
  <si>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</si>
  <si>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</si>
  <si>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</si>
  <si>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</si>
  <si>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</si>
  <si>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</si>
  <si>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</si>
  <si>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</si>
  <si>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</si>
  <si>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</si>
  <si>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</si>
  <si>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</si>
  <si>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</si>
  <si>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</si>
  <si>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</si>
  <si>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</si>
  <si>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</si>
  <si>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</si>
  <si>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</si>
  <si>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</si>
  <si>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</si>
  <si>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</si>
  <si>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</si>
  <si>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</si>
  <si>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</si>
  <si>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</si>
  <si>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</si>
  <si>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</si>
  <si>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</si>
  <si>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</si>
  <si>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</si>
  <si>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</si>
  <si>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</si>
  <si>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</si>
  <si>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</si>
  <si>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</si>
  <si>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</si>
  <si>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</si>
  <si>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</si>
  <si>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</si>
  <si>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</si>
  <si>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</si>
  <si>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</si>
  <si>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</si>
  <si>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</si>
  <si>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</si>
  <si>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</si>
  <si>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</si>
  <si>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</si>
  <si>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</si>
  <si>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</si>
  <si>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</si>
  <si>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</si>
  <si>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</si>
  <si>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</si>
  <si>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</si>
  <si>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</si>
  <si>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</si>
  <si>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</si>
  <si>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</si>
  <si>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</si>
  <si>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</si>
  <si>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</si>
  <si>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</si>
  <si>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</si>
  <si>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</si>
  <si>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</si>
  <si>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</si>
  <si>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</si>
  <si>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</si>
  <si>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</si>
  <si>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</si>
  <si>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</si>
  <si>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</si>
  <si>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</si>
  <si>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</si>
  <si>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</si>
  <si>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</si>
  <si>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</si>
  <si>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</si>
  <si>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</si>
  <si>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</si>
  <si>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</si>
  <si>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</si>
  <si>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</si>
  <si>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</si>
  <si>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</si>
  <si>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</si>
  <si>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</si>
  <si>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</si>
  <si>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</si>
  <si>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</si>
  <si>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</si>
  <si>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</si>
  <si>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</si>
  <si>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</si>
  <si>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</si>
  <si>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</si>
  <si>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</si>
  <si>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</si>
  <si>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</si>
  <si>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</si>
  <si>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</si>
  <si>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</si>
  <si>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</si>
  <si>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</si>
  <si>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</si>
  <si>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</si>
  <si>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</si>
  <si>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</si>
  <si>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</si>
  <si>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</si>
  <si>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</si>
  <si>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</si>
  <si>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</si>
  <si>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</si>
  <si>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</si>
  <si>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</si>
  <si>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</si>
  <si>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</si>
  <si>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</si>
  <si>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</si>
  <si>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</si>
  <si>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</si>
  <si>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</si>
  <si>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</si>
  <si>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</si>
  <si>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</si>
  <si>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</si>
  <si>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</si>
  <si>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</si>
  <si>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</si>
  <si>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</si>
  <si>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</si>
  <si>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</si>
  <si>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</si>
  <si>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</si>
  <si>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</si>
  <si>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</si>
  <si>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</si>
  <si>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</si>
  <si>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</si>
  <si>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</si>
  <si>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</si>
  <si>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</si>
  <si>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</si>
  <si>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</si>
  <si>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</si>
  <si>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</si>
  <si>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</si>
  <si>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</si>
  <si>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</si>
  <si>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</si>
  <si>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</si>
  <si>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</si>
  <si>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</si>
  <si>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</si>
  <si>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</si>
  <si>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</si>
  <si>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</si>
  <si>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</si>
  <si>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</si>
  <si>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</si>
  <si>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</si>
  <si>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</si>
  <si>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</si>
  <si>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</si>
  <si>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</si>
  <si>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</si>
  <si>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</si>
  <si>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</si>
  <si>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</si>
  <si>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</si>
  <si>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</si>
  <si>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</si>
  <si>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</si>
  <si>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</si>
  <si>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</si>
  <si>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</si>
  <si>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</si>
  <si>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</si>
  <si>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</si>
  <si>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</si>
  <si>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</si>
  <si>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</si>
  <si>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</si>
  <si>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</si>
  <si>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</si>
  <si>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</si>
  <si>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</si>
  <si>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</si>
  <si>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</si>
  <si>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</si>
  <si>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</si>
  <si>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</si>
  <si>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</si>
  <si>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</si>
  <si>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</si>
  <si>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</si>
  <si>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</si>
  <si>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</si>
  <si>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</si>
  <si>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</si>
  <si>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</si>
  <si>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</si>
  <si>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</si>
  <si>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</si>
  <si>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</si>
  <si>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</si>
  <si>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</si>
  <si>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</si>
  <si>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</si>
  <si>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</si>
  <si>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</si>
  <si>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</si>
  <si>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</si>
  <si>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</si>
  <si>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</si>
  <si>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</si>
  <si>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</si>
  <si>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</si>
  <si>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</si>
  <si>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</si>
  <si>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</si>
  <si>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</si>
  <si>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</si>
  <si>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</si>
  <si>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</si>
  <si>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</si>
  <si>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</si>
  <si>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</si>
  <si>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</si>
  <si>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</si>
  <si>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</si>
  <si>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</si>
  <si>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</si>
  <si>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</si>
  <si>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</si>
  <si>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</si>
  <si>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</si>
  <si>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</si>
  <si>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</si>
  <si>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</si>
  <si>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</si>
  <si>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</si>
  <si>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</si>
  <si>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</si>
  <si>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</si>
  <si>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</si>
  <si>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</si>
  <si>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</si>
  <si>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</si>
  <si>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</si>
  <si>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</si>
  <si>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</si>
  <si>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</si>
  <si>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</si>
  <si>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</si>
  <si>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</si>
  <si>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</si>
  <si>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</si>
  <si>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</si>
  <si>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</si>
  <si>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</si>
  <si>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</si>
  <si>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</si>
  <si>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</si>
  <si>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</si>
  <si>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</si>
  <si>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</si>
  <si>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</si>
  <si>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</si>
  <si>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</si>
  <si>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</si>
  <si>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</si>
  <si>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</si>
  <si>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</si>
  <si>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</si>
  <si>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</si>
  <si>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</si>
  <si>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</si>
  <si>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</si>
  <si>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</si>
  <si>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</si>
  <si>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</si>
  <si>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</si>
  <si>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</si>
  <si>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</si>
  <si>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</si>
  <si>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</si>
  <si>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</si>
  <si>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</si>
  <si>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</si>
  <si>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</si>
  <si>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</si>
  <si>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</si>
  <si>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</si>
  <si>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</si>
  <si>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</si>
  <si>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</si>
  <si>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</si>
  <si>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</si>
  <si>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</si>
  <si>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</si>
  <si>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</si>
  <si>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</si>
  <si>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</si>
  <si>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</si>
  <si>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</si>
  <si>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</si>
  <si>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</si>
  <si>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</si>
  <si>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</si>
  <si>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</si>
  <si>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</si>
  <si>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</si>
  <si>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</si>
  <si>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</si>
  <si>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</si>
  <si>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</si>
  <si>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</si>
  <si>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</si>
  <si>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</si>
  <si>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</si>
  <si>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</si>
  <si>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</si>
  <si>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</si>
  <si>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</si>
  <si>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</si>
  <si>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</si>
  <si>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</si>
  <si>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</si>
  <si>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</si>
  <si>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</si>
  <si>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</si>
  <si>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</si>
  <si>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</si>
  <si>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</si>
  <si>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</si>
  <si>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</si>
  <si>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</si>
  <si>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</si>
  <si>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</si>
  <si>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</si>
  <si>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</si>
  <si>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</si>
  <si>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</si>
  <si>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</si>
  <si>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</si>
  <si>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</si>
  <si>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</si>
  <si>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</si>
  <si>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</si>
  <si>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</si>
  <si>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</si>
  <si>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</si>
  <si>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</si>
  <si>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</si>
  <si>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</si>
  <si>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</si>
  <si>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</si>
  <si>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</si>
  <si>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</si>
  <si>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</si>
  <si>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</si>
  <si>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</si>
  <si>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</si>
  <si>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</si>
  <si>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</si>
  <si>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</si>
  <si>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</si>
  <si>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</si>
  <si>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</si>
  <si>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</si>
  <si>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</si>
  <si>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</si>
  <si>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</si>
  <si>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</si>
  <si>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</si>
  <si>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</si>
  <si>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</si>
  <si>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</si>
  <si>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</si>
  <si>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</si>
  <si>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</si>
  <si>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</si>
  <si>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</si>
  <si>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</si>
  <si>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</si>
  <si>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</si>
  <si>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</si>
  <si>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</si>
  <si>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</si>
  <si>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</si>
  <si>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</si>
  <si>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</si>
  <si>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</si>
  <si>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</si>
  <si>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</si>
  <si>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</si>
  <si>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</si>
  <si>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</si>
  <si>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</si>
  <si>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</si>
  <si>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</si>
  <si>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</si>
  <si>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</si>
  <si>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</si>
  <si>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</si>
  <si>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</si>
  <si>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</si>
  <si>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</si>
  <si>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</si>
  <si>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</si>
  <si>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</si>
  <si>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</si>
  <si>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</si>
  <si>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</si>
  <si>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</si>
  <si>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</si>
  <si>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</si>
  <si>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</si>
  <si>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</si>
  <si>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</si>
  <si>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</si>
  <si>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</si>
  <si>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</si>
  <si>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</si>
  <si>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</si>
  <si>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</si>
  <si>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</si>
  <si>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</si>
  <si>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</si>
  <si>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</si>
  <si>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</si>
  <si>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</si>
  <si>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</si>
  <si>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</si>
  <si>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</si>
  <si>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</si>
  <si>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</si>
  <si>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</si>
  <si>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</si>
  <si>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</si>
  <si>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</si>
  <si>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</si>
  <si>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</si>
  <si>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</si>
  <si>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</si>
  <si>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</si>
  <si>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</si>
  <si>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</si>
  <si>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</si>
  <si>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</si>
  <si>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</si>
  <si>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</si>
  <si>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</si>
  <si>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</si>
  <si>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</si>
  <si>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</si>
  <si>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</si>
  <si>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</si>
  <si>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</si>
  <si>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</si>
  <si>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</si>
  <si>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</si>
  <si>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</si>
  <si>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</si>
  <si>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</si>
  <si>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</si>
  <si>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</si>
  <si>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</si>
  <si>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</si>
  <si>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</si>
  <si>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</si>
  <si>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</si>
  <si>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</si>
  <si>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</si>
  <si>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</si>
  <si>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</si>
  <si>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</si>
  <si>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</si>
  <si>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</si>
  <si>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</si>
  <si>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</si>
  <si>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</si>
  <si>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</si>
  <si>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</si>
  <si>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</si>
  <si>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</si>
  <si>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</si>
  <si>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</si>
  <si>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</si>
  <si>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</si>
  <si>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</si>
  <si>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</si>
  <si>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</si>
  <si>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</si>
  <si>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</si>
  <si>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</si>
  <si>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</si>
  <si>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</si>
  <si>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</si>
  <si>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</si>
  <si>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</si>
  <si>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</si>
  <si>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</si>
  <si>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</si>
  <si>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</si>
  <si>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</si>
  <si>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</si>
  <si>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</si>
  <si>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</si>
  <si>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</si>
  <si>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</si>
  <si>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</si>
  <si>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</si>
  <si>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</si>
  <si>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</si>
  <si>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</si>
  <si>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</si>
  <si>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</si>
  <si>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</si>
  <si>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</si>
  <si>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</si>
  <si>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</si>
  <si>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</si>
  <si>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</si>
  <si>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</si>
  <si>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</si>
  <si>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</si>
  <si>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</si>
  <si>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</si>
  <si>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</si>
  <si>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</si>
  <si>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</si>
  <si>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</si>
  <si>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</si>
  <si>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</si>
  <si>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</si>
  <si>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</si>
  <si>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</si>
  <si>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</si>
  <si>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</si>
  <si>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</si>
  <si>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</si>
  <si>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</si>
  <si>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</si>
  <si>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</si>
  <si>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</si>
  <si>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</si>
  <si>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</si>
  <si>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</si>
  <si>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</si>
  <si>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</si>
  <si>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</si>
  <si>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</si>
  <si>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</si>
  <si>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</si>
  <si>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</si>
  <si>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</si>
  <si>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</si>
  <si>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</si>
  <si>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</si>
  <si>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</si>
  <si>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</si>
  <si>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</si>
  <si>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</si>
  <si>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</si>
  <si>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</si>
  <si>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</si>
  <si>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</si>
  <si>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</si>
  <si>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</si>
  <si>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</si>
  <si>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</si>
  <si>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</si>
  <si>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</si>
  <si>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</si>
  <si>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</si>
  <si>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</si>
  <si>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</si>
  <si>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</si>
  <si>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</si>
  <si>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</si>
  <si>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</si>
  <si>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</si>
  <si>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</si>
  <si>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</si>
  <si>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</si>
  <si>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</si>
  <si>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</si>
  <si>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</si>
  <si>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</si>
  <si>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</si>
  <si>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</si>
  <si>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</si>
  <si>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</si>
  <si>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</si>
  <si>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</si>
  <si>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</si>
  <si>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</si>
  <si>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</si>
  <si>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</si>
  <si>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</si>
  <si>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</si>
  <si>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</si>
  <si>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</si>
  <si>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</si>
  <si>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</si>
  <si>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</si>
  <si>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</si>
  <si>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</si>
  <si>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</si>
  <si>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</si>
  <si>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</si>
  <si>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</si>
  <si>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</si>
  <si>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</si>
  <si>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</si>
  <si>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</si>
  <si>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</si>
  <si>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</si>
  <si>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</si>
  <si>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</si>
  <si>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</si>
  <si>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</si>
  <si>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</si>
  <si>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</si>
  <si>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</si>
  <si>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</si>
  <si>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</si>
  <si>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</si>
  <si>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</si>
  <si>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</si>
  <si>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</si>
  <si>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</si>
  <si>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</si>
  <si>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</si>
  <si>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</si>
  <si>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</si>
  <si>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</si>
  <si>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</si>
  <si>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</si>
  <si>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</si>
  <si>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</si>
  <si>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</si>
  <si>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</si>
  <si>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</si>
  <si>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</si>
  <si>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</si>
  <si>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</si>
  <si>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</si>
  <si>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</si>
  <si>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</si>
  <si>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</si>
  <si>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</si>
  <si>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</si>
  <si>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</si>
  <si>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</si>
  <si>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</si>
  <si>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</si>
  <si>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</si>
  <si>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</si>
  <si>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</si>
  <si>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</si>
  <si>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</si>
  <si>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</si>
  <si>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</si>
  <si>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</si>
  <si>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</si>
  <si>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</si>
  <si>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</si>
  <si>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</si>
  <si>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</si>
  <si>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</si>
  <si>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</si>
  <si>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</si>
  <si>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</si>
  <si>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</si>
  <si>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</si>
  <si>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</si>
  <si>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</si>
  <si>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</si>
  <si>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</si>
  <si>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</si>
  <si>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</si>
  <si>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</si>
  <si>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</si>
  <si>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</si>
  <si>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</si>
  <si>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</si>
  <si>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</si>
  <si>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</si>
  <si>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</si>
  <si>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</si>
  <si>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</si>
  <si>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</si>
  <si>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</si>
  <si>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</si>
  <si>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</si>
  <si>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</si>
  <si>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</si>
  <si>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</si>
  <si>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</si>
  <si>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</si>
  <si>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</si>
  <si>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</si>
  <si>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</si>
  <si>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</si>
  <si>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</si>
  <si>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</si>
  <si>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</si>
  <si>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</si>
  <si>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</si>
  <si>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</si>
  <si>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</si>
  <si>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</si>
  <si>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</si>
  <si>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</si>
  <si>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</si>
  <si>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</si>
  <si>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</si>
  <si>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</si>
  <si>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</si>
  <si>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</si>
  <si>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</si>
  <si>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</si>
  <si>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</si>
  <si>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</si>
  <si>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</si>
  <si>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</si>
  <si>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</si>
  <si>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</si>
  <si>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</si>
  <si>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</si>
  <si>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</si>
  <si>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</si>
  <si>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</si>
  <si>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</si>
  <si>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</si>
  <si>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</si>
  <si>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</si>
  <si>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</si>
  <si>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</si>
  <si>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</si>
  <si>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</si>
  <si>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</si>
  <si>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</si>
  <si>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</si>
  <si>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</si>
  <si>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</si>
  <si>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</si>
  <si>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</si>
  <si>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</si>
  <si>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</si>
  <si>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</si>
  <si>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</si>
  <si>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</si>
  <si>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</si>
  <si>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</si>
  <si>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</si>
  <si>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</si>
  <si>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</si>
  <si>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</si>
  <si>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</si>
  <si>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</si>
  <si>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</si>
  <si>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</si>
  <si>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</si>
  <si>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</si>
  <si>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</si>
  <si>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</si>
  <si>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</si>
  <si>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</si>
  <si>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</si>
  <si>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</si>
  <si>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</si>
  <si>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</si>
  <si>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</si>
  <si>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</si>
  <si>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</si>
  <si>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</si>
  <si>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</si>
  <si>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</si>
  <si>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</si>
  <si>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</si>
  <si>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</si>
  <si>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</si>
  <si>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</si>
  <si>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</si>
  <si>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</si>
  <si>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</si>
  <si>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</si>
  <si>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</si>
  <si>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</si>
  <si>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</si>
  <si>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</si>
  <si>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</si>
  <si>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</si>
  <si>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</si>
  <si>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</si>
  <si>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</si>
  <si>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</si>
  <si>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</si>
  <si>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</si>
  <si>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</si>
  <si>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</si>
  <si>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</si>
  <si>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</si>
  <si>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</si>
  <si>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</si>
  <si>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</si>
  <si>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</si>
  <si>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</si>
  <si>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</si>
  <si>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</si>
  <si>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</si>
  <si>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</si>
  <si>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</si>
  <si>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</si>
  <si>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</si>
  <si>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</si>
  <si>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</si>
  <si>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</si>
  <si>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</si>
  <si>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</si>
  <si>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</si>
  <si>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</si>
  <si>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</si>
  <si>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</si>
  <si>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</si>
  <si>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</si>
  <si>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</si>
  <si>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</si>
  <si>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</si>
  <si>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</si>
  <si>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</si>
  <si>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</si>
  <si>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</si>
  <si>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</si>
  <si>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</si>
  <si>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</si>
  <si>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</si>
  <si>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</si>
  <si>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</si>
  <si>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</si>
  <si>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</si>
  <si>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</si>
  <si>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</si>
  <si>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</si>
  <si>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</si>
  <si>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</si>
  <si>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</si>
  <si>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</si>
  <si>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</si>
  <si>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</si>
  <si>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</si>
  <si>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</si>
  <si>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</si>
  <si>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</si>
  <si>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</si>
  <si>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</si>
  <si>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</si>
  <si>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</si>
  <si>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</si>
  <si>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</si>
  <si>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</si>
  <si>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</si>
  <si>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</si>
  <si>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</si>
  <si>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</si>
  <si>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</si>
  <si>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</si>
  <si>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</si>
  <si>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</si>
  <si>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</si>
  <si>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</si>
  <si>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</si>
  <si>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</si>
  <si>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</si>
  <si>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</si>
  <si>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</si>
  <si>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</si>
  <si>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</si>
  <si>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</si>
  <si>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</si>
  <si>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</si>
  <si>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</si>
  <si>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</si>
  <si>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</si>
  <si>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</si>
  <si>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</si>
  <si>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</si>
  <si>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</si>
  <si>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</si>
  <si>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</si>
  <si>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</si>
  <si>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</si>
  <si>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</si>
  <si>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</si>
  <si>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</si>
  <si>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</si>
  <si>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</si>
  <si>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</si>
  <si>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</si>
  <si>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</si>
  <si>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</si>
  <si>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</si>
  <si>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</si>
  <si>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</si>
  <si>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</si>
  <si>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</si>
  <si>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</si>
  <si>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</si>
  <si>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</si>
  <si>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</si>
  <si>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</si>
  <si>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</si>
  <si>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</si>
  <si>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</si>
  <si>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</si>
  <si>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</si>
  <si>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</si>
  <si>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</si>
  <si>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</si>
  <si>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</si>
  <si>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</si>
  <si>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</si>
  <si>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</si>
  <si>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</si>
  <si>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</si>
  <si>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</si>
  <si>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</si>
  <si>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</si>
  <si>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</si>
  <si>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</si>
  <si>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</si>
  <si>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</si>
  <si>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</si>
  <si>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</si>
  <si>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</si>
  <si>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</si>
  <si>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</si>
  <si>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</si>
  <si>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</si>
  <si>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</si>
  <si>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</si>
  <si>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</si>
  <si>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</si>
  <si>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</si>
  <si>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</si>
  <si>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</si>
  <si>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</si>
  <si>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</si>
  <si>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</si>
  <si>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</si>
  <si>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</si>
  <si>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</si>
  <si>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</si>
  <si>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</si>
  <si>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</si>
  <si>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</si>
  <si>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</si>
  <si>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</si>
  <si>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</si>
  <si>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</si>
  <si>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</si>
  <si>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</si>
  <si>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</si>
  <si>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</si>
  <si>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</si>
  <si>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</si>
  <si>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</si>
  <si>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</si>
  <si>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</si>
  <si>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</si>
  <si>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</si>
  <si>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</si>
  <si>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</si>
  <si>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</si>
  <si>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</si>
  <si>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</si>
  <si>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</si>
  <si>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</si>
  <si>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</si>
  <si>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</si>
  <si>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</si>
  <si>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</si>
  <si>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</si>
  <si>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</si>
  <si>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</si>
  <si>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</si>
  <si>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</si>
  <si>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</si>
  <si>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</si>
  <si>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</si>
  <si>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</si>
  <si>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</si>
  <si>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</si>
  <si>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</si>
  <si>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</si>
  <si>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</si>
  <si>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</si>
  <si>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</si>
  <si>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</si>
  <si>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</si>
  <si>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</si>
  <si>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</si>
  <si>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</si>
  <si>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</si>
  <si>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</si>
  <si>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</si>
  <si>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</si>
  <si>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</si>
  <si>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</si>
  <si>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</si>
  <si>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</si>
  <si>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</si>
  <si>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</si>
  <si>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</si>
  <si>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</si>
  <si>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</si>
  <si>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</si>
  <si>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</si>
  <si>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</si>
  <si>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</si>
  <si>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</si>
  <si>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</si>
  <si>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</si>
  <si>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</si>
  <si>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</si>
  <si>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</si>
  <si>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</si>
  <si>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</si>
  <si>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</si>
  <si>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</si>
  <si>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</si>
  <si>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</si>
  <si>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</si>
  <si>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</si>
  <si>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</si>
  <si>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</si>
  <si>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</si>
  <si>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</si>
  <si>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</si>
  <si>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</si>
  <si>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</si>
  <si>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</si>
  <si>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</si>
  <si>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</si>
  <si>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</si>
  <si>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</si>
  <si>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</si>
  <si>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</si>
  <si>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</si>
  <si>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</si>
  <si>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</si>
  <si>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</si>
  <si>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</si>
  <si>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</si>
  <si>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</si>
  <si>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</si>
  <si>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</si>
  <si>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</si>
  <si>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</si>
  <si>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</si>
  <si>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</si>
  <si>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</si>
  <si>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</si>
  <si>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</si>
  <si>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</si>
  <si>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</si>
  <si>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</si>
  <si>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</si>
  <si>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</si>
  <si>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</si>
  <si>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</si>
  <si>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</si>
  <si>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</si>
  <si>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</si>
  <si>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</si>
  <si>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</si>
  <si>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</si>
  <si>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</si>
  <si>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</si>
  <si>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</si>
  <si>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</si>
  <si>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</si>
  <si>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</si>
  <si>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</si>
  <si>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</si>
  <si>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</si>
  <si>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</si>
  <si>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</si>
  <si>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</si>
  <si>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</si>
  <si>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</si>
  <si>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</si>
  <si>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</si>
  <si>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</si>
  <si>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</si>
  <si>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</si>
  <si>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</si>
  <si>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</si>
  <si>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</si>
  <si>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</si>
  <si>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</si>
  <si>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</si>
  <si>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</si>
  <si>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</si>
  <si>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</si>
  <si>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</si>
  <si>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</si>
  <si>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</si>
  <si>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</si>
  <si>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</si>
  <si>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</si>
  <si>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</si>
  <si>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</si>
  <si>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</si>
  <si>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</si>
  <si>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</si>
  <si>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</si>
  <si>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</si>
  <si>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</si>
  <si>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</si>
  <si>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</si>
  <si>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</si>
  <si>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</si>
  <si>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</si>
  <si>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</si>
  <si>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</si>
  <si>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</si>
  <si>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</si>
  <si>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</si>
  <si>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</si>
  <si>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</si>
  <si>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</si>
  <si>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</si>
  <si>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</si>
  <si>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</si>
  <si>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</si>
  <si>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</si>
  <si>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</si>
  <si>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</si>
  <si>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</si>
  <si>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</si>
  <si>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</si>
  <si>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</si>
  <si>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</si>
  <si>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</si>
  <si>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</si>
  <si>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</si>
  <si>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</si>
  <si>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</si>
  <si>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</si>
  <si>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</si>
  <si>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</si>
  <si>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</si>
  <si>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</si>
  <si>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</si>
  <si>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</si>
  <si>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</si>
  <si>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</si>
  <si>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</si>
  <si>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</si>
  <si>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</si>
  <si>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</si>
  <si>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</si>
  <si>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</si>
  <si>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</si>
  <si>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</si>
  <si>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</si>
  <si>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</si>
  <si>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</si>
  <si>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</si>
  <si>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</si>
  <si>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</si>
  <si>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</si>
  <si>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</si>
  <si>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</si>
  <si>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</si>
  <si>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</si>
  <si>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</si>
  <si>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</si>
  <si>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</si>
  <si>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</si>
  <si>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</si>
  <si>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</si>
  <si>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</si>
  <si>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</si>
  <si>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</si>
  <si>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</si>
  <si>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</si>
  <si>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</si>
  <si>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</si>
  <si>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</si>
  <si>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</si>
  <si>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</si>
  <si>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</si>
  <si>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</si>
  <si>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</si>
  <si>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</si>
  <si>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</si>
  <si>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</si>
  <si>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</si>
  <si>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</si>
  <si>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</si>
  <si>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</si>
  <si>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</si>
  <si>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</si>
  <si>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</si>
  <si>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</si>
  <si>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</si>
  <si>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</si>
  <si>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</si>
  <si>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</si>
  <si>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</si>
  <si>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</si>
  <si>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</si>
  <si>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</si>
  <si>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</si>
  <si>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</si>
  <si>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</si>
  <si>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</si>
  <si>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</si>
  <si>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</si>
  <si>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</si>
  <si>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</si>
  <si>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</si>
  <si>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</si>
  <si>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</si>
  <si>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</si>
  <si>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</si>
  <si>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</si>
  <si>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</si>
  <si>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</si>
  <si>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</si>
  <si>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</si>
  <si>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</si>
  <si>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</si>
  <si>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</si>
  <si>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</si>
  <si>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</si>
  <si>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</si>
  <si>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</si>
  <si>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</si>
  <si>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</si>
  <si>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</si>
  <si>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</si>
  <si>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</si>
  <si>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</si>
  <si>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</si>
  <si>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</si>
  <si>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</si>
  <si>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</si>
  <si>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</si>
  <si>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</si>
  <si>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</si>
  <si>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</si>
  <si>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</si>
  <si>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</si>
  <si>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</si>
  <si>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</si>
  <si>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</si>
  <si>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</si>
  <si>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</si>
  <si>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</si>
  <si>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</si>
  <si>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</si>
  <si>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</si>
  <si>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</si>
  <si>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</si>
  <si>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</si>
  <si>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</si>
  <si>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</si>
  <si>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</si>
  <si>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</si>
  <si>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</si>
  <si>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</si>
  <si>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</si>
  <si>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</si>
  <si>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</si>
  <si>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</si>
  <si>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</si>
  <si>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</si>
  <si>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</si>
  <si>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</si>
  <si>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</si>
  <si>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</si>
  <si>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</si>
  <si>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</si>
  <si>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</si>
  <si>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</si>
  <si>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</si>
  <si>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</si>
  <si>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</si>
  <si>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</si>
  <si>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</si>
  <si>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</si>
  <si>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</si>
  <si>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</si>
  <si>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</si>
  <si>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</si>
  <si>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</si>
  <si>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</si>
  <si>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</si>
  <si>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</si>
  <si>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</si>
  <si>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</si>
  <si>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</si>
  <si>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</si>
  <si>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</si>
  <si>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</si>
  <si>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</si>
  <si>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</si>
  <si>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</si>
  <si>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</si>
  <si>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</si>
  <si>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</si>
  <si>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</si>
  <si>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</si>
  <si>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</si>
  <si>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</si>
  <si>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</si>
  <si>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</si>
  <si>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</si>
  <si>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</si>
  <si>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</si>
  <si>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</si>
  <si>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</si>
  <si>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</si>
  <si>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</si>
  <si>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</si>
  <si>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</si>
  <si>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</si>
  <si>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</si>
  <si>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</si>
  <si>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</si>
  <si>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</si>
  <si>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</si>
  <si>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</si>
  <si>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</si>
  <si>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</si>
  <si>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</si>
  <si>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</si>
  <si>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</si>
  <si>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</si>
  <si>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</si>
  <si>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</si>
  <si>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</si>
  <si>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</si>
  <si>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</si>
  <si>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</si>
  <si>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</si>
  <si>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</si>
  <si>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</si>
  <si>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</si>
  <si>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</si>
  <si>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</si>
  <si>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</si>
  <si>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</si>
  <si>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</si>
  <si>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</si>
  <si>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</si>
  <si>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</si>
  <si>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</si>
  <si>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</si>
  <si>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</si>
  <si>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</si>
  <si>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</si>
  <si>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</si>
  <si>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</si>
  <si>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</si>
  <si>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</si>
  <si>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</si>
  <si>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</si>
  <si>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</si>
  <si>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</si>
  <si>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</si>
  <si>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</si>
  <si>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</si>
  <si>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</si>
  <si>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</si>
  <si>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</si>
  <si>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</si>
  <si>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</si>
  <si>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</si>
  <si>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</si>
  <si>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</si>
  <si>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</si>
  <si>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</si>
  <si>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</si>
  <si>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</si>
  <si>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</si>
  <si>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</si>
  <si>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</si>
  <si>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</si>
  <si>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</si>
  <si>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</si>
  <si>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</si>
  <si>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</si>
  <si>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</si>
  <si>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</si>
  <si>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</si>
  <si>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</si>
  <si>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</si>
  <si>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</si>
  <si>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</si>
  <si>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</si>
  <si>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</si>
  <si>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</si>
  <si>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</si>
  <si>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</si>
  <si>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</si>
  <si>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</si>
  <si>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</si>
  <si>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</si>
  <si>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</si>
  <si>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</si>
  <si>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</si>
  <si>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</si>
  <si>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</si>
  <si>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</si>
  <si>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</si>
  <si>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</si>
  <si>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</si>
  <si>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</si>
  <si>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</si>
  <si>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</si>
  <si>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</si>
  <si>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</si>
  <si>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</si>
  <si>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</si>
  <si>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</si>
  <si>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</si>
  <si>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</si>
  <si>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</si>
  <si>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</si>
  <si>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</si>
  <si>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</si>
  <si>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</si>
  <si>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</si>
  <si>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</si>
  <si>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</si>
  <si>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</si>
  <si>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</si>
  <si>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</si>
  <si>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</si>
  <si>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</si>
  <si>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</si>
  <si>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</si>
  <si>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</si>
  <si>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</si>
  <si>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</si>
  <si>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</si>
  <si>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</si>
  <si>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</si>
  <si>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</si>
  <si>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</si>
  <si>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</si>
  <si>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</si>
  <si>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</si>
  <si>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</si>
  <si>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</si>
  <si>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</si>
  <si>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</si>
  <si>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</si>
  <si>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</si>
  <si>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</si>
  <si>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</si>
  <si>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</si>
  <si>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</si>
  <si>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</si>
  <si>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</si>
  <si>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</si>
  <si>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</si>
  <si>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</si>
  <si>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</si>
  <si>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</si>
  <si>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</si>
  <si>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</si>
  <si>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</si>
  <si>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</si>
  <si>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</si>
  <si>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</si>
  <si>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</si>
  <si>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</si>
  <si>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</si>
  <si>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</si>
  <si>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</si>
  <si>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</si>
  <si>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</si>
  <si>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</si>
  <si>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</si>
  <si>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</si>
  <si>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</si>
  <si>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</si>
  <si>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</si>
  <si>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</si>
  <si>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</si>
  <si>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</si>
  <si>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</si>
  <si>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</si>
  <si>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</si>
  <si>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</si>
  <si>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</si>
  <si>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</si>
  <si>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</si>
  <si>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</si>
  <si>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</si>
  <si>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</si>
  <si>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</si>
  <si>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</si>
  <si>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</si>
  <si>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</si>
  <si>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</si>
  <si>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</si>
  <si>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</si>
  <si>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</si>
  <si>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</si>
  <si>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</si>
  <si>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</si>
  <si>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</si>
  <si>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</si>
  <si>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</si>
  <si>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</si>
  <si>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</si>
  <si>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</si>
  <si>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</si>
  <si>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</si>
  <si>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</si>
  <si>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</si>
  <si>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</si>
  <si>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</si>
  <si>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</si>
  <si>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</si>
  <si>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</si>
  <si>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</si>
  <si>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</si>
  <si>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</si>
  <si>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</si>
  <si>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</si>
  <si>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</si>
  <si>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</si>
  <si>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</si>
  <si>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</si>
  <si>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</si>
  <si>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</si>
  <si>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</si>
  <si>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</si>
  <si>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</si>
  <si>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</si>
  <si>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</si>
  <si>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</si>
  <si>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</si>
  <si>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</si>
  <si>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</si>
  <si>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</si>
  <si>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</si>
  <si>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</si>
  <si>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</si>
  <si>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</si>
  <si>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</si>
  <si>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</si>
  <si>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</si>
  <si>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</si>
  <si>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</si>
  <si>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</si>
  <si>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</si>
  <si>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</si>
  <si>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</si>
  <si>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</si>
  <si>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</si>
  <si>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</si>
  <si>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</si>
  <si>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</si>
  <si>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</si>
  <si>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</si>
  <si>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</si>
  <si>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</si>
  <si>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</si>
  <si>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</si>
  <si>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</si>
  <si>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</si>
  <si>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</si>
  <si>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</si>
  <si>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</si>
  <si>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</si>
  <si>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</si>
  <si>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</si>
  <si>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</si>
  <si>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</si>
  <si>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</si>
  <si>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</si>
  <si>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</si>
  <si>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</si>
  <si>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</si>
  <si>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</si>
  <si>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</si>
  <si>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</si>
  <si>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</si>
  <si>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</si>
  <si>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</si>
  <si>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</si>
  <si>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</si>
  <si>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</si>
  <si>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</si>
  <si>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</si>
  <si>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</si>
  <si>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</si>
  <si>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</si>
  <si>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</si>
  <si>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</si>
  <si>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</si>
  <si>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</si>
  <si>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</si>
  <si>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</si>
  <si>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</si>
  <si>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</si>
  <si>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</si>
  <si>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</si>
  <si>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</si>
  <si>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</si>
  <si>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</si>
  <si>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</si>
  <si>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</si>
  <si>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</si>
  <si>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</si>
  <si>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</si>
  <si>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</si>
  <si>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</si>
  <si>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</si>
  <si>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</si>
  <si>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</si>
  <si>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</si>
  <si>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</si>
  <si>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</si>
  <si>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</si>
  <si>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</si>
  <si>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</si>
  <si>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</si>
  <si>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</si>
  <si>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</si>
  <si>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</si>
  <si>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</si>
  <si>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</si>
  <si>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</si>
  <si>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</si>
  <si>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</si>
  <si>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</si>
  <si>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</si>
  <si>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</si>
  <si>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</si>
  <si>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</si>
  <si>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</si>
  <si>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</si>
  <si>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</si>
  <si>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</si>
  <si>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</si>
  <si>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</si>
  <si>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</si>
  <si>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</si>
  <si>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</si>
  <si>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</si>
  <si>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</si>
  <si>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</si>
  <si>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</si>
  <si>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</si>
  <si>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</si>
  <si>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</si>
  <si>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</si>
  <si>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</si>
  <si>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</si>
  <si>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</si>
  <si>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</si>
  <si>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</si>
  <si>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</si>
  <si>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</si>
  <si>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</si>
  <si>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</si>
  <si>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</si>
  <si>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</si>
  <si>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</si>
  <si>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</si>
  <si>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</si>
  <si>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</si>
  <si>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</si>
  <si>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</si>
  <si>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</si>
  <si>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</si>
  <si>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</si>
  <si>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</si>
  <si>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</si>
  <si>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</si>
  <si>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</si>
  <si>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</si>
  <si>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</si>
  <si>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</si>
  <si>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</si>
  <si>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</si>
  <si>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</si>
  <si>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</si>
  <si>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</si>
  <si>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</si>
  <si>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</si>
  <si>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</si>
  <si>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</si>
  <si>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</si>
  <si>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</si>
  <si>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</si>
  <si>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</si>
  <si>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</si>
  <si>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</si>
  <si>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</si>
  <si>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</si>
  <si>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</si>
  <si>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</si>
  <si>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</si>
  <si>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</si>
  <si>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</si>
  <si>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</si>
  <si>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</si>
  <si>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</si>
  <si>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</si>
  <si>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</si>
  <si>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</si>
  <si>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</si>
  <si>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</si>
  <si>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</si>
  <si>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</si>
  <si>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</si>
  <si>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</si>
  <si>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</si>
  <si>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</si>
  <si>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</si>
  <si>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</si>
  <si>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</si>
  <si>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</si>
  <si>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</si>
  <si>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</si>
  <si>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</si>
  <si>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</si>
  <si>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</si>
  <si>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</si>
  <si>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</si>
  <si>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</si>
  <si>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</si>
  <si>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</si>
  <si>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</si>
  <si>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</si>
  <si>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</si>
  <si>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</si>
  <si>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</si>
  <si>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</si>
  <si>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</si>
  <si>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</si>
  <si>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</si>
  <si>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</si>
  <si>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</si>
  <si>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</si>
  <si>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</si>
  <si>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</si>
  <si>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</si>
  <si>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</si>
  <si>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</si>
  <si>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</si>
  <si>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</si>
  <si>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</si>
  <si>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</si>
  <si>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</si>
  <si>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</si>
  <si>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</si>
  <si>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</si>
  <si>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</si>
  <si>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</si>
  <si>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</si>
  <si>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</si>
  <si>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</si>
  <si>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</si>
  <si>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</si>
  <si>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</si>
  <si>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</si>
  <si>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</si>
  <si>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</si>
  <si>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</si>
  <si>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</si>
  <si>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</si>
  <si>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</si>
  <si>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</si>
  <si>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</si>
  <si>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</si>
  <si>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</si>
  <si>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</si>
  <si>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</si>
  <si>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</si>
  <si>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</si>
  <si>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</si>
  <si>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</si>
  <si>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</si>
  <si>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</si>
  <si>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</si>
  <si>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</si>
  <si>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</si>
  <si>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</si>
  <si>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</si>
  <si>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</si>
  <si>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</si>
  <si>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</si>
  <si>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</si>
  <si>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</si>
  <si>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</si>
  <si>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</si>
  <si>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</si>
  <si>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</si>
  <si>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</si>
  <si>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</si>
  <si>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</si>
  <si>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</si>
  <si>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</si>
  <si>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</si>
  <si>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</si>
  <si>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</si>
  <si>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</si>
  <si>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</si>
  <si>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</si>
  <si>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</si>
  <si>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</si>
  <si>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</si>
  <si>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</si>
  <si>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</si>
  <si>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</si>
  <si>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</si>
  <si>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</si>
  <si>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</si>
  <si>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</si>
  <si>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</si>
  <si>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</si>
  <si>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</si>
  <si>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</si>
  <si>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</si>
  <si>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</si>
  <si>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</si>
  <si>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</si>
  <si>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</si>
  <si>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</si>
  <si>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</si>
  <si>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</si>
  <si>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</si>
  <si>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</si>
  <si>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</si>
  <si>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</si>
  <si>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</si>
  <si>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</si>
  <si>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</si>
  <si>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</si>
  <si>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</si>
  <si>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</si>
  <si>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</si>
  <si>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</si>
  <si>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</si>
  <si>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</si>
  <si>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</si>
  <si>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</si>
  <si>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</si>
  <si>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</si>
  <si>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</si>
  <si>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</si>
  <si>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</si>
  <si>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</si>
  <si>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</si>
  <si>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</si>
  <si>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</si>
  <si>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</si>
  <si>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</si>
  <si>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</si>
  <si>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</si>
  <si>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</si>
  <si>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</si>
  <si>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</si>
  <si>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</si>
  <si>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</si>
  <si>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</si>
  <si>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</si>
  <si>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</si>
  <si>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</si>
  <si>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</si>
  <si>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</si>
  <si>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</si>
  <si>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</si>
  <si>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</si>
  <si>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</si>
  <si>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</si>
  <si>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</si>
  <si>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</si>
  <si>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</si>
  <si>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</si>
  <si>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</si>
  <si>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</si>
  <si>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</si>
  <si>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</si>
  <si>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</si>
  <si>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</si>
  <si>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</si>
  <si>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</si>
  <si>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</si>
  <si>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</si>
  <si>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</si>
  <si>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</si>
  <si>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</si>
  <si>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</si>
  <si>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</si>
  <si>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</si>
  <si>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</si>
  <si>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</si>
  <si>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</si>
  <si>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</si>
  <si>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</si>
  <si>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</si>
  <si>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</si>
  <si>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</si>
  <si>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</si>
  <si>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</si>
  <si>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</si>
  <si>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</si>
  <si>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</si>
  <si>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</si>
  <si>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</si>
  <si>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</si>
  <si>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</si>
  <si>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</si>
  <si>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</si>
  <si>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</si>
  <si>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</si>
  <si>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</si>
  <si>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</si>
  <si>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</si>
  <si>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</si>
  <si>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</si>
  <si>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</si>
  <si>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</si>
  <si>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</si>
  <si>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</si>
  <si>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</si>
  <si>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</si>
  <si>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</si>
  <si>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</si>
  <si>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</si>
  <si>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</si>
  <si>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</si>
  <si>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</si>
  <si>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</si>
  <si>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</si>
  <si>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</si>
  <si>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</si>
  <si>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</si>
  <si>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</si>
  <si>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</si>
  <si>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</si>
  <si>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</si>
  <si>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</si>
  <si>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</si>
  <si>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</si>
  <si>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</si>
  <si>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</si>
  <si>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</si>
  <si>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</si>
  <si>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</si>
  <si>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</si>
  <si>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</si>
  <si>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</si>
  <si>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</si>
  <si>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</si>
  <si>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</si>
  <si>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</si>
  <si>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</si>
  <si>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</si>
  <si>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</si>
  <si>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</si>
  <si>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</si>
  <si>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</si>
  <si>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</si>
  <si>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</si>
  <si>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</si>
  <si>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</si>
  <si>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</si>
  <si>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</si>
  <si>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</si>
  <si>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</si>
  <si>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</si>
  <si>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</si>
  <si>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</si>
  <si>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</si>
  <si>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</si>
  <si>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</si>
  <si>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</si>
  <si>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</si>
  <si>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</si>
  <si>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</si>
  <si>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</si>
  <si>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</si>
  <si>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</si>
  <si>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</si>
  <si>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</si>
  <si>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</si>
  <si>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</si>
  <si>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</si>
  <si>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</si>
  <si>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</si>
  <si>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</si>
  <si>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</si>
  <si>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</si>
  <si>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</si>
  <si>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</si>
  <si>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</si>
  <si>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</si>
  <si>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</si>
  <si>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</si>
  <si>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</si>
  <si>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</si>
  <si>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</si>
  <si>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</si>
  <si>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</si>
  <si>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</si>
  <si>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</si>
  <si>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</si>
  <si>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</si>
  <si>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</si>
  <si>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</si>
  <si>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</si>
  <si>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</si>
  <si>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</si>
  <si>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</si>
  <si>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</si>
  <si>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</si>
  <si>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</si>
  <si>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</si>
  <si>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</si>
  <si>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</si>
  <si>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</si>
  <si>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</si>
  <si>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</si>
  <si>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</si>
  <si>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</si>
  <si>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</si>
  <si>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</si>
  <si>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</si>
  <si>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</si>
  <si>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</si>
  <si>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</si>
  <si>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</si>
  <si>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</si>
  <si>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</si>
  <si>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</si>
  <si>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</si>
  <si>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</si>
  <si>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</si>
  <si>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</si>
  <si>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</si>
  <si>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</si>
  <si>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</si>
  <si>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</si>
  <si>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</si>
  <si>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</si>
  <si>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</si>
  <si>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</si>
  <si>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</si>
  <si>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</si>
  <si>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</si>
  <si>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</si>
  <si>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</si>
  <si>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</si>
  <si>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</si>
  <si>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</si>
  <si>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</si>
  <si>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</si>
  <si>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</si>
  <si>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</si>
  <si>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</si>
  <si>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</si>
  <si>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</si>
  <si>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</si>
  <si>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</si>
  <si>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</si>
  <si>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</si>
  <si>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</si>
  <si>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</si>
  <si>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</si>
  <si>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</si>
  <si>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</si>
  <si>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</si>
  <si>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</si>
  <si>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</si>
  <si>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</si>
  <si>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</si>
  <si>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</si>
  <si>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</si>
  <si>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</si>
  <si>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</si>
  <si>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</si>
  <si>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</si>
  <si>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</si>
  <si>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</si>
  <si>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</si>
  <si>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</si>
  <si>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</si>
  <si>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</si>
  <si>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</si>
  <si>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</si>
  <si>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</si>
  <si>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</si>
  <si>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</si>
  <si>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</si>
  <si>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</si>
  <si>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</si>
  <si>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</si>
  <si>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</si>
  <si>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</si>
  <si>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</si>
  <si>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</si>
  <si>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</si>
  <si>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</si>
  <si>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</si>
  <si>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</si>
  <si>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</si>
  <si>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</si>
  <si>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</si>
  <si>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</si>
  <si>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</si>
  <si>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</si>
  <si>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</si>
  <si>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</si>
  <si>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</si>
  <si>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</si>
  <si>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</si>
  <si>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</si>
  <si>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</si>
  <si>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</si>
  <si>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</si>
  <si>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</si>
  <si>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</si>
  <si>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</si>
  <si>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</si>
  <si>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</si>
  <si>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</si>
  <si>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</si>
  <si>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</si>
  <si>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</si>
  <si>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</si>
  <si>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</si>
  <si>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</si>
  <si>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</si>
  <si>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</si>
  <si>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</si>
  <si>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</si>
  <si>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</si>
  <si>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</si>
  <si>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</si>
  <si>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</si>
  <si>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</si>
  <si>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</si>
  <si>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</si>
  <si>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</si>
  <si>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</si>
  <si>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</si>
  <si>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</si>
  <si>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</si>
  <si>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</si>
  <si>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</si>
  <si>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</si>
  <si>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</si>
  <si>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</si>
  <si>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</si>
  <si>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</si>
  <si>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</si>
  <si>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</si>
  <si>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</si>
  <si>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</si>
  <si>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</si>
  <si>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</si>
  <si>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</si>
  <si>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</si>
  <si>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</si>
  <si>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</si>
  <si>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</si>
  <si>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</si>
  <si>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</si>
  <si>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</si>
  <si>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</si>
  <si>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</si>
  <si>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</si>
  <si>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</si>
  <si>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</si>
  <si>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</si>
  <si>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</si>
  <si>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</si>
  <si>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</si>
  <si>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</si>
  <si>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</si>
  <si>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</si>
  <si>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</si>
  <si>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</si>
  <si>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</si>
  <si>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</si>
  <si>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</si>
  <si>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</si>
  <si>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</si>
  <si>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</si>
  <si>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</si>
  <si>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</si>
  <si>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</si>
  <si>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</si>
  <si>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</si>
  <si>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</si>
  <si>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</si>
  <si>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</si>
  <si>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</si>
  <si>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</si>
  <si>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</si>
  <si>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</si>
  <si>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</si>
  <si>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</si>
  <si>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</si>
  <si>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</si>
  <si>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</si>
  <si>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</si>
  <si>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</si>
  <si>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</si>
  <si>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</si>
  <si>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</si>
  <si>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</si>
  <si>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</si>
  <si>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</si>
  <si>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</si>
  <si>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</si>
  <si>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</si>
  <si>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</si>
  <si>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</si>
  <si>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</si>
  <si>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</si>
  <si>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</si>
  <si>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</si>
  <si>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</si>
  <si>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</si>
  <si>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</si>
  <si>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</si>
  <si>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</si>
  <si>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</si>
  <si>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</si>
  <si>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</si>
  <si>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</si>
  <si>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</si>
  <si>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</si>
  <si>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</si>
  <si>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</si>
  <si>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</si>
  <si>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</si>
  <si>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</si>
  <si>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</si>
  <si>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</si>
  <si>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</si>
  <si>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</si>
  <si>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</si>
  <si>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</si>
  <si>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</si>
  <si>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</si>
  <si>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</si>
  <si>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</si>
  <si>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</si>
  <si>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</si>
  <si>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</si>
  <si>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</si>
  <si>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</si>
  <si>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</si>
  <si>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</si>
  <si>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</si>
  <si>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</si>
  <si>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</si>
  <si>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</si>
  <si>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</si>
  <si>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</si>
  <si>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</si>
  <si>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</si>
  <si>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</si>
  <si>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</si>
  <si>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</si>
  <si>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</si>
  <si>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</si>
  <si>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</si>
  <si>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</si>
  <si>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</si>
  <si>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</si>
  <si>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</si>
  <si>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</si>
  <si>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</si>
  <si>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</si>
  <si>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</si>
  <si>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</si>
  <si>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</si>
  <si>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</si>
  <si>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</si>
  <si>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</si>
  <si>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</si>
  <si>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</si>
  <si>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</si>
  <si>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</si>
  <si>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</si>
  <si>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</si>
  <si>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</si>
  <si>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</si>
  <si>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</si>
  <si>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</si>
  <si>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</si>
  <si>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</si>
  <si>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</si>
  <si>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</si>
  <si>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</si>
  <si>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</si>
  <si>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</si>
  <si>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</si>
  <si>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</si>
  <si>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</si>
  <si>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</si>
  <si>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</si>
  <si>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</si>
  <si>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</si>
  <si>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</si>
  <si>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</si>
  <si>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</si>
  <si>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</si>
  <si>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</si>
  <si>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</si>
  <si>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</si>
  <si>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</si>
  <si>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</si>
  <si>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</si>
  <si>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</si>
  <si>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</si>
  <si>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</si>
  <si>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</si>
  <si>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</si>
  <si>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</si>
  <si>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</si>
  <si>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</si>
  <si>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</si>
  <si>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</si>
  <si>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</si>
  <si>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</si>
  <si>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</si>
  <si>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</si>
  <si>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</si>
  <si>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</si>
  <si>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</si>
  <si>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</si>
  <si>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</si>
  <si>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</si>
  <si>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</si>
  <si>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</si>
  <si>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</si>
  <si>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</si>
  <si>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</si>
  <si>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</si>
  <si>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</si>
  <si>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</si>
  <si>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</si>
  <si>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</si>
  <si>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</si>
  <si>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</si>
  <si>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</si>
  <si>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</si>
  <si>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</si>
  <si>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</si>
  <si>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</si>
  <si>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</si>
  <si>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</si>
  <si>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</si>
  <si>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</si>
  <si>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</si>
  <si>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</si>
  <si>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</si>
  <si>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</si>
  <si>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</si>
  <si>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</si>
  <si>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</si>
  <si>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</si>
  <si>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</si>
  <si>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</si>
  <si>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</si>
  <si>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</si>
  <si>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</si>
  <si>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</si>
  <si>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</si>
  <si>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</si>
  <si>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</si>
  <si>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</si>
  <si>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</si>
  <si>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</si>
  <si>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</si>
  <si>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</si>
  <si>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</si>
  <si>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</si>
  <si>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</si>
  <si>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</si>
  <si>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</si>
  <si>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</si>
  <si>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</si>
  <si>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</si>
  <si>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</si>
  <si>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</si>
  <si>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</si>
  <si>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</si>
  <si>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</si>
  <si>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</si>
  <si>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</si>
  <si>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</si>
  <si>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</si>
  <si>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</si>
  <si>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</si>
  <si>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</si>
  <si>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</si>
  <si>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</si>
  <si>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</si>
  <si>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</si>
  <si>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</si>
  <si>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</si>
  <si>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</si>
  <si>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</si>
  <si>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</si>
  <si>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</si>
  <si>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</si>
  <si>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</si>
  <si>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</si>
  <si>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</si>
  <si>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</si>
  <si>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</si>
  <si>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</si>
  <si>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</si>
  <si>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</si>
  <si>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</si>
  <si>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</si>
  <si>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</si>
  <si>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</si>
  <si>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</si>
  <si>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</si>
  <si>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</si>
  <si>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</si>
  <si>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</si>
  <si>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</si>
  <si>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</si>
  <si>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</si>
  <si>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</si>
  <si>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</si>
  <si>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</si>
  <si>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</si>
  <si>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</si>
  <si>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</si>
  <si>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</si>
  <si>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</si>
  <si>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</si>
  <si>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</si>
  <si>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</si>
  <si>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</si>
  <si>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</si>
  <si>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</si>
  <si>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</si>
  <si>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</si>
  <si>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</si>
  <si>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</si>
  <si>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</si>
  <si>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</si>
  <si>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</si>
  <si>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</si>
  <si>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</si>
  <si>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</si>
  <si>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</si>
  <si>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</si>
  <si>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</si>
  <si>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</si>
  <si>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</si>
  <si>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</si>
  <si>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</si>
  <si>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</si>
  <si>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</si>
  <si>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</si>
  <si>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</si>
  <si>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</si>
  <si>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</si>
  <si>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</si>
  <si>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</si>
  <si>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</si>
  <si>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</si>
  <si>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</si>
  <si>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</si>
  <si>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</si>
  <si>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</si>
  <si>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</si>
  <si>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</si>
  <si>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</si>
  <si>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</si>
  <si>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</si>
  <si>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</si>
  <si>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</si>
  <si>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</si>
  <si>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</si>
  <si>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</si>
  <si>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</si>
  <si>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</si>
  <si>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</si>
  <si>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</si>
  <si>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</si>
  <si>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</si>
  <si>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</si>
  <si>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</si>
  <si>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</si>
  <si>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</si>
  <si>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</si>
  <si>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</si>
  <si>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</si>
  <si>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</si>
  <si>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</si>
  <si>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</si>
  <si>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</si>
  <si>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</si>
  <si>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</si>
  <si>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</si>
  <si>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</si>
  <si>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</si>
  <si>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</si>
  <si>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</si>
  <si>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</si>
  <si>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</si>
  <si>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</si>
  <si>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</si>
  <si>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</si>
  <si>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</si>
  <si>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</si>
  <si>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</si>
  <si>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</si>
  <si>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</si>
  <si>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</si>
  <si>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</si>
  <si>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</si>
  <si>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</si>
  <si>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</si>
  <si>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</si>
  <si>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</si>
  <si>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</si>
  <si>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</si>
  <si>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</si>
  <si>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</si>
  <si>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</si>
  <si>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</si>
  <si>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</si>
  <si>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</si>
  <si>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</si>
  <si>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</si>
  <si>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</si>
  <si>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</si>
  <si>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</si>
  <si>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</si>
  <si>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</si>
  <si>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</si>
  <si>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</si>
  <si>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</si>
  <si>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</si>
  <si>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</si>
  <si>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</si>
  <si>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</si>
  <si>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</si>
  <si>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</si>
  <si>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</si>
  <si>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</si>
  <si>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</si>
  <si>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</si>
  <si>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</si>
  <si>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</si>
  <si>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</si>
  <si>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</si>
  <si>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</si>
  <si>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</si>
  <si>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</si>
  <si>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</si>
  <si>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</si>
  <si>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</si>
  <si>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</si>
  <si>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</si>
  <si>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</si>
  <si>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</si>
  <si>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</si>
  <si>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</si>
  <si>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</si>
  <si>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</si>
  <si>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</si>
  <si>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</si>
  <si>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</si>
  <si>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</si>
  <si>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</si>
  <si>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</si>
  <si>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</si>
  <si>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</si>
  <si>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</si>
  <si>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</si>
  <si>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</si>
  <si>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</si>
  <si>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</si>
  <si>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</si>
  <si>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</si>
  <si>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</si>
  <si>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</si>
  <si>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</si>
  <si>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</si>
  <si>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</si>
  <si>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</si>
  <si>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</si>
  <si>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</si>
  <si>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</si>
  <si>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</si>
  <si>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</si>
  <si>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</si>
  <si>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</si>
  <si>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</si>
  <si>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</si>
  <si>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</si>
  <si>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</si>
  <si>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</si>
  <si>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</si>
  <si>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</si>
  <si>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</si>
  <si>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</si>
  <si>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</si>
  <si>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</si>
  <si>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</si>
  <si>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</si>
  <si>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</si>
  <si>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</si>
  <si>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</si>
  <si>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</si>
  <si>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</si>
  <si>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</si>
  <si>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</si>
  <si>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</si>
  <si>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</si>
  <si>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</si>
  <si>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</si>
  <si>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</si>
  <si>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</si>
  <si>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</si>
  <si>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</si>
  <si>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</si>
  <si>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</si>
  <si>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</si>
  <si>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</si>
  <si>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</si>
  <si>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</si>
  <si>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</si>
  <si>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</si>
  <si>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</si>
  <si>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</si>
  <si>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</si>
  <si>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</si>
  <si>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</si>
  <si>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</si>
  <si>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</si>
  <si>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</si>
  <si>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</si>
  <si>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</si>
  <si>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</si>
  <si>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</si>
  <si>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</si>
  <si>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</si>
  <si>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</si>
  <si>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</si>
  <si>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</si>
  <si>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</si>
  <si>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</si>
  <si>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</si>
  <si>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</si>
  <si>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</si>
  <si>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</si>
  <si>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</si>
  <si>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</si>
  <si>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</si>
  <si>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</si>
  <si>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</si>
  <si>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</si>
  <si>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</si>
  <si>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</si>
  <si>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</si>
  <si>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</si>
  <si>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</si>
  <si>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</si>
  <si>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</si>
  <si>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</si>
  <si>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</si>
  <si>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</si>
  <si>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</si>
  <si>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</si>
  <si>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</si>
  <si>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</si>
  <si>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</si>
  <si>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</si>
  <si>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</si>
  <si>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</si>
  <si>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</si>
  <si>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</si>
  <si>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</si>
  <si>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</si>
  <si>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</si>
  <si>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</si>
  <si>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</si>
  <si>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</si>
  <si>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</si>
  <si>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</si>
  <si>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</si>
  <si>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</si>
  <si>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</si>
  <si>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</si>
  <si>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</si>
  <si>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</si>
  <si>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</si>
  <si>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</si>
  <si>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</si>
  <si>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</si>
  <si>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</si>
  <si>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</si>
  <si>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</si>
  <si>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</si>
  <si>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</si>
  <si>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</si>
  <si>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</si>
  <si>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</si>
  <si>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</si>
  <si>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</si>
  <si>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</si>
  <si>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</si>
  <si>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</si>
  <si>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</si>
  <si>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</si>
  <si>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</si>
  <si>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</si>
  <si>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</si>
  <si>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</si>
  <si>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</si>
  <si>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</si>
  <si>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</si>
  <si>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</si>
  <si>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</si>
  <si>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</si>
  <si>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</si>
  <si>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</si>
  <si>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</si>
  <si>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</si>
  <si>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</si>
  <si>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</si>
  <si>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</si>
  <si>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</si>
  <si>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</si>
  <si>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</si>
  <si>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</si>
  <si>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</si>
  <si>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</si>
  <si>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</si>
  <si>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</si>
  <si>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</si>
  <si>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</si>
  <si>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</si>
  <si>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</si>
  <si>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</si>
  <si>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</si>
  <si>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</si>
  <si>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</si>
  <si>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</si>
  <si>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</si>
  <si>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</si>
  <si>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</si>
  <si>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</si>
  <si>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</si>
  <si>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</si>
  <si>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</si>
  <si>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</si>
  <si>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</si>
  <si>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</si>
  <si>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</si>
  <si>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</si>
  <si>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</si>
  <si>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</si>
  <si>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</si>
  <si>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</si>
  <si>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</si>
  <si>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</si>
  <si>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</si>
  <si>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</si>
  <si>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</si>
  <si>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</si>
  <si>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</si>
  <si>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</si>
  <si>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</si>
  <si>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</si>
  <si>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</si>
  <si>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</si>
  <si>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</si>
  <si>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</si>
  <si>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</si>
  <si>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</si>
  <si>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</si>
  <si>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</si>
  <si>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</si>
  <si>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</si>
  <si>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</si>
  <si>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</si>
  <si>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</si>
  <si>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</si>
  <si>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</si>
  <si>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</si>
  <si>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</si>
  <si>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</si>
  <si>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</si>
  <si>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</si>
  <si>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</si>
  <si>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</si>
  <si>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</si>
  <si>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</si>
  <si>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</si>
  <si>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</si>
  <si>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</si>
  <si>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</si>
  <si>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</si>
  <si>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</si>
  <si>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</si>
  <si>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</si>
  <si>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</si>
  <si>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</si>
  <si>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</si>
  <si>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</si>
  <si>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</si>
  <si>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</si>
  <si>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</si>
  <si>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</si>
  <si>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</si>
  <si>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</si>
  <si>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</si>
  <si>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</si>
  <si>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</si>
  <si>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</si>
  <si>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楼面单价</t>
  </si>
  <si>
    <t>万元</t>
  </si>
  <si>
    <t>商业</t>
  </si>
  <si>
    <t>利息：取LPR加浮动点数</t>
  </si>
  <si>
    <t>收益法</t>
  </si>
  <si>
    <t>成本法</t>
  </si>
  <si>
    <t>钢混</t>
  </si>
  <si>
    <t>非生产用房</t>
  </si>
  <si>
    <t>是</t>
  </si>
  <si>
    <t>未包含在土地购买价格中</t>
  </si>
  <si>
    <t>已包含在土地取得成本中</t>
  </si>
  <si>
    <r>
      <rPr>
        <sz val="11"/>
        <color indexed="8"/>
        <rFont val="宋体"/>
        <family val="3"/>
        <charset val="134"/>
      </rPr>
      <t>（</t>
    </r>
    <r>
      <rPr>
        <sz val="11"/>
        <color indexed="8"/>
        <rFont val="Arial"/>
        <family val="2"/>
      </rPr>
      <t>-1</t>
    </r>
    <r>
      <rPr>
        <sz val="11"/>
        <color indexed="8"/>
        <rFont val="宋体"/>
        <family val="3"/>
        <charset val="134"/>
      </rPr>
      <t>）</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</si>
</sst>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825;&#36890;&#33489;&#35199;&#33489;&#20108;&#21306;&#21830;&#19994;&#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10624</v>
          </cell>
        </row>
        <row r="3">
          <cell r="T3">
            <v>8373</v>
          </cell>
        </row>
        <row r="4">
          <cell r="T4">
            <v>7077</v>
          </cell>
        </row>
        <row r="5">
          <cell r="T5">
            <v>6242</v>
          </cell>
        </row>
        <row r="37">
          <cell r="C37">
            <v>4244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估价对象为北京市房地产，为XX所有。根据《》[]，估价对象建筑面积为1072.73平方米。根据《》[]，估价对象（分摊）出让国有建设用地使用权面积为平方米。估价对象用途为。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2022年8月10日</v>
      </c>
    </row>
    <row r="10" spans="1:2">
      <c r="A10" s="1139" t="s">
        <v>865</v>
      </c>
      <c r="B10" s="1126" t="str">
        <f>'预评函-1'!A13</f>
        <v>本次估价的“房地产价值”是指在正常市场情况下，在价值时点2022年8月10日，估价对象规划用途为，假定未设立法定优先受偿款下的房地产市场价值。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1072.73</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3" sqref="B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44783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名称</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1072.73</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33" activePane="bottomRight" state="frozen"/>
      <selection activeCell="A11" sqref="A11:D11"/>
      <selection pane="topRight" activeCell="A11" sqref="A11:D11"/>
      <selection pane="bottomLeft" activeCell="A11" sqref="A11:D11"/>
      <selection pane="bottomRight" activeCell="K56" sqref="K5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44783</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3036</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1072.73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190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19</v>
      </c>
      <c r="C13" s="2885"/>
      <c r="D13" s="2851" t="s">
        <v>1397</v>
      </c>
      <c r="E13" s="2571">
        <f>成本法!C10</f>
        <v>203819</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0.70399999999999996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3754555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ROUND((G20+G21)/2,2)</f>
        <v>0.74</v>
      </c>
      <c r="F20" s="905"/>
      <c r="G20" s="1613">
        <f>ROUND(1-(2022-B27)/60,2)</f>
        <v>0.68</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v>0.8</v>
      </c>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2003</v>
      </c>
      <c r="C27" s="1613"/>
      <c r="D27" s="3074" t="s">
        <v>3038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c r="D29" s="2853" t="s">
        <v>1423</v>
      </c>
      <c r="E29" s="2872">
        <f>E30+E31</f>
        <v>5.5000000000000007E-2</v>
      </c>
      <c r="F29" s="1238"/>
      <c r="G29" s="2887"/>
      <c r="H29" s="2887"/>
      <c r="K29" s="1613"/>
      <c r="N29" s="1613"/>
    </row>
    <row r="30" spans="1:41" ht="14.25">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19</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5.0000000000000001E-3</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B53" s="2593">
        <f>134/B5/365*10000</f>
        <v>3.4223270316970056</v>
      </c>
      <c r="D53" s="2887"/>
      <c r="E53" s="2887"/>
      <c r="F53" s="2887"/>
      <c r="G53" s="2887"/>
      <c r="H53" s="2887">
        <v>1</v>
      </c>
      <c r="I53" s="1613">
        <v>7</v>
      </c>
      <c r="J53" s="1613">
        <v>1</v>
      </c>
      <c r="K53" s="1613">
        <f>(B5-K57)/4</f>
        <v>237.66</v>
      </c>
      <c r="L53" s="1613"/>
      <c r="M53" s="1613"/>
      <c r="N53" s="1613"/>
    </row>
    <row r="54" spans="1:41" s="2593" customFormat="1" ht="14.25">
      <c r="D54" s="2887"/>
      <c r="E54" s="2887"/>
      <c r="F54" s="2887"/>
      <c r="G54" s="2887"/>
      <c r="H54" s="2887">
        <v>2</v>
      </c>
      <c r="I54" s="1613">
        <f>I53*J54</f>
        <v>4.2</v>
      </c>
      <c r="J54" s="1613">
        <v>0.6</v>
      </c>
      <c r="K54" s="1613">
        <f>K53</f>
        <v>237.66</v>
      </c>
      <c r="L54" s="1613"/>
      <c r="M54" s="1613"/>
      <c r="N54" s="1613"/>
    </row>
    <row r="55" spans="1:41" s="2593" customFormat="1" ht="14.25">
      <c r="D55" s="2887"/>
      <c r="E55" s="2887"/>
      <c r="F55" s="2887"/>
      <c r="G55" s="2887"/>
      <c r="H55" s="2887">
        <v>3</v>
      </c>
      <c r="I55" s="1613">
        <f>I53*J55</f>
        <v>3.5</v>
      </c>
      <c r="J55" s="1613">
        <v>0.5</v>
      </c>
      <c r="K55" s="1613">
        <f>K53</f>
        <v>237.66</v>
      </c>
      <c r="L55" s="1613"/>
      <c r="M55" s="1613"/>
      <c r="N55" s="1613"/>
    </row>
    <row r="56" spans="1:41" s="2593" customFormat="1" ht="14.25">
      <c r="D56" s="2887"/>
      <c r="E56" s="2887"/>
      <c r="F56" s="2887"/>
      <c r="G56" s="2887"/>
      <c r="H56" s="2887">
        <v>4</v>
      </c>
      <c r="I56" s="1613">
        <f>I53*J56</f>
        <v>2.8000000000000003</v>
      </c>
      <c r="J56" s="1613">
        <v>0.4</v>
      </c>
      <c r="K56" s="1613">
        <f>K53</f>
        <v>237.66</v>
      </c>
      <c r="L56" s="1613"/>
      <c r="M56" s="1613"/>
      <c r="N56" s="1613"/>
    </row>
    <row r="57" spans="1:41" s="2593" customFormat="1" ht="14.25">
      <c r="D57" s="2887"/>
      <c r="E57" s="2887"/>
      <c r="F57" s="2887"/>
      <c r="G57" s="2887"/>
      <c r="H57" s="2887" t="s">
        <v>3046</v>
      </c>
      <c r="I57" s="1613">
        <f>I53*J57</f>
        <v>2.8000000000000003</v>
      </c>
      <c r="J57" s="1613">
        <v>0.4</v>
      </c>
      <c r="K57" s="1613">
        <v>122.09</v>
      </c>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f>ROUND((I53*K53+I54*K54+I55*K55+I56*K56+I57*K57)/B5,2)</f>
        <v>4.2</v>
      </c>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E25" sqref="E25"/>
    </sheetView>
  </sheetViews>
  <sheetFormatPr defaultColWidth="14.625" defaultRowHeight="13.5"/>
  <cols>
    <col min="1" max="1" width="24.375" style="2501" customWidth="1"/>
    <col min="2" max="16384" width="14.625" style="2501"/>
  </cols>
  <sheetData>
    <row r="1" spans="1:9" ht="16.5">
      <c r="A1" s="2499" t="s">
        <v>973</v>
      </c>
      <c r="B1" s="2499">
        <f>SUM(B14:B23)</f>
        <v>1072.73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1507</v>
      </c>
      <c r="C5" s="2499">
        <f ca="1">ROUND(B5*10000/$B$1,0)</f>
        <v>14048</v>
      </c>
      <c r="D5" s="2499" t="e">
        <f ca="1">ROUND(B5*10000/$B$2,0)</f>
        <v>#DIV/0!</v>
      </c>
      <c r="E5" s="1562"/>
      <c r="F5" s="2500"/>
      <c r="G5" s="2500"/>
    </row>
    <row r="6" spans="1:9" ht="16.5">
      <c r="A6" s="2499" t="s">
        <v>981</v>
      </c>
      <c r="B6" s="2499">
        <f ca="1">SUM(G14:G23)</f>
        <v>1507</v>
      </c>
      <c r="C6" s="2499">
        <f t="shared" ref="C6:C8" ca="1" si="0">ROUND(B6*10000/$B$1,0)</f>
        <v>14048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1072.73</v>
      </c>
      <c r="C14" s="2835">
        <f>项目基本情况!C13</f>
        <v>0</v>
      </c>
      <c r="D14" s="2835">
        <f ca="1">IF('数据-取费表'!B3="万元",IF(A14="估价对象1（结果表）",结果表!H121,'结果表 (1修多)'!H125),IF(A14="估价对象1（结果表）",结果表!H121,'结果表 (1修多)'!H125)/10000)</f>
        <v>1507</v>
      </c>
      <c r="E14" s="2835">
        <f ca="1">ROUND(D14*10000/B14,0)</f>
        <v>14048</v>
      </c>
      <c r="F14" s="2835" t="e">
        <f ca="1">ROUND(D14*10000/C14,0)</f>
        <v>#DIV/0!</v>
      </c>
      <c r="G14" s="2835">
        <f ca="1">IF('数据-取费表'!B3="万元",IF(A14="估价对象1（结果表）",结果表!D125,'结果表 (1修多)'!D129),IF(A14="估价对象1（结果表）",结果表!D125,'结果表 (1修多)'!D129)/10000)</f>
        <v>1507</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 zoomScale="80" zoomScaleNormal="100" zoomScaleSheetLayoutView="80" zoomScalePageLayoutView="80" workbookViewId="0">
      <selection activeCell="M106" sqref="M10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北京市房地产抵押价值预评估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3040</v>
      </c>
      <c r="D4" s="2632" t="s">
        <v>3039</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5">
      <c r="A19" s="2638" t="s">
        <v>1494</v>
      </c>
      <c r="B19" s="2639" t="s">
        <v>1495</v>
      </c>
      <c r="C19" s="2640">
        <f ca="1">SUMIF(INDIRECT("'"&amp;C4&amp;"'"&amp;"!A:A"),结果表!B19,INDIRECT("'"&amp;C4&amp;"'"&amp;"!B:B"))</f>
        <v>1583</v>
      </c>
      <c r="D19" s="2641">
        <f ca="1">SUMIF(INDIRECT("'"&amp;D4&amp;"'"&amp;"!A:A"),结果表!B19,INDIRECT("'"&amp;D4&amp;"'"&amp;"!B:B"))</f>
        <v>1431</v>
      </c>
      <c r="E19" s="2638" t="s">
        <v>1496</v>
      </c>
      <c r="F19" s="2639" t="s">
        <v>1495</v>
      </c>
      <c r="G19" s="2642">
        <f ca="1">ROUND(C19*$C$18+D19*$D$18,0)</f>
        <v>1507</v>
      </c>
      <c r="H19" s="2643" t="str">
        <f>'数据-取费表'!B3</f>
        <v>万元</v>
      </c>
      <c r="I19" s="2691"/>
      <c r="J19" s="2766"/>
    </row>
    <row r="20" spans="1:36" ht="15">
      <c r="A20" s="2644"/>
      <c r="B20" s="1622" t="s">
        <v>1497</v>
      </c>
      <c r="C20" s="1847">
        <f ca="1">SUMIF(INDIRECT("'"&amp;C4&amp;"'"&amp;"!A:A"),结果表!B20,INDIRECT("'"&amp;C4&amp;"'"&amp;"!B:B"))</f>
        <v>14754</v>
      </c>
      <c r="D20" s="1850">
        <f ca="1">SUMIF(INDIRECT("'"&amp;D4&amp;"'"&amp;"!A:A"),结果表!B20,INDIRECT("'"&amp;D4&amp;"'"&amp;"!B:B"))</f>
        <v>13340</v>
      </c>
      <c r="E20" s="2644"/>
      <c r="F20" s="1622" t="s">
        <v>1497</v>
      </c>
      <c r="G20" s="2021">
        <f ca="1">ROUND(C20*$C$18+D20*$D$18,0)</f>
        <v>14047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0.10621942697414388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14047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10086</v>
      </c>
      <c r="D34" s="2668">
        <f ca="1">IF(D33="自定义",ROUND(C34/C32,3),1-D35)</f>
        <v>0.71799999999999997</v>
      </c>
      <c r="E34" s="1363" t="s">
        <v>1510</v>
      </c>
      <c r="F34" s="2669">
        <v>2000</v>
      </c>
      <c r="G34" s="905"/>
      <c r="H34" s="905"/>
      <c r="I34" s="905"/>
      <c r="J34" s="2765"/>
    </row>
    <row r="35" spans="1:17" ht="15.75" thickBot="1">
      <c r="A35" s="1395"/>
      <c r="B35" s="2670" t="s">
        <v>1511</v>
      </c>
      <c r="C35" s="2671">
        <f ca="1">IF(D33="自定义",F35,ROUND(C32*D35,0))</f>
        <v>3961</v>
      </c>
      <c r="D35" s="2672">
        <f ca="1">IF(D33="自定义",ROUND(C35/C32,3),IF(D33="成本法成本比率",成本法!C56,IF(D33="收益法收益比率",收益法!J38,收益法!J41)))</f>
        <v>0.28199999999999997</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1507</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北京市房地产抵押价值预评估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44783</v>
      </c>
      <c r="O47" s="3522"/>
      <c r="P47" s="3522"/>
      <c r="Q47" s="1236"/>
    </row>
    <row r="48" spans="1:17" ht="25.5">
      <c r="A48" s="3464" t="s">
        <v>1536</v>
      </c>
      <c r="B48" s="3418"/>
      <c r="C48" s="3418"/>
      <c r="D48" s="12">
        <f ca="1">IF(H48="情况1",0,IF(H48="情况2",D52,IF(H48="情况3",D53,IF(H48="情况4",D54))))</f>
        <v>79</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0" t="s">
        <v>2508</v>
      </c>
      <c r="M48" s="3520"/>
      <c r="N48" s="3521">
        <f ca="1">I102</f>
        <v>1507</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79</v>
      </c>
      <c r="E52" s="2020" t="s">
        <v>1553</v>
      </c>
      <c r="F52" s="2493">
        <f>'数据-取费表'!E29</f>
        <v>5.5000000000000007E-2</v>
      </c>
      <c r="G52" s="2494"/>
      <c r="H52" s="905"/>
      <c r="I52" s="2898"/>
      <c r="J52" s="2773"/>
      <c r="K52" s="2454">
        <v>1</v>
      </c>
      <c r="L52" s="3487" t="s">
        <v>2515</v>
      </c>
      <c r="M52" s="3487"/>
      <c r="N52" s="2456">
        <f ca="1">D48</f>
        <v>79</v>
      </c>
      <c r="O52" s="2454" t="str">
        <f>E48</f>
        <v>销售额×税（费）率</v>
      </c>
      <c r="P52" s="2457">
        <f>F48</f>
        <v>5.5000000000000007E-2</v>
      </c>
      <c r="Q52" s="1236"/>
    </row>
    <row r="53" spans="1:17" ht="12" customHeight="1">
      <c r="A53" s="2010" t="s">
        <v>1555</v>
      </c>
      <c r="B53" s="3419" t="s">
        <v>2593</v>
      </c>
      <c r="C53" s="3458"/>
      <c r="D53" s="1028">
        <f ca="1">ROUND(D45*'数据-取费表'!E29/(1+'数据-取费表'!F30),0)</f>
        <v>79</v>
      </c>
      <c r="E53" s="2020" t="s">
        <v>1553</v>
      </c>
      <c r="F53" s="2493">
        <f>'数据-取费表'!E29</f>
        <v>5.5000000000000007E-2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79</v>
      </c>
      <c r="E54" s="264" t="s">
        <v>1558</v>
      </c>
      <c r="F54" s="2493">
        <f>'数据-取费表'!E29</f>
        <v>5.5000000000000007E-2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79</v>
      </c>
      <c r="P57" s="2465"/>
      <c r="Q57" s="1234" t="e">
        <f ca="1">O57/N49</f>
        <v>#VALUE!</v>
      </c>
    </row>
    <row r="58" spans="1:17" ht="24.75">
      <c r="A58" s="2010" t="s">
        <v>1551</v>
      </c>
      <c r="B58" s="3419" t="s">
        <v>1569</v>
      </c>
      <c r="C58" s="3457"/>
      <c r="D58" s="12">
        <f ca="1">IF(H58="转让取得",C81,C97)</f>
        <v>854</v>
      </c>
      <c r="E58" s="2020" t="s">
        <v>1564</v>
      </c>
      <c r="F58" s="235" t="s">
        <v>48</v>
      </c>
      <c r="G58" s="2494"/>
      <c r="H58" s="2496" t="s">
        <v>1570</v>
      </c>
      <c r="I58" s="2900"/>
      <c r="J58" s="2773"/>
      <c r="K58" s="3487"/>
      <c r="L58" s="3487"/>
      <c r="M58" s="2462" t="s">
        <v>2520</v>
      </c>
      <c r="N58" s="2466"/>
      <c r="O58" s="2467" t="str">
        <f ca="1">IF(H19="元",NUMBERSTRING(INT(O57),2)&amp;"元整",NUMBERSTRING(INT(O57*10000),2)&amp;"元整")</f>
        <v>柒拾玖万元整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1435</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1507</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1435</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79</v>
      </c>
      <c r="D68" s="2170">
        <f>'数据-取费表'!E29</f>
        <v>5.5000000000000007E-2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1435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7</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7</v>
      </c>
      <c r="D78" s="2717">
        <f>'数据-取费表'!E31</f>
        <v>5.000000000000001E-3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1428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854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1435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7</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7</v>
      </c>
      <c r="D93" s="2717">
        <f>'数据-取费表'!E31</f>
        <v>5.000000000000001E-3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1428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854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1583</v>
      </c>
      <c r="D101" s="2727">
        <f ca="1">D19</f>
        <v>1431</v>
      </c>
      <c r="E101" s="1389"/>
      <c r="F101" s="3422" t="str">
        <f>项目基本情况!I1</f>
        <v>北京市房地产</v>
      </c>
      <c r="G101" s="3423"/>
      <c r="H101" s="3420">
        <f>项目基本情况!C12</f>
        <v>1072.73</v>
      </c>
      <c r="I101" s="3421"/>
      <c r="J101" s="2780"/>
    </row>
    <row r="102" spans="1:36" ht="12.75">
      <c r="A102" s="3490"/>
      <c r="B102" s="2235" t="s">
        <v>2571</v>
      </c>
      <c r="C102" s="2728">
        <f ca="1">C20</f>
        <v>14754</v>
      </c>
      <c r="D102" s="2729">
        <f ca="1">D20</f>
        <v>13340</v>
      </c>
      <c r="E102" s="1389"/>
      <c r="F102" s="3432" t="s">
        <v>2567</v>
      </c>
      <c r="G102" s="3433"/>
      <c r="H102" s="2737" t="str">
        <f>C106</f>
        <v>总价（万元）</v>
      </c>
      <c r="I102" s="2738">
        <f ca="1">H121</f>
        <v>1507</v>
      </c>
      <c r="J102" s="2780"/>
    </row>
    <row r="103" spans="1:36" ht="12.75">
      <c r="A103" s="3490" t="s">
        <v>2572</v>
      </c>
      <c r="B103" s="2173" t="str">
        <f>B101</f>
        <v>总价（万元）</v>
      </c>
      <c r="C103" s="2732">
        <f ca="1">H121</f>
        <v>1507</v>
      </c>
      <c r="D103" s="2730"/>
      <c r="E103" s="1389"/>
      <c r="F103" s="3432"/>
      <c r="G103" s="3433"/>
      <c r="H103" s="2737" t="s">
        <v>2540</v>
      </c>
      <c r="I103" s="52">
        <f ca="1">I121</f>
        <v>14047</v>
      </c>
      <c r="J103" s="2764"/>
    </row>
    <row r="104" spans="1:36" ht="13.5" thickBot="1">
      <c r="A104" s="3491"/>
      <c r="B104" s="2734" t="s">
        <v>2571</v>
      </c>
      <c r="C104" s="2735">
        <f ca="1">I121</f>
        <v>14047</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1507</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14047</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1507</v>
      </c>
      <c r="J110" s="2780"/>
    </row>
    <row r="111" spans="1:36" ht="12.75">
      <c r="A111" s="3434" t="s">
        <v>2545</v>
      </c>
      <c r="B111" s="3435"/>
      <c r="C111" s="2739" t="str">
        <f>C108</f>
        <v>总额（万元）</v>
      </c>
      <c r="D111" s="52">
        <f>C38</f>
        <v>0</v>
      </c>
      <c r="E111" s="1389"/>
      <c r="F111" s="3523"/>
      <c r="G111" s="3524"/>
      <c r="H111" s="2737" t="s">
        <v>2540</v>
      </c>
      <c r="I111" s="2741">
        <f ca="1">D113</f>
        <v>14047</v>
      </c>
      <c r="J111" s="2783"/>
    </row>
    <row r="112" spans="1:36" ht="26.25" customHeight="1">
      <c r="A112" s="3432" t="str">
        <f>IF(项目基本情况!F5="已注销","——","3.房地产抵押价值")</f>
        <v>3.房地产抵押价值</v>
      </c>
      <c r="B112" s="3433"/>
      <c r="C112" s="2737" t="str">
        <f>B101</f>
        <v>总价（万元）</v>
      </c>
      <c r="D112" s="2738">
        <f ca="1">IF(A112="——","——",D106-D108)</f>
        <v>1507</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14047</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1072.73</v>
      </c>
      <c r="C121" s="2020">
        <f>项目基本情况!C13</f>
        <v>0</v>
      </c>
      <c r="D121" s="2020">
        <f ca="1">ROUND(IF(B32="总价",C34,IF('数据-取费表'!B3="万元",E121*B121/10000,E121*B121)),0)</f>
        <v>1082</v>
      </c>
      <c r="E121" s="2020">
        <f ca="1">ROUND(IF(B32="楼面单价",C34,IF(H19="元",D121/B121,D121*10000/B121)),0)</f>
        <v>10086</v>
      </c>
      <c r="F121" s="2020">
        <f ca="1">ROUND(IF(B32="总价",C35,IF('数据-取费表'!B3="万元",G121*B121/10000,G121*B121)),0)</f>
        <v>425</v>
      </c>
      <c r="G121" s="2020">
        <f ca="1">ROUND(IF(B32="楼面单价",C35,IF(H19="元",F121/B121,F121*10000/B121)),0)</f>
        <v>3961</v>
      </c>
      <c r="H121" s="2020">
        <f ca="1">ROUND(IF(B32="总价",C32,IF('数据-取费表'!B3="万元",I121*B121/10000,I121*B121)),0)</f>
        <v>1507</v>
      </c>
      <c r="I121" s="52">
        <f ca="1">ROUND(IF(B32="楼面单价",C32,IF(H19="元",H121/B121,H121*10000/B121)),0)</f>
        <v>14047</v>
      </c>
      <c r="J121" s="2764"/>
    </row>
    <row r="122" spans="1:16" ht="12.75">
      <c r="A122" s="3417" t="s">
        <v>2557</v>
      </c>
      <c r="B122" s="3418"/>
      <c r="C122" s="3418"/>
      <c r="D122" s="3445" t="str">
        <f ca="1">IF(H19="元",NUMBERSTRING(INT(D121),2)&amp;"元整",NUMBERSTRING(INT(D121*10000),2)&amp;"元整")</f>
        <v>壹仟零捌拾贰万元整</v>
      </c>
      <c r="E122" s="3488"/>
      <c r="F122" s="3445" t="str">
        <f ca="1">IF(H19="元",NUMBERSTRING(INT(F121),2)&amp;"元整",NUMBERSTRING(INT(F121*10000),2)&amp;"元整")</f>
        <v>肆佰贰拾伍万元整</v>
      </c>
      <c r="G122" s="3488"/>
      <c r="H122" s="3445" t="str">
        <f ca="1">IF(H19="元",NUMBERSTRING(INT(H121),2)&amp;"元整",NUMBERSTRING(INT(H121*10000),2)&amp;"元整")</f>
        <v>壹仟伍佰零柒万元整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1507</v>
      </c>
      <c r="E125" s="3428"/>
      <c r="F125" s="3428"/>
      <c r="G125" s="3428"/>
      <c r="H125" s="3428"/>
      <c r="I125" s="3421"/>
      <c r="J125" s="2780"/>
    </row>
    <row r="126" spans="1:16" ht="12.75">
      <c r="A126" s="3417" t="s">
        <v>2557</v>
      </c>
      <c r="B126" s="3418"/>
      <c r="C126" s="3418"/>
      <c r="D126" s="3429">
        <f ca="1">I111</f>
        <v>14047</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5"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44783</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5.5000000000000007E-2</v>
      </c>
      <c r="G54" s="2494"/>
      <c r="H54" s="905"/>
      <c r="I54" s="2898"/>
      <c r="J54" s="2773"/>
      <c r="K54" s="2431">
        <v>1</v>
      </c>
      <c r="L54" s="3542" t="s">
        <v>1554</v>
      </c>
      <c r="M54" s="3542"/>
      <c r="N54" s="2433">
        <f>D50</f>
        <v>0</v>
      </c>
      <c r="O54" s="2431" t="str">
        <f>E50</f>
        <v>销售额×税（费）率</v>
      </c>
      <c r="P54" s="2434">
        <f>F50</f>
        <v>5.5000000000000007E-2</v>
      </c>
    </row>
    <row r="55" spans="1:17" ht="12" customHeight="1">
      <c r="A55" s="2010" t="s">
        <v>1555</v>
      </c>
      <c r="B55" s="3419" t="s">
        <v>2593</v>
      </c>
      <c r="C55" s="3458"/>
      <c r="D55" s="1028">
        <f>ROUND(D47*'数据-取费表'!E29/(1+'数据-取费表'!F30),0)</f>
        <v>0</v>
      </c>
      <c r="E55" s="2020" t="s">
        <v>1553</v>
      </c>
      <c r="F55" s="2493">
        <f>'数据-取费表'!E29</f>
        <v>5.5000000000000007E-2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5.5000000000000007E-2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5" sqref="J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1583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14754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8652240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K20</f>
        <v>8198371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250050</v>
      </c>
      <c r="D7" s="115"/>
      <c r="E7" s="1097"/>
      <c r="F7" s="1098">
        <f>'数据-取费表'!E36+'数据-取费表'!E37</f>
        <v>3.0499999999999999E-2</v>
      </c>
      <c r="G7" s="95"/>
      <c r="H7" s="96">
        <v>-1</v>
      </c>
      <c r="I7" s="96">
        <f>[2]基准地价修正!$C$37</f>
        <v>4244</v>
      </c>
      <c r="J7" s="96">
        <f>'数据-取费表'!K57</f>
        <v>122.09</v>
      </c>
      <c r="K7" s="96">
        <f>ROUND(I7*J7,0)</f>
        <v>518150</v>
      </c>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203819</v>
      </c>
      <c r="D8" s="1099"/>
      <c r="E8" s="115"/>
      <c r="F8" s="1098"/>
      <c r="G8" s="1446" t="s">
        <v>3044</v>
      </c>
      <c r="H8" s="96">
        <v>1</v>
      </c>
      <c r="I8" s="96">
        <f>[2]基准地价修正!$T$2</f>
        <v>10624</v>
      </c>
      <c r="J8" s="96">
        <f>'数据-取费表'!K53</f>
        <v>237.66</v>
      </c>
      <c r="K8" s="96">
        <f t="shared" ref="K8:K19" si="0">ROUND(I8*J8,0)</f>
        <v>2524900</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v>2</v>
      </c>
      <c r="I9" s="96">
        <f>[2]基准地价修正!$T$3</f>
        <v>8373</v>
      </c>
      <c r="J9" s="96">
        <f>'数据-取费表'!K54</f>
        <v>237.66</v>
      </c>
      <c r="K9" s="96">
        <f t="shared" si="0"/>
        <v>1989927</v>
      </c>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203819</v>
      </c>
      <c r="D10" s="1101">
        <f>IF('数据-取费表'!B10&lt;&gt;"住宅",IF(B1="仅计算典型户型",'数据-取费表'!E5,'数据-取费表'!B5),0)</f>
        <v>1072.73</v>
      </c>
      <c r="E10" s="1100">
        <f>'数据-取费表'!E12</f>
        <v>190</v>
      </c>
      <c r="F10" s="1098"/>
      <c r="G10" s="98"/>
      <c r="H10" s="96">
        <v>3</v>
      </c>
      <c r="I10" s="96">
        <f>[2]基准地价修正!$T$4</f>
        <v>7077</v>
      </c>
      <c r="J10" s="96">
        <f>'数据-取费表'!K55</f>
        <v>237.66</v>
      </c>
      <c r="K10" s="96">
        <f t="shared" si="0"/>
        <v>1681920</v>
      </c>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f>'数据-取费表'!K56</f>
        <v>237.66</v>
      </c>
      <c r="K11" s="96">
        <f t="shared" si="0"/>
        <v>0</v>
      </c>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f>'数据-取费表'!K57</f>
        <v>122.09</v>
      </c>
      <c r="K12" s="96">
        <f t="shared" si="0"/>
        <v>0</v>
      </c>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f>'数据-取费表'!K58</f>
        <v>0</v>
      </c>
      <c r="K13" s="96">
        <f t="shared" si="0"/>
        <v>0</v>
      </c>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f>'数据-取费表'!K59</f>
        <v>0</v>
      </c>
      <c r="K14" s="96">
        <f t="shared" si="0"/>
        <v>0</v>
      </c>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f>'数据-取费表'!K60</f>
        <v>0</v>
      </c>
      <c r="K15" s="96">
        <f t="shared" si="0"/>
        <v>0</v>
      </c>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f>'数据-取费表'!K61</f>
        <v>0</v>
      </c>
      <c r="K16" s="96">
        <f t="shared" si="0"/>
        <v>0</v>
      </c>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f>'数据-取费表'!K62</f>
        <v>0</v>
      </c>
      <c r="K17" s="96">
        <f t="shared" si="0"/>
        <v>0</v>
      </c>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f>'数据-取费表'!K63</f>
        <v>0</v>
      </c>
      <c r="K18" s="96">
        <f t="shared" si="0"/>
        <v>0</v>
      </c>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1072.73</v>
      </c>
      <c r="E19" s="111">
        <f>'数据-取费表'!E15</f>
        <v>200</v>
      </c>
      <c r="F19" s="112"/>
      <c r="G19" s="1446" t="s">
        <v>3045</v>
      </c>
      <c r="H19" s="96">
        <v>4</v>
      </c>
      <c r="I19" s="96">
        <f>[2]基准地价修正!$T$5</f>
        <v>6242</v>
      </c>
      <c r="J19" s="96">
        <f>'数据-取费表'!K56</f>
        <v>237.66</v>
      </c>
      <c r="K19" s="96">
        <f t="shared" si="0"/>
        <v>1483474</v>
      </c>
    </row>
    <row r="20" spans="1:123" s="91" customFormat="1" ht="13.5" customHeight="1">
      <c r="A20" s="120" t="s">
        <v>1702</v>
      </c>
      <c r="B20" s="89" t="s">
        <v>1703</v>
      </c>
      <c r="C20" s="99">
        <f>ROUND((C5+C19)*F20,0)</f>
        <v>173045</v>
      </c>
      <c r="D20" s="99"/>
      <c r="E20" s="99"/>
      <c r="F20" s="103">
        <f>'数据-取费表'!E25</f>
        <v>0.02</v>
      </c>
      <c r="G20" s="100" t="s">
        <v>1704</v>
      </c>
      <c r="H20" s="96"/>
      <c r="I20" s="96"/>
      <c r="J20" s="96"/>
      <c r="K20" s="96">
        <f>K7+K8+K9+K10+K19</f>
        <v>8198371</v>
      </c>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749319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742051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7268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1323793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1323793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11797355</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4138056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3754555</v>
      </c>
      <c r="D34" s="1096"/>
      <c r="E34" s="115"/>
      <c r="F34" s="1107" t="str">
        <f>IF('数据-取费表'!B26=0,"",'数据-取费表'!E20)</f>
        <v/>
      </c>
      <c r="G34" s="95"/>
    </row>
    <row r="35" spans="1:123" ht="13.5" customHeight="1">
      <c r="A35" s="92" t="s">
        <v>1685</v>
      </c>
      <c r="B35" s="93" t="s">
        <v>1734</v>
      </c>
      <c r="C35" s="115">
        <f>ROUND(C34*F35,0)</f>
        <v>112637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214546</v>
      </c>
      <c r="D37" s="1096">
        <f>IF(B1="仅计算典型户型",'数据-取费表'!E5,'数据-取费表'!B5)</f>
        <v>1072.73</v>
      </c>
      <c r="E37" s="115">
        <f>'数据-取费表'!E23</f>
        <v>200</v>
      </c>
      <c r="F37" s="1108"/>
      <c r="G37" s="124" t="s">
        <v>1739</v>
      </c>
    </row>
    <row r="38" spans="1:123" ht="13.5" customHeight="1">
      <c r="A38" s="92" t="s">
        <v>1740</v>
      </c>
      <c r="B38" s="93" t="s">
        <v>1741</v>
      </c>
      <c r="C38" s="115">
        <f>ROUND(C34*F38,0)</f>
        <v>56318</v>
      </c>
      <c r="D38" s="115"/>
      <c r="E38" s="115"/>
      <c r="F38" s="1108">
        <f>'数据-取费表'!E24</f>
        <v>1.4999999999999999E-2</v>
      </c>
      <c r="G38" s="95" t="s">
        <v>1735</v>
      </c>
    </row>
    <row r="39" spans="1:123" s="91" customFormat="1" ht="13.5" customHeight="1">
      <c r="A39" s="120" t="s">
        <v>1700</v>
      </c>
      <c r="B39" s="89" t="s">
        <v>1703</v>
      </c>
      <c r="C39" s="99">
        <f>ROUND(C33*F20,0)</f>
        <v>82761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177274</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173798</v>
      </c>
      <c r="D42" s="104"/>
      <c r="E42" s="104"/>
      <c r="F42" s="105"/>
      <c r="G42" s="3554" t="s">
        <v>1745</v>
      </c>
    </row>
    <row r="43" spans="1:123" ht="13.5" customHeight="1">
      <c r="A43" s="92" t="s">
        <v>1685</v>
      </c>
      <c r="B43" s="93" t="s">
        <v>1714</v>
      </c>
      <c r="C43" s="104">
        <f ca="1">ROUND(IF('数据-取费表'!B24&lt;=1,C39*F22*'数据-取费表'!B23/2,C39*(POWER((1+F22),'数据-取费表'!B23/2)-1)),0)</f>
        <v>3476</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633123</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633123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5446216</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4030200</v>
      </c>
      <c r="D51" s="99"/>
      <c r="E51" s="99"/>
      <c r="F51" s="126"/>
      <c r="G51" s="100" t="s">
        <v>1759</v>
      </c>
    </row>
    <row r="52" spans="1:123" s="88" customFormat="1" ht="16.5" thickBot="1">
      <c r="A52" s="127" t="s">
        <v>1760</v>
      </c>
      <c r="B52" s="128"/>
      <c r="C52" s="129">
        <f ca="1">C31+C51</f>
        <v>15827555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0.255</v>
      </c>
    </row>
    <row r="57" spans="1:123">
      <c r="B57" s="135" t="s">
        <v>1763</v>
      </c>
      <c r="C57" s="137">
        <f ca="1">1-C56</f>
        <v>0.745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-203819</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-203819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-4076</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-31184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-31184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202027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1431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13340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1234913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1233371</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1072.73</v>
      </c>
      <c r="G7" s="909"/>
      <c r="H7" s="237"/>
      <c r="I7" s="238"/>
      <c r="J7" s="239"/>
      <c r="K7" s="240"/>
      <c r="L7" s="235" t="s">
        <v>1777</v>
      </c>
      <c r="M7" s="236">
        <f>IF('数据-取费表'!B42="",IF(D1="仅计算典型户型",'数据-取费表'!E5,'数据-取费表'!B5),'数据-取费表'!B42)</f>
        <v>1072.73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1542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4030200</v>
      </c>
      <c r="D13" s="1023" t="s">
        <v>1791</v>
      </c>
      <c r="E13" s="1023" t="s">
        <v>1792</v>
      </c>
      <c r="F13" s="1024">
        <f>'数据-取费表'!E20</f>
        <v>0.74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3754555</v>
      </c>
      <c r="D14" s="1256" t="s">
        <v>1795</v>
      </c>
      <c r="E14" s="1257"/>
      <c r="F14" s="757"/>
      <c r="G14" s="910"/>
      <c r="H14" s="253" t="s">
        <v>1774</v>
      </c>
      <c r="I14" s="235" t="s">
        <v>1796</v>
      </c>
      <c r="J14" s="13">
        <f ca="1">C29</f>
        <v>5446216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112637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72979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214546</v>
      </c>
      <c r="D17" s="235" t="s">
        <v>1809</v>
      </c>
      <c r="E17" s="235" t="s">
        <v>1810</v>
      </c>
      <c r="F17" s="15">
        <f>'数据-取费表'!E23</f>
        <v>200</v>
      </c>
      <c r="G17" s="910"/>
      <c r="H17" s="253" t="s">
        <v>1811</v>
      </c>
      <c r="I17" s="235" t="s">
        <v>1812</v>
      </c>
      <c r="J17" s="2745">
        <f ca="1">ROUND(IF(AND(项目基本情况!B7="自然人",项目基本情况!B6="北京市"),J6*M17/(1+'数据-取费表'!F30),J18+J19+J20),0)</f>
        <v>45748</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56318</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4138056</v>
      </c>
      <c r="D19" s="33" t="s">
        <v>1820</v>
      </c>
      <c r="E19" s="1261"/>
      <c r="F19" s="15"/>
      <c r="G19" s="910"/>
      <c r="H19" s="253" t="s">
        <v>1797</v>
      </c>
      <c r="I19" s="235" t="s">
        <v>1821</v>
      </c>
      <c r="J19" s="13">
        <f ca="1">IF(项目基本情况!B7="自然人","——",IF(K19="按租金收入计税",ROUND(J6*M19/(1+'数据-取费表'!F30),0),ROUND(C29*M19*0.7,0)))</f>
        <v>45748</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82761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27231</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177274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-72979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633123</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5446216</v>
      </c>
      <c r="D29" s="1034"/>
      <c r="E29" s="1032"/>
      <c r="F29" s="1035"/>
      <c r="G29" s="652"/>
      <c r="H29" s="271" t="s">
        <v>24</v>
      </c>
      <c r="I29" s="272" t="s">
        <v>1869</v>
      </c>
      <c r="J29" s="273">
        <f ca="1">ROUND(J26/(1+F40)^F41,0)</f>
        <v>0</v>
      </c>
      <c r="K29" s="274" t="s">
        <v>1870</v>
      </c>
      <c r="L29" s="275"/>
      <c r="M29" s="276">
        <f>IF(D1="仅计算典型户型",'数据-取费表'!E5,'数据-取费表'!B5)</f>
        <v>1072.73</v>
      </c>
    </row>
    <row r="30" spans="1:37" ht="18" customHeight="1" thickTop="1">
      <c r="A30" s="1021" t="s">
        <v>14</v>
      </c>
      <c r="B30" s="1022" t="s">
        <v>1871</v>
      </c>
      <c r="C30" s="243">
        <f ca="1">ROUND(C31+C36+C37+C38,0)</f>
        <v>257362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205562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64605</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140957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282114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27231</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6045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18524</v>
      </c>
      <c r="D38" s="1034" t="s">
        <v>1846</v>
      </c>
      <c r="E38" s="1032" t="s">
        <v>1842</v>
      </c>
      <c r="F38" s="1027">
        <f>'数据-取费表'!B47</f>
        <v>1.4999999999999999E-2</v>
      </c>
      <c r="G38" s="652"/>
      <c r="H38" s="901"/>
      <c r="I38" s="280" t="s">
        <v>1884</v>
      </c>
      <c r="J38" s="136">
        <f ca="1">ROUND(J34/C39,3)</f>
        <v>0.28899999999999998</v>
      </c>
      <c r="K38" s="906"/>
      <c r="L38" s="901"/>
      <c r="M38" s="901"/>
    </row>
    <row r="39" spans="1:18" ht="18" customHeight="1" thickTop="1">
      <c r="A39" s="1021" t="s">
        <v>22</v>
      </c>
      <c r="B39" s="1036" t="s">
        <v>1885</v>
      </c>
      <c r="C39" s="243">
        <f ca="1">C5-C30</f>
        <v>977551</v>
      </c>
      <c r="D39" s="1037" t="s">
        <v>1886</v>
      </c>
      <c r="E39" s="1038"/>
      <c r="F39" s="1039"/>
      <c r="G39" s="652"/>
      <c r="H39" s="901"/>
      <c r="I39" s="280" t="s">
        <v>1887</v>
      </c>
      <c r="J39" s="136">
        <f ca="1">1-J38</f>
        <v>0.71100000000000008</v>
      </c>
      <c r="K39" s="906"/>
      <c r="L39" s="901"/>
      <c r="M39" s="901"/>
    </row>
    <row r="40" spans="1:18" s="652" customFormat="1" ht="18" customHeight="1">
      <c r="A40" s="232" t="s">
        <v>23</v>
      </c>
      <c r="B40" s="233" t="s">
        <v>1888</v>
      </c>
      <c r="C40" s="234">
        <f ca="1">ROUND(C39*(1-((1+F42)/(1+F40))^F41)/(F40-F42),0)</f>
        <v>14310132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19</v>
      </c>
      <c r="H41" s="908"/>
      <c r="I41" s="135" t="s">
        <v>1762</v>
      </c>
      <c r="J41" s="136">
        <f ca="1">ROUND(C13/C40,3)</f>
        <v>0.28199999999999997</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0.71799999999999997</v>
      </c>
      <c r="K42" s="905"/>
      <c r="L42" s="908"/>
      <c r="M42" s="908"/>
      <c r="Q42" s="656"/>
    </row>
    <row r="43" spans="1:18" s="652" customFormat="1" ht="18" customHeight="1" thickBot="1">
      <c r="A43" s="271" t="s">
        <v>24</v>
      </c>
      <c r="B43" s="272" t="s">
        <v>1891</v>
      </c>
      <c r="C43" s="273">
        <f ca="1">ROUND(C40/F43,0)</f>
        <v>13340</v>
      </c>
      <c r="D43" s="274" t="s">
        <v>1892</v>
      </c>
      <c r="E43" s="275" t="s">
        <v>1893</v>
      </c>
      <c r="F43" s="276">
        <f>IF(D1="仅计算典型户型",'数据-取费表'!E5,'数据-取费表'!B5)</f>
        <v>1072.73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14310132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-2001</v>
      </c>
      <c r="D47" s="1456" t="str">
        <f>C2</f>
        <v>万元</v>
      </c>
      <c r="E47" s="649"/>
      <c r="F47" s="649"/>
      <c r="I47" s="1457" t="s">
        <v>1904</v>
      </c>
      <c r="J47" s="981"/>
      <c r="K47" s="982"/>
      <c r="L47" s="995" t="str">
        <f>IF(M48="住宅",0,IF(L49&gt;J52,L61,J61))</f>
        <v>0</v>
      </c>
      <c r="O47" s="1009" t="s">
        <v>769</v>
      </c>
      <c r="P47" s="1006" t="s">
        <v>1905</v>
      </c>
      <c r="Q47" s="1007">
        <f ca="1">C29</f>
        <v>5446216</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19</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2003</v>
      </c>
      <c r="K50" s="1465" t="s">
        <v>1921</v>
      </c>
      <c r="L50" s="984"/>
      <c r="O50" s="1009" t="s">
        <v>772</v>
      </c>
      <c r="P50" s="1006" t="s">
        <v>1922</v>
      </c>
      <c r="Q50" s="1007">
        <f>J54</f>
        <v>19</v>
      </c>
      <c r="R50" s="1008" t="s">
        <v>1923</v>
      </c>
    </row>
    <row r="51" spans="1:18" s="652" customFormat="1" ht="15.75" thickBot="1">
      <c r="A51" s="237"/>
      <c r="B51" s="238"/>
      <c r="C51" s="239"/>
      <c r="D51" s="240"/>
      <c r="E51" s="255" t="s">
        <v>1777</v>
      </c>
      <c r="F51" s="943">
        <f>F7</f>
        <v>1072.73</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1431</v>
      </c>
      <c r="R51" s="1008" t="s">
        <v>774</v>
      </c>
    </row>
    <row r="52" spans="1:18" s="652" customFormat="1" ht="16.5" thickBot="1">
      <c r="A52" s="237"/>
      <c r="B52" s="238"/>
      <c r="C52" s="239"/>
      <c r="D52" s="240"/>
      <c r="E52" s="235" t="s">
        <v>1779</v>
      </c>
      <c r="F52" s="236">
        <f>F8</f>
        <v>365</v>
      </c>
      <c r="I52" s="1466" t="s">
        <v>1926</v>
      </c>
      <c r="J52" s="986">
        <f>IF(J50="",J51,J50+J51-YEAR('数据-取费表'!B2))</f>
        <v>41</v>
      </c>
      <c r="K52" s="1467" t="s">
        <v>1927</v>
      </c>
      <c r="L52" s="987">
        <f ca="1">ROUND(-PV('数据-取费表'!B15,J52,(C40-C13*J35)),0)</f>
        <v>242605705</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19</v>
      </c>
      <c r="K54" s="3557" t="s">
        <v>2460</v>
      </c>
      <c r="L54" s="3558"/>
      <c r="O54" s="1005" t="s">
        <v>767</v>
      </c>
      <c r="P54" s="1006" t="s">
        <v>1899</v>
      </c>
      <c r="Q54" s="1007">
        <f ca="1">C40+J29</f>
        <v>14310132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4030200</v>
      </c>
      <c r="D57" s="941"/>
      <c r="E57" s="942"/>
      <c r="F57" s="949"/>
      <c r="I57" s="1475" t="s">
        <v>1936</v>
      </c>
      <c r="J57" s="993" t="s">
        <v>3043</v>
      </c>
      <c r="K57" s="1461" t="s">
        <v>1937</v>
      </c>
      <c r="L57" s="821" t="str">
        <f>IF(L49&lt;J52,"——",L49-J52)</f>
        <v>——</v>
      </c>
      <c r="O57" s="1009" t="s">
        <v>770</v>
      </c>
      <c r="P57" s="1006" t="s">
        <v>1938</v>
      </c>
      <c r="Q57" s="1010">
        <f>L53</f>
        <v>0</v>
      </c>
      <c r="R57" s="1008"/>
    </row>
    <row r="58" spans="1:18" s="652" customFormat="1" ht="29.25" thickBot="1">
      <c r="A58" s="948"/>
      <c r="B58" s="235" t="s">
        <v>1868</v>
      </c>
      <c r="C58" s="104">
        <f ca="1">C29</f>
        <v>5446216</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490758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457482</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1431</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457482</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14310132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27231</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242605705</v>
      </c>
      <c r="R65" s="1012" t="s">
        <v>1962</v>
      </c>
    </row>
    <row r="66" spans="1:18" s="652" customFormat="1" ht="20.25" thickBot="1">
      <c r="A66" s="253" t="s">
        <v>20</v>
      </c>
      <c r="B66" s="235" t="s">
        <v>1840</v>
      </c>
      <c r="C66" s="13">
        <f ca="1">ROUND(C57*F66,0)</f>
        <v>6045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695437</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977551</v>
      </c>
      <c r="R67" s="1008" t="s">
        <v>1900</v>
      </c>
    </row>
    <row r="68" spans="1:18" ht="15.75" thickBot="1">
      <c r="A68" s="248" t="s">
        <v>22</v>
      </c>
      <c r="B68" s="41" t="s">
        <v>1850</v>
      </c>
      <c r="C68" s="250">
        <f ca="1">C49-C59</f>
        <v>-490758</v>
      </c>
      <c r="D68" s="1256" t="s">
        <v>1851</v>
      </c>
      <c r="E68" s="1258"/>
      <c r="F68" s="268"/>
      <c r="H68" s="652"/>
      <c r="I68" s="652"/>
      <c r="J68" s="652"/>
      <c r="K68" s="652"/>
      <c r="L68" s="652"/>
      <c r="M68" s="652"/>
      <c r="O68" s="1009" t="s">
        <v>776</v>
      </c>
      <c r="P68" s="1013" t="s">
        <v>1966</v>
      </c>
      <c r="Q68" s="1007">
        <f ca="1">C13</f>
        <v>4030200</v>
      </c>
      <c r="R68" s="1008" t="s">
        <v>1900</v>
      </c>
    </row>
    <row r="69" spans="1:18" ht="15.75" thickBot="1">
      <c r="A69" s="232" t="s">
        <v>23</v>
      </c>
      <c r="B69" s="233" t="s">
        <v>1888</v>
      </c>
      <c r="C69" s="234">
        <f ca="1">ROUND(C68*(1-((1+F71)/(1+F69))^F70)/(F69-F71),0)</f>
        <v>-5696549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19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-5310</v>
      </c>
      <c r="D72" s="274" t="s">
        <v>1892</v>
      </c>
      <c r="E72" s="275" t="s">
        <v>1893</v>
      </c>
      <c r="F72" s="276">
        <f>F43</f>
        <v>1072.73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1431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1072.73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44783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7" zoomScale="60" zoomScaleNormal="70" workbookViewId="0">
      <selection activeCell="M31" sqref="M3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1072.73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44783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1072.73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44783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1072.73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44783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1072.73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44783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1072.73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44783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44783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142</v>
      </c>
      <c r="G10" s="1686"/>
      <c r="H10" s="1626">
        <f>ROUND(100/'数据-取费表'!B14,0)</f>
        <v>142</v>
      </c>
      <c r="I10" s="1686"/>
      <c r="J10" s="1626">
        <f>ROUND(100/'数据-取费表'!B14,0)</f>
        <v>142</v>
      </c>
      <c r="K10" s="1898"/>
      <c r="L10" s="2917"/>
      <c r="M10" s="2918"/>
      <c r="N10" s="2918"/>
      <c r="O10" s="2963"/>
      <c r="P10" s="3590"/>
      <c r="Q10" s="1563" t="str">
        <f t="shared" si="6"/>
        <v>土地使用年限（年）</v>
      </c>
      <c r="R10" s="1609" t="s">
        <v>25</v>
      </c>
      <c r="S10" s="1610">
        <f t="shared" si="0"/>
        <v>142</v>
      </c>
      <c r="T10" s="1609" t="s">
        <v>25</v>
      </c>
      <c r="U10" s="1610">
        <f t="shared" si="1"/>
        <v>142</v>
      </c>
      <c r="V10" s="1609" t="s">
        <v>25</v>
      </c>
      <c r="W10" s="1610">
        <f t="shared" si="2"/>
        <v>142</v>
      </c>
      <c r="X10" s="1611"/>
      <c r="Y10" s="3450"/>
      <c r="Z10" s="1622" t="str">
        <f t="shared" si="7"/>
        <v>土地使用年限（年）</v>
      </c>
      <c r="AA10" s="1612">
        <f t="shared" si="3"/>
        <v>0.70422535211267601</v>
      </c>
      <c r="AB10" s="1612">
        <f t="shared" si="4"/>
        <v>0.70422535211267601</v>
      </c>
      <c r="AC10" s="1612">
        <f t="shared" si="5"/>
        <v>0.70422535211267601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44783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142</v>
      </c>
      <c r="G10" s="322"/>
      <c r="H10" s="29">
        <f>ROUND(100/'数据-取费表'!B14,0)</f>
        <v>142</v>
      </c>
      <c r="I10" s="322"/>
      <c r="J10" s="29">
        <f>ROUND(100/'数据-取费表'!B14,0)</f>
        <v>142</v>
      </c>
      <c r="K10" s="553"/>
      <c r="L10" s="2948"/>
      <c r="M10" s="2949"/>
      <c r="N10" s="2949"/>
      <c r="O10" s="2950"/>
      <c r="P10" s="3633"/>
      <c r="Q10" s="1255" t="str">
        <f t="shared" si="6"/>
        <v>土地使用年限（年）</v>
      </c>
      <c r="R10" s="627" t="s">
        <v>25</v>
      </c>
      <c r="S10" s="628">
        <f t="shared" si="0"/>
        <v>142</v>
      </c>
      <c r="T10" s="627" t="s">
        <v>25</v>
      </c>
      <c r="U10" s="628">
        <f t="shared" si="1"/>
        <v>142</v>
      </c>
      <c r="V10" s="627" t="s">
        <v>25</v>
      </c>
      <c r="W10" s="628">
        <f t="shared" si="2"/>
        <v>142</v>
      </c>
      <c r="X10" s="629"/>
      <c r="Y10" s="3652"/>
      <c r="Z10" s="19" t="str">
        <f t="shared" si="7"/>
        <v>土地使用年限（年）</v>
      </c>
      <c r="AA10" s="630">
        <f t="shared" si="3"/>
        <v>0.70422535211267601</v>
      </c>
      <c r="AB10" s="630">
        <f t="shared" si="4"/>
        <v>0.70422535211267601</v>
      </c>
      <c r="AC10" s="630">
        <f t="shared" si="5"/>
        <v>0.70422535211267601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估价对象为北京市房地产，为XX所有。根据《》[]，估价对象建筑面积为1072.73平方米。根据《》[]，估价对象（分摊）出让国有建设用地使用权面积为平方米。估价对象用途为。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2022年8月10日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本次估价的“房地产价值”是指在正常市场情况下，在价值时点2022年8月10日，估价对象规划用途为，假定未设立法定优先受偿款下的房地产市场价值。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1072.73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44783</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0.62480000000000002</v>
      </c>
      <c r="D20" s="2130" t="s">
        <v>2354</v>
      </c>
      <c r="E20" s="3072">
        <f>存贷款利率!E21/100</f>
        <v>4.3499999999999997E-2</v>
      </c>
      <c r="F20" s="2130" t="s">
        <v>2343</v>
      </c>
      <c r="G20" s="3073">
        <f>SUMIF(M26:P26,E2,M28:P28)</f>
        <v>0.05</v>
      </c>
      <c r="H20" s="2130" t="s">
        <v>2355</v>
      </c>
      <c r="I20" s="2131">
        <f>'数据-取费表'!B13</f>
        <v>19</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1072.73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1072.73</v>
      </c>
      <c r="D6" s="3346"/>
      <c r="E6" s="1287"/>
    </row>
    <row r="7" spans="1:5" ht="14.25">
      <c r="A7" s="1287"/>
      <c r="B7" s="3340" t="s">
        <v>594</v>
      </c>
      <c r="C7" s="1293" t="str">
        <f>IF('数据-取费表'!B3="万元","总价（万元）","总价（元）")</f>
        <v>总价（万元）</v>
      </c>
      <c r="D7" s="1294">
        <f>IF('数据-取费表'!E3="否",结果表!I102,'结果表 (1修多)'!I104)</f>
        <v>0</v>
      </c>
      <c r="E7" s="1287"/>
    </row>
    <row r="8" spans="1:5" ht="14.25">
      <c r="A8" s="1287"/>
      <c r="B8" s="3340"/>
      <c r="C8" s="1295" t="s">
        <v>924</v>
      </c>
      <c r="D8" s="1296" t="str">
        <f>IF('数据-取费表'!B3="万元",NUMBERSTRING(INT(D7*10000),2)&amp;"元整",NUMBERSTRING(INT(D7),2)&amp;"元整")</f>
        <v>零元整</v>
      </c>
      <c r="E8" s="1287"/>
    </row>
    <row r="9" spans="1:5" ht="14.25">
      <c r="A9" s="1287"/>
      <c r="B9" s="3340"/>
      <c r="C9" s="1297" t="s">
        <v>1020</v>
      </c>
      <c r="D9" s="1294" t="e">
        <f>IF('数据-取费表'!E3="否",结果表!I103,'结果表 (1修多)'!I105)</f>
        <v>#DIV/0!</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IF('数据-取费表'!E3="否",结果表!I110,'结果表 (1修多)'!I112)</f>
        <v>0</v>
      </c>
      <c r="E15" s="1287"/>
    </row>
    <row r="16" spans="1:5" ht="14.25">
      <c r="A16" s="1287"/>
      <c r="B16" s="3347"/>
      <c r="C16" s="1295" t="s">
        <v>924</v>
      </c>
      <c r="D16" s="1294" t="str">
        <f>IF('数据-取费表'!B3="万元",NUMBERSTRING(INT(D15*10000),2)&amp;"元整",NUMBERSTRING(INT(D15),2)&amp;"元整")</f>
        <v>零元整</v>
      </c>
      <c r="E16" s="1287"/>
    </row>
    <row r="17" spans="1:5" ht="14.25">
      <c r="A17" s="1287"/>
      <c r="B17" s="3347"/>
      <c r="C17" s="1297" t="s">
        <v>1020</v>
      </c>
      <c r="D17" s="1294" t="e">
        <f>IF('数据-取费表'!E3="否",结果表!I111,'结果表 (1修多)'!I113)</f>
        <v>#DIV/0!</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IF('数据-取费表'!E3="否",结果表!I102,'结果表 (1修多)'!I104)</f>
        <v>0</v>
      </c>
      <c r="E28" s="1287"/>
    </row>
    <row r="29" spans="1:5" ht="14.25">
      <c r="A29" s="1287"/>
      <c r="B29" s="3326"/>
      <c r="C29" s="1306" t="s">
        <v>924</v>
      </c>
      <c r="D29" s="1307" t="str">
        <f>IF('数据-取费表'!B3="万元",NUMBERSTRING(INT(D28*10000),2)&amp;"元整",NUMBERSTRING(INT(D28),2)&amp;"元整")</f>
        <v>零元整</v>
      </c>
      <c r="E29" s="1287"/>
    </row>
    <row r="30" spans="1:5" ht="14.25">
      <c r="A30" s="1287"/>
      <c r="B30" s="3327"/>
      <c r="C30" s="1297" t="s">
        <v>927</v>
      </c>
      <c r="D30" s="1308" t="e">
        <f>IF('数据-取费表'!E3="否",结果表!I103,'结果表 (1修多)'!I105)</f>
        <v>#DIV/0!</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IF('数据-取费表'!E3="否",结果表!I110,'结果表 (1修多)'!I112)</f>
        <v>0</v>
      </c>
      <c r="E36" s="1287"/>
    </row>
    <row r="37" spans="1:5" ht="14.25">
      <c r="A37" s="1287"/>
      <c r="B37" s="3328"/>
      <c r="C37" s="1306" t="s">
        <v>924</v>
      </c>
      <c r="D37" s="1311" t="str">
        <f>IF('数据-取费表'!B3="万元",NUMBERSTRING(INT(D36*10000),2)&amp;"元整",NUMBERSTRING(INT(D36),2)&amp;"元整")</f>
        <v>零元整</v>
      </c>
      <c r="E37" s="1287"/>
    </row>
    <row r="38" spans="1:5" ht="14.25">
      <c r="A38" s="1287"/>
      <c r="B38" s="3328"/>
      <c r="C38" s="1297" t="s">
        <v>928</v>
      </c>
      <c r="D38" s="1308" t="e">
        <f>IF('数据-取费表'!E3="否",结果表!D113,'结果表 (1修多)'!D117)</f>
        <v>#DIV/0!</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1072.73</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48" t="s">
        <v>1030</v>
      </c>
      <c r="B5" s="3348"/>
      <c r="C5" s="3348"/>
      <c r="D5" s="3349" t="str">
        <f>IF('数据-取费表'!E3="否",结果表!D122,'结果表 (1修多)'!D126)</f>
        <v>零元整</v>
      </c>
      <c r="E5" s="3349"/>
      <c r="F5" s="3349" t="str">
        <f>IF('数据-取费表'!E3="否",结果表!F122,'结果表 (1修多)'!F126)</f>
        <v>零元整</v>
      </c>
      <c r="G5" s="3349"/>
      <c r="H5" s="3349" t="str">
        <f>IF('数据-取费表'!E3="否",结果表!H122,'结果表 (1修多)'!H126)</f>
        <v>零元整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IF('数据-取费表'!E3="否",结果表!D125,'结果表 (1修多)'!D129)</f>
        <v>0</v>
      </c>
      <c r="E8" s="3350"/>
      <c r="F8" s="3350"/>
      <c r="G8" s="3350"/>
      <c r="H8" s="3350"/>
      <c r="I8" s="3350"/>
    </row>
    <row r="9" spans="1:9" ht="15">
      <c r="A9" s="3348" t="s">
        <v>1030</v>
      </c>
      <c r="B9" s="3348"/>
      <c r="C9" s="3348"/>
      <c r="D9" s="3349" t="e">
        <f>IF('数据-取费表'!E3="否",结果表!D126,'结果表 (1修多)'!D130)</f>
        <v>#DIV/0!</v>
      </c>
      <c r="E9" s="3349"/>
      <c r="F9" s="3349"/>
      <c r="G9" s="3349"/>
      <c r="H9" s="3349"/>
      <c r="I9" s="3349"/>
    </row>
    <row r="10" spans="1:9" ht="15.75">
      <c r="A10" s="3350" t="str">
        <f>IF('数据-取费表'!E3="否",结果表!A127,'结果表 (1修多)'!A131)</f>
        <v/>
      </c>
      <c r="B10" s="3350"/>
      <c r="C10" s="3350"/>
      <c r="D10" s="3350" t="e">
        <f>IF('数据-取费表'!E3="否",结果表!D127,'结果表 (1修多)'!D130)</f>
        <v>#DIV/0!</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1" t="str">
        <f>IF(项目基本情况!D4="抵押","4.本次评估估价师所知悉的法定优先受偿款情况说明如下：","——")</f>
        <v>4.本次评估估价师所知悉的法定优先受偿款情况说明如下：</v>
      </c>
      <c r="B15" s="3362"/>
      <c r="C15" s="3362"/>
      <c r="D15" s="3362"/>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3" t="s">
        <v>1045</v>
      </c>
      <c r="B17" s="3363"/>
      <c r="C17" s="3363"/>
      <c r="D17" s="3363"/>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44784</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本次估价的“房地产价值”是指在正常市场情况下，在价值时点2022年8月10日，估价对象规划用途为，假定未设立法定优先受偿款下的房地产市场价值。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2022-08-11T09:50:17Z</dcterms:modified>
</cp:coreProperties>
</file>